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lb" ContentType="model/gltf.binary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97a183718cc049/Documents/"/>
    </mc:Choice>
  </mc:AlternateContent>
  <xr:revisionPtr revIDLastSave="17" documentId="8_{656035D4-6260-4B13-ABD8-B3FEF6B31EC0}" xr6:coauthVersionLast="47" xr6:coauthVersionMax="47" xr10:uidLastSave="{97D49DA9-A884-473F-BED1-802F40166B10}"/>
  <bookViews>
    <workbookView xWindow="-110" yWindow="-110" windowWidth="19420" windowHeight="10420" xr2:uid="{D1203E97-2B62-4965-945D-AA1BD181C546}"/>
  </bookViews>
  <sheets>
    <sheet name="Formatting Cells &amp; Table" sheetId="1" r:id="rId1"/>
    <sheet name="Auto Format" sheetId="2" r:id="rId2"/>
    <sheet name="Custom Format" sheetId="3" r:id="rId3"/>
    <sheet name="Name Ranges calcs" sheetId="4" r:id="rId4"/>
    <sheet name="freeze panes" sheetId="5" r:id="rId5"/>
    <sheet name="conditional frmtng" sheetId="6" r:id="rId6"/>
    <sheet name="DataValidation" sheetId="7" r:id="rId7"/>
    <sheet name="What -If Analysis" sheetId="8" r:id="rId8"/>
    <sheet name="Finding Duplicates" sheetId="9" r:id="rId9"/>
    <sheet name="Transpose rows&amp;cols" sheetId="10" r:id="rId10"/>
    <sheet name="Blank Spaces" sheetId="11" r:id="rId11"/>
    <sheet name="Combining rows&amp;cols" sheetId="12" r:id="rId12"/>
    <sheet name="Autofill &amp; Flashfill" sheetId="13" r:id="rId13"/>
    <sheet name="Find &amp; Replace" sheetId="14" r:id="rId14"/>
    <sheet name="Check boxes" sheetId="15" r:id="rId15"/>
    <sheet name="Adding images" sheetId="16" r:id="rId16"/>
    <sheet name="adding PDF" sheetId="17" r:id="rId17"/>
    <sheet name="Hiding charts" sheetId="18" r:id="rId18"/>
    <sheet name="Hyperlinks" sheetId="19" r:id="rId19"/>
    <sheet name=" Add charts" sheetId="20" r:id="rId20"/>
    <sheet name="Add watermarks" sheetId="21" r:id="rId21"/>
    <sheet name="Loading XML, CSV, PDF Datasets" sheetId="23" r:id="rId22"/>
    <sheet name="Flashfill &amp; Autofill" sheetId="22" r:id="rId23"/>
    <sheet name="Heatmap" sheetId="24" r:id="rId24"/>
    <sheet name="Bubble chart" sheetId="25" r:id="rId25"/>
    <sheet name="Sparklines" sheetId="26" r:id="rId26"/>
    <sheet name="TrancePrecedents&amp;Dependents" sheetId="27" r:id="rId27"/>
    <sheet name="Protecting worksheet&amp;book" sheetId="28" r:id="rId28"/>
    <sheet name="Aggreaget functions" sheetId="29" r:id="rId29"/>
    <sheet name="Aggregate functions" sheetId="31" r:id="rId30"/>
    <sheet name="Aggregate functions 2" sheetId="32" r:id="rId31"/>
    <sheet name="Some Calcs" sheetId="33" r:id="rId32"/>
    <sheet name="IF,AND,NOT,SWITCH" sheetId="34" r:id="rId33"/>
    <sheet name="If,And,Or" sheetId="35" r:id="rId34"/>
    <sheet name="Nested IFs" sheetId="36" r:id="rId35"/>
    <sheet name="IF &amp; IFS" sheetId="37" r:id="rId36"/>
    <sheet name="Count, Sum &amp; Averageifs" sheetId="38" r:id="rId37"/>
    <sheet name="Index &amp; Match" sheetId="39" r:id="rId38"/>
    <sheet name="Date functions 1" sheetId="40" r:id="rId39"/>
    <sheet name="Date functions 2" sheetId="41" r:id="rId40"/>
    <sheet name="Vlookup" sheetId="42" r:id="rId41"/>
    <sheet name="VLOOKUP &amp; HLOOKUP" sheetId="43" r:id="rId42"/>
    <sheet name="Error Handling - IFNA" sheetId="44" r:id="rId43"/>
    <sheet name="Error Handling" sheetId="45" r:id="rId44"/>
    <sheet name="Sheet1" sheetId="46" r:id="rId45"/>
  </sheets>
  <externalReferences>
    <externalReference r:id="rId46"/>
  </externalReferences>
  <definedNames>
    <definedName name="customer_name">'Name Ranges calcs'!$B$2:$B$15</definedName>
    <definedName name="ExternalData_1" localSheetId="21" hidden="1">'Loading XML, CSV, PDF Datasets'!$A$1:$H$352</definedName>
    <definedName name="Quantity1">'Name Ranges calcs'!$A$2:$E$15</definedName>
    <definedName name="Table0">#REF!</definedName>
    <definedName name="Table23">Table1[]</definedName>
    <definedName name="Table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" i="45" l="1"/>
  <c r="Q3" i="45"/>
  <c r="P4" i="45"/>
  <c r="P3" i="45"/>
  <c r="O4" i="45" a="1"/>
  <c r="O4" i="45" s="1"/>
  <c r="R4" i="45" s="1"/>
  <c r="O3" i="45" a="1"/>
  <c r="O3" i="45" s="1"/>
  <c r="R3" i="45" s="1"/>
  <c r="I4" i="45"/>
  <c r="I3" i="45"/>
  <c r="H4" i="45"/>
  <c r="H3" i="45"/>
  <c r="F4" i="45"/>
  <c r="G4" i="45"/>
  <c r="G3" i="45"/>
  <c r="F3" i="45"/>
  <c r="E4" i="45"/>
  <c r="E3" i="45"/>
  <c r="P2" i="44" a="1"/>
  <c r="P2" i="44" s="1"/>
  <c r="P3" i="44" a="1"/>
  <c r="P3" i="44"/>
  <c r="P4" i="44" a="1"/>
  <c r="P4" i="44"/>
  <c r="P5" i="44" a="1"/>
  <c r="P5" i="44" s="1"/>
  <c r="P6" i="44" a="1"/>
  <c r="P6" i="44"/>
  <c r="P7" i="44" a="1"/>
  <c r="P7" i="44" s="1"/>
  <c r="P8" i="44" a="1"/>
  <c r="P8" i="44"/>
  <c r="P9" i="44" a="1"/>
  <c r="P9" i="44" s="1"/>
  <c r="P10" i="44" a="1"/>
  <c r="P10" i="44"/>
  <c r="P11" i="44" a="1"/>
  <c r="P11" i="44" s="1"/>
  <c r="P12" i="44" a="1"/>
  <c r="P12" i="44"/>
  <c r="P13" i="44" a="1"/>
  <c r="P13" i="44" s="1"/>
  <c r="P14" i="44" a="1"/>
  <c r="P14" i="44"/>
  <c r="P15" i="44" a="1"/>
  <c r="P15" i="44" s="1"/>
  <c r="P16" i="44" a="1"/>
  <c r="P16" i="44"/>
  <c r="P17" i="44" a="1"/>
  <c r="P17" i="44" s="1"/>
  <c r="P18" i="44" a="1"/>
  <c r="P18" i="44"/>
  <c r="P19" i="44" a="1"/>
  <c r="P19" i="44" s="1"/>
  <c r="P20" i="44" a="1"/>
  <c r="P20" i="44"/>
  <c r="P21" i="44" a="1"/>
  <c r="P21" i="44" s="1"/>
  <c r="P22" i="44" a="1"/>
  <c r="P22" i="44"/>
  <c r="P23" i="44" a="1"/>
  <c r="P23" i="44" s="1"/>
  <c r="P24" i="44" a="1"/>
  <c r="P24" i="44"/>
  <c r="P25" i="44" a="1"/>
  <c r="P25" i="44" s="1"/>
  <c r="P26" i="44" a="1"/>
  <c r="P26" i="44"/>
  <c r="P27" i="44" a="1"/>
  <c r="P27" i="44" s="1"/>
  <c r="P28" i="44" a="1"/>
  <c r="P28" i="44"/>
  <c r="P29" i="44" a="1"/>
  <c r="P29" i="44" s="1"/>
  <c r="G12" i="44"/>
  <c r="G7" i="44"/>
  <c r="G8" i="44"/>
  <c r="F36" i="43"/>
  <c r="F35" i="43"/>
  <c r="F34" i="43"/>
  <c r="K4" i="43"/>
  <c r="J4" i="43"/>
  <c r="K5" i="43"/>
  <c r="K6" i="43"/>
  <c r="K7" i="43"/>
  <c r="K8" i="43"/>
  <c r="K9" i="43"/>
  <c r="J5" i="43"/>
  <c r="J6" i="43"/>
  <c r="J7" i="43"/>
  <c r="J8" i="43"/>
  <c r="J9" i="43"/>
  <c r="I7" i="42"/>
  <c r="A3" i="41"/>
  <c r="B3" i="41"/>
  <c r="C3" i="41" s="1"/>
  <c r="I2" i="40"/>
  <c r="G12" i="40"/>
  <c r="G13" i="40"/>
  <c r="G14" i="40"/>
  <c r="G11" i="40"/>
  <c r="L3" i="40"/>
  <c r="L4" i="40"/>
  <c r="L5" i="40"/>
  <c r="L6" i="40"/>
  <c r="L2" i="40"/>
  <c r="L7" i="40"/>
  <c r="L8" i="40"/>
  <c r="L9" i="40"/>
  <c r="L10" i="40"/>
  <c r="L11" i="40"/>
  <c r="I3" i="40"/>
  <c r="I4" i="40"/>
  <c r="I5" i="40"/>
  <c r="I6" i="40"/>
  <c r="C3" i="40"/>
  <c r="C4" i="40"/>
  <c r="C5" i="40"/>
  <c r="C6" i="40"/>
  <c r="C7" i="40"/>
  <c r="C8" i="40"/>
  <c r="C9" i="40"/>
  <c r="C10" i="40"/>
  <c r="C11" i="40"/>
  <c r="C2" i="40"/>
  <c r="G10" i="39"/>
  <c r="G9" i="39"/>
  <c r="L12" i="39"/>
  <c r="P7" i="39"/>
  <c r="P6" i="39"/>
  <c r="L11" i="39"/>
  <c r="B13" i="39"/>
  <c r="S4" i="45" l="1"/>
  <c r="S3" i="45"/>
  <c r="G3" i="41"/>
  <c r="D3" i="41"/>
  <c r="I3" i="41"/>
  <c r="H3" i="41"/>
  <c r="E3" i="41"/>
  <c r="I14" i="38"/>
  <c r="I13" i="38"/>
  <c r="I10" i="38"/>
  <c r="I9" i="38"/>
  <c r="I8" i="38"/>
  <c r="I5" i="38"/>
  <c r="I4" i="38"/>
  <c r="I3" i="38"/>
  <c r="I3" i="37" a="1"/>
  <c r="I3" i="37" s="1"/>
  <c r="I4" i="37" a="1"/>
  <c r="I4" i="37"/>
  <c r="I5" i="37" a="1"/>
  <c r="I5" i="37" s="1"/>
  <c r="I6" i="37" a="1"/>
  <c r="I6" i="37"/>
  <c r="I7" i="37" a="1"/>
  <c r="I7" i="37" s="1"/>
  <c r="I8" i="37" a="1"/>
  <c r="I8" i="37"/>
  <c r="I9" i="37" a="1"/>
  <c r="I9" i="37" s="1"/>
  <c r="I10" i="37" a="1"/>
  <c r="I10" i="37"/>
  <c r="I11" i="37" a="1"/>
  <c r="I11" i="37" s="1"/>
  <c r="I12" i="37" a="1"/>
  <c r="I12" i="37"/>
  <c r="I13" i="37" a="1"/>
  <c r="I13" i="37" s="1"/>
  <c r="I14" i="37" a="1"/>
  <c r="I14" i="37"/>
  <c r="I15" i="37" a="1"/>
  <c r="I15" i="37" s="1"/>
  <c r="I16" i="37" a="1"/>
  <c r="I16" i="37" s="1"/>
  <c r="I17" i="37" a="1"/>
  <c r="I17" i="37" s="1"/>
  <c r="I18" i="37" a="1"/>
  <c r="I18" i="37"/>
  <c r="I19" i="37" a="1"/>
  <c r="I19" i="37" s="1"/>
  <c r="I20" i="37" a="1"/>
  <c r="I20" i="37"/>
  <c r="I21" i="37" a="1"/>
  <c r="I21" i="37" s="1"/>
  <c r="I22" i="37" a="1"/>
  <c r="I22" i="37"/>
  <c r="I23" i="37" a="1"/>
  <c r="I23" i="37" s="1"/>
  <c r="I24" i="37" a="1"/>
  <c r="I24" i="37" s="1"/>
  <c r="I25" i="37" a="1"/>
  <c r="I25" i="37" s="1"/>
  <c r="I26" i="37" a="1"/>
  <c r="I26" i="37"/>
  <c r="I27" i="37" a="1"/>
  <c r="I27" i="37" s="1"/>
  <c r="I28" i="37" a="1"/>
  <c r="I28" i="37"/>
  <c r="I29" i="37" a="1"/>
  <c r="I29" i="37" s="1"/>
  <c r="I30" i="37" a="1"/>
  <c r="I30" i="37"/>
  <c r="I31" i="37" a="1"/>
  <c r="I31" i="37" s="1"/>
  <c r="I32" i="37" a="1"/>
  <c r="I32" i="37" s="1"/>
  <c r="I33" i="37" a="1"/>
  <c r="I33" i="37" s="1"/>
  <c r="I34" i="37" a="1"/>
  <c r="I34" i="37" s="1"/>
  <c r="I35" i="37" a="1"/>
  <c r="I35" i="37" s="1"/>
  <c r="I36" i="37" a="1"/>
  <c r="I36" i="37"/>
  <c r="I37" i="37" a="1"/>
  <c r="I37" i="37" s="1"/>
  <c r="I38" i="37" a="1"/>
  <c r="I38" i="37"/>
  <c r="I39" i="37" a="1"/>
  <c r="I39" i="37" s="1"/>
  <c r="I40" i="37" a="1"/>
  <c r="I40" i="37" s="1"/>
  <c r="I41" i="37" a="1"/>
  <c r="I41" i="37" s="1"/>
  <c r="I42" i="37" a="1"/>
  <c r="I42" i="37"/>
  <c r="I43" i="37" a="1"/>
  <c r="I43" i="37" s="1"/>
  <c r="I44" i="37" a="1"/>
  <c r="I44" i="37"/>
  <c r="I45" i="37" a="1"/>
  <c r="I45" i="37" s="1"/>
  <c r="I46" i="37" a="1"/>
  <c r="I46" i="37"/>
  <c r="I47" i="37" a="1"/>
  <c r="I47" i="37" s="1"/>
  <c r="I48" i="37" a="1"/>
  <c r="I48" i="37" s="1"/>
  <c r="I49" i="37" a="1"/>
  <c r="I49" i="37" s="1"/>
  <c r="I50" i="37" a="1"/>
  <c r="I50" i="37" s="1"/>
  <c r="I51" i="37" a="1"/>
  <c r="I51" i="37" s="1"/>
  <c r="I52" i="37" a="1"/>
  <c r="I52" i="37"/>
  <c r="I53" i="37" a="1"/>
  <c r="I53" i="37" s="1"/>
  <c r="I54" i="37" a="1"/>
  <c r="I54" i="37"/>
  <c r="I55" i="37" a="1"/>
  <c r="I55" i="37" s="1"/>
  <c r="I56" i="37" a="1"/>
  <c r="I56" i="37" s="1"/>
  <c r="I57" i="37" a="1"/>
  <c r="I57" i="37" s="1"/>
  <c r="I58" i="37" a="1"/>
  <c r="I58" i="37"/>
  <c r="I59" i="37" a="1"/>
  <c r="I59" i="37" s="1"/>
  <c r="I60" i="37" a="1"/>
  <c r="I60" i="37"/>
  <c r="I61" i="37" a="1"/>
  <c r="I61" i="37" s="1"/>
  <c r="I62" i="37" a="1"/>
  <c r="I62" i="37"/>
  <c r="I63" i="37" a="1"/>
  <c r="I63" i="37" s="1"/>
  <c r="I64" i="37" a="1"/>
  <c r="I64" i="37" s="1"/>
  <c r="I65" i="37" a="1"/>
  <c r="I65" i="37" s="1"/>
  <c r="I66" i="37" a="1"/>
  <c r="I66" i="37" s="1"/>
  <c r="I67" i="37" a="1"/>
  <c r="I67" i="37" s="1"/>
  <c r="I68" i="37" a="1"/>
  <c r="I68" i="37"/>
  <c r="I69" i="37" a="1"/>
  <c r="I69" i="37" s="1"/>
  <c r="I70" i="37" a="1"/>
  <c r="I70" i="37"/>
  <c r="I71" i="37" a="1"/>
  <c r="I71" i="37" s="1"/>
  <c r="I72" i="37" a="1"/>
  <c r="I72" i="37" s="1"/>
  <c r="I73" i="37" a="1"/>
  <c r="I73" i="37" s="1"/>
  <c r="I74" i="37" a="1"/>
  <c r="I74" i="37"/>
  <c r="I75" i="37" a="1"/>
  <c r="I75" i="37" s="1"/>
  <c r="I76" i="37" a="1"/>
  <c r="I76" i="37"/>
  <c r="I77" i="37" a="1"/>
  <c r="I77" i="37" s="1"/>
  <c r="I78" i="37" a="1"/>
  <c r="I78" i="37"/>
  <c r="I79" i="37" a="1"/>
  <c r="I79" i="37" s="1"/>
  <c r="I80" i="37" a="1"/>
  <c r="I80" i="37" s="1"/>
  <c r="I81" i="37" a="1"/>
  <c r="I81" i="37" s="1"/>
  <c r="I82" i="37" a="1"/>
  <c r="I82" i="37"/>
  <c r="I83" i="37" a="1"/>
  <c r="I83" i="37" s="1"/>
  <c r="I84" i="37" a="1"/>
  <c r="I84" i="37"/>
  <c r="I85" i="37" a="1"/>
  <c r="I85" i="37" s="1"/>
  <c r="I86" i="37" a="1"/>
  <c r="I86" i="37"/>
  <c r="I87" i="37" a="1"/>
  <c r="I87" i="37" s="1"/>
  <c r="I88" i="37" a="1"/>
  <c r="I88" i="37" s="1"/>
  <c r="I89" i="37" a="1"/>
  <c r="I89" i="37" s="1"/>
  <c r="I90" i="37" a="1"/>
  <c r="I90" i="37" s="1"/>
  <c r="I91" i="37" a="1"/>
  <c r="I91" i="37" s="1"/>
  <c r="I92" i="37" a="1"/>
  <c r="I92" i="37"/>
  <c r="I93" i="37" a="1"/>
  <c r="I93" i="37" s="1"/>
  <c r="I94" i="37" a="1"/>
  <c r="I94" i="37"/>
  <c r="I95" i="37" a="1"/>
  <c r="I95" i="37" s="1"/>
  <c r="I96" i="37" a="1"/>
  <c r="I96" i="37" s="1"/>
  <c r="I97" i="37" a="1"/>
  <c r="I97" i="37" s="1"/>
  <c r="I98" i="37" a="1"/>
  <c r="I98" i="37" s="1"/>
  <c r="I99" i="37" a="1"/>
  <c r="I99" i="37" s="1"/>
  <c r="I100" i="37" a="1"/>
  <c r="I100" i="37"/>
  <c r="I101" i="37" a="1"/>
  <c r="I101" i="37" s="1"/>
  <c r="I102" i="37" a="1"/>
  <c r="I102" i="37"/>
  <c r="I103" i="37" a="1"/>
  <c r="I103" i="37" s="1"/>
  <c r="I104" i="37" a="1"/>
  <c r="I104" i="37" s="1"/>
  <c r="I105" i="37" a="1"/>
  <c r="I105" i="37" s="1"/>
  <c r="I106" i="37" a="1"/>
  <c r="I106" i="37"/>
  <c r="I107" i="37" a="1"/>
  <c r="I107" i="37" s="1"/>
  <c r="I108" i="37" a="1"/>
  <c r="I108" i="37"/>
  <c r="I109" i="37" a="1"/>
  <c r="I109" i="37" s="1"/>
  <c r="I110" i="37" a="1"/>
  <c r="I110" i="37"/>
  <c r="I111" i="37" a="1"/>
  <c r="I111" i="37" s="1"/>
  <c r="I112" i="37" a="1"/>
  <c r="I112" i="37" s="1"/>
  <c r="I113" i="37" a="1"/>
  <c r="I113" i="37" s="1"/>
  <c r="I114" i="37" a="1"/>
  <c r="I114" i="37"/>
  <c r="I115" i="37" a="1"/>
  <c r="I115" i="37" s="1"/>
  <c r="I116" i="37" a="1"/>
  <c r="I116" i="37"/>
  <c r="I117" i="37" a="1"/>
  <c r="I117" i="37" s="1"/>
  <c r="I118" i="37" a="1"/>
  <c r="I118" i="37"/>
  <c r="I119" i="37" a="1"/>
  <c r="I119" i="37" s="1"/>
  <c r="I120" i="37" a="1"/>
  <c r="I120" i="37" s="1"/>
  <c r="I121" i="37" a="1"/>
  <c r="I121" i="37" s="1"/>
  <c r="I122" i="37" a="1"/>
  <c r="I122" i="37" s="1"/>
  <c r="I123" i="37" a="1"/>
  <c r="I123" i="37" s="1"/>
  <c r="I124" i="37" a="1"/>
  <c r="I124" i="37"/>
  <c r="I125" i="37" a="1"/>
  <c r="I125" i="37" s="1"/>
  <c r="I126" i="37" a="1"/>
  <c r="I126" i="37"/>
  <c r="I127" i="37" a="1"/>
  <c r="I127" i="37" s="1"/>
  <c r="I128" i="37" a="1"/>
  <c r="I128" i="37" s="1"/>
  <c r="I129" i="37" a="1"/>
  <c r="I129" i="37" s="1"/>
  <c r="I130" i="37" a="1"/>
  <c r="I130" i="37" s="1"/>
  <c r="I131" i="37" a="1"/>
  <c r="I131" i="37" s="1"/>
  <c r="I132" i="37" a="1"/>
  <c r="I132" i="37"/>
  <c r="I133" i="37" a="1"/>
  <c r="I133" i="37" s="1"/>
  <c r="I134" i="37" a="1"/>
  <c r="I134" i="37"/>
  <c r="I135" i="37" a="1"/>
  <c r="I135" i="37" s="1"/>
  <c r="I136" i="37" a="1"/>
  <c r="I136" i="37" s="1"/>
  <c r="I137" i="37" a="1"/>
  <c r="I137" i="37" s="1"/>
  <c r="I138" i="37" a="1"/>
  <c r="I138" i="37"/>
  <c r="I139" i="37" a="1"/>
  <c r="I139" i="37" s="1"/>
  <c r="I140" i="37" a="1"/>
  <c r="I140" i="37"/>
  <c r="I141" i="37" a="1"/>
  <c r="I141" i="37" s="1"/>
  <c r="I142" i="37" a="1"/>
  <c r="I142" i="37"/>
  <c r="I143" i="37" a="1"/>
  <c r="I143" i="37" s="1"/>
  <c r="I144" i="37" a="1"/>
  <c r="I144" i="37" s="1"/>
  <c r="I145" i="37" a="1"/>
  <c r="I145" i="37" s="1"/>
  <c r="I146" i="37" a="1"/>
  <c r="I146" i="37"/>
  <c r="I147" i="37" a="1"/>
  <c r="I147" i="37" s="1"/>
  <c r="I148" i="37" a="1"/>
  <c r="I148" i="37"/>
  <c r="I149" i="37" a="1"/>
  <c r="I149" i="37" s="1"/>
  <c r="I150" i="37" a="1"/>
  <c r="I150" i="37"/>
  <c r="I151" i="37" a="1"/>
  <c r="I151" i="37" s="1"/>
  <c r="I152" i="37" a="1"/>
  <c r="I152" i="37" s="1"/>
  <c r="I153" i="37" a="1"/>
  <c r="I153" i="37" s="1"/>
  <c r="I154" i="37" a="1"/>
  <c r="I154" i="37" s="1"/>
  <c r="I155" i="37" a="1"/>
  <c r="I155" i="37" s="1"/>
  <c r="I156" i="37" a="1"/>
  <c r="I156" i="37"/>
  <c r="I157" i="37" a="1"/>
  <c r="I157" i="37" s="1"/>
  <c r="I158" i="37" a="1"/>
  <c r="I158" i="37"/>
  <c r="I159" i="37" a="1"/>
  <c r="I159" i="37" s="1"/>
  <c r="I160" i="37" a="1"/>
  <c r="I160" i="37" s="1"/>
  <c r="I161" i="37" a="1"/>
  <c r="I161" i="37" s="1"/>
  <c r="I162" i="37" a="1"/>
  <c r="I162" i="37" s="1"/>
  <c r="I163" i="37" a="1"/>
  <c r="I163" i="37" s="1"/>
  <c r="I164" i="37" a="1"/>
  <c r="I164" i="37"/>
  <c r="I165" i="37" a="1"/>
  <c r="I165" i="37" s="1"/>
  <c r="I166" i="37" a="1"/>
  <c r="I166" i="37"/>
  <c r="I167" i="37" a="1"/>
  <c r="I167" i="37" s="1"/>
  <c r="I168" i="37" a="1"/>
  <c r="I168" i="37" s="1"/>
  <c r="I169" i="37" a="1"/>
  <c r="I169" i="37" s="1"/>
  <c r="I170" i="37" a="1"/>
  <c r="I170" i="37"/>
  <c r="I171" i="37" a="1"/>
  <c r="I171" i="37" s="1"/>
  <c r="I172" i="37" a="1"/>
  <c r="I172" i="37"/>
  <c r="I173" i="37" a="1"/>
  <c r="I173" i="37" s="1"/>
  <c r="I174" i="37" a="1"/>
  <c r="I174" i="37"/>
  <c r="I175" i="37" a="1"/>
  <c r="I175" i="37" s="1"/>
  <c r="I176" i="37" a="1"/>
  <c r="I176" i="37"/>
  <c r="I177" i="37" a="1"/>
  <c r="I177" i="37" s="1"/>
  <c r="I178" i="37" a="1"/>
  <c r="I178" i="37"/>
  <c r="I179" i="37" a="1"/>
  <c r="I179" i="37" s="1"/>
  <c r="I180" i="37" a="1"/>
  <c r="I180" i="37" s="1"/>
  <c r="I181" i="37" a="1"/>
  <c r="I181" i="37" s="1"/>
  <c r="I182" i="37" a="1"/>
  <c r="I182" i="37" s="1"/>
  <c r="I183" i="37" a="1"/>
  <c r="I183" i="37" s="1"/>
  <c r="I184" i="37" a="1"/>
  <c r="I184" i="37" s="1"/>
  <c r="I185" i="37" a="1"/>
  <c r="I185" i="37" s="1"/>
  <c r="I186" i="37" a="1"/>
  <c r="I186" i="37"/>
  <c r="I187" i="37" a="1"/>
  <c r="I187" i="37" s="1"/>
  <c r="I188" i="37" a="1"/>
  <c r="I188" i="37" s="1"/>
  <c r="I189" i="37" a="1"/>
  <c r="I189" i="37" s="1"/>
  <c r="I190" i="37" a="1"/>
  <c r="I190" i="37" s="1"/>
  <c r="I191" i="37" a="1"/>
  <c r="I191" i="37" s="1"/>
  <c r="I192" i="37" a="1"/>
  <c r="I192" i="37" s="1"/>
  <c r="I193" i="37" a="1"/>
  <c r="I193" i="37" s="1"/>
  <c r="I194" i="37" a="1"/>
  <c r="I194" i="37"/>
  <c r="I195" i="37" a="1"/>
  <c r="I195" i="37" s="1"/>
  <c r="I196" i="37" a="1"/>
  <c r="I196" i="37" s="1"/>
  <c r="I197" i="37" a="1"/>
  <c r="I197" i="37" s="1"/>
  <c r="I198" i="37" a="1"/>
  <c r="I198" i="37" s="1"/>
  <c r="I199" i="37" a="1"/>
  <c r="I199" i="37" s="1"/>
  <c r="I200" i="37" a="1"/>
  <c r="I200" i="37" s="1"/>
  <c r="I201" i="37" a="1"/>
  <c r="I201" i="37" s="1"/>
  <c r="I202" i="37" a="1"/>
  <c r="I202" i="37"/>
  <c r="I203" i="37" a="1"/>
  <c r="I203" i="37" s="1"/>
  <c r="I204" i="37" a="1"/>
  <c r="I204" i="37" s="1"/>
  <c r="I205" i="37" a="1"/>
  <c r="I205" i="37" s="1"/>
  <c r="I206" i="37" a="1"/>
  <c r="I206" i="37" s="1"/>
  <c r="I207" i="37" a="1"/>
  <c r="I207" i="37" s="1"/>
  <c r="I208" i="37" a="1"/>
  <c r="I208" i="37" s="1"/>
  <c r="I209" i="37" a="1"/>
  <c r="I209" i="37" s="1"/>
  <c r="I210" i="37" a="1"/>
  <c r="I210" i="37"/>
  <c r="I211" i="37" a="1"/>
  <c r="I211" i="37" s="1"/>
  <c r="I212" i="37" a="1"/>
  <c r="I212" i="37" s="1"/>
  <c r="I213" i="37" a="1"/>
  <c r="I213" i="37" s="1"/>
  <c r="I214" i="37" a="1"/>
  <c r="I214" i="37" s="1"/>
  <c r="I215" i="37" a="1"/>
  <c r="I215" i="37" s="1"/>
  <c r="I216" i="37" a="1"/>
  <c r="I216" i="37" s="1"/>
  <c r="I217" i="37" a="1"/>
  <c r="I217" i="37" s="1"/>
  <c r="I218" i="37" a="1"/>
  <c r="I218" i="37"/>
  <c r="I219" i="37" a="1"/>
  <c r="I219" i="37" s="1"/>
  <c r="I220" i="37" a="1"/>
  <c r="I220" i="37" s="1"/>
  <c r="I221" i="37" a="1"/>
  <c r="I221" i="37" s="1"/>
  <c r="I222" i="37" a="1"/>
  <c r="I222" i="37" s="1"/>
  <c r="I223" i="37" a="1"/>
  <c r="I223" i="37" s="1"/>
  <c r="I224" i="37" a="1"/>
  <c r="I224" i="37" s="1"/>
  <c r="I225" i="37" a="1"/>
  <c r="I225" i="37" s="1"/>
  <c r="I226" i="37" a="1"/>
  <c r="I226" i="37"/>
  <c r="I227" i="37" a="1"/>
  <c r="I227" i="37" s="1"/>
  <c r="I228" i="37" a="1"/>
  <c r="I228" i="37" s="1"/>
  <c r="I229" i="37" a="1"/>
  <c r="I229" i="37" s="1"/>
  <c r="I230" i="37" a="1"/>
  <c r="I230" i="37" s="1"/>
  <c r="I231" i="37" a="1"/>
  <c r="I231" i="37" s="1"/>
  <c r="I232" i="37" a="1"/>
  <c r="I232" i="37" s="1"/>
  <c r="I233" i="37" a="1"/>
  <c r="I233" i="37" s="1"/>
  <c r="I234" i="37" a="1"/>
  <c r="I234" i="37"/>
  <c r="I235" i="37" a="1"/>
  <c r="I235" i="37" s="1"/>
  <c r="I236" i="37" a="1"/>
  <c r="I236" i="37" s="1"/>
  <c r="I237" i="37" a="1"/>
  <c r="I237" i="37" s="1"/>
  <c r="I238" i="37" a="1"/>
  <c r="I238" i="37" s="1"/>
  <c r="I239" i="37" a="1"/>
  <c r="I239" i="37" s="1"/>
  <c r="I240" i="37" a="1"/>
  <c r="I240" i="37" s="1"/>
  <c r="I241" i="37" a="1"/>
  <c r="I241" i="37" s="1"/>
  <c r="I242" i="37" a="1"/>
  <c r="I242" i="37"/>
  <c r="I243" i="37" a="1"/>
  <c r="I243" i="37" s="1"/>
  <c r="I244" i="37" a="1"/>
  <c r="I244" i="37" s="1"/>
  <c r="I245" i="37" a="1"/>
  <c r="I245" i="37" s="1"/>
  <c r="I246" i="37" a="1"/>
  <c r="I246" i="37" s="1"/>
  <c r="I247" i="37" a="1"/>
  <c r="I247" i="37" s="1"/>
  <c r="I248" i="37" a="1"/>
  <c r="I248" i="37" s="1"/>
  <c r="I249" i="37" a="1"/>
  <c r="I249" i="37" s="1"/>
  <c r="I250" i="37" a="1"/>
  <c r="I250" i="37"/>
  <c r="I251" i="37" a="1"/>
  <c r="I251" i="37" s="1"/>
  <c r="I252" i="37" a="1"/>
  <c r="I252" i="37" s="1"/>
  <c r="I253" i="37" a="1"/>
  <c r="I253" i="37" s="1"/>
  <c r="I254" i="37" a="1"/>
  <c r="I254" i="37" s="1"/>
  <c r="I255" i="37" a="1"/>
  <c r="I255" i="37" s="1"/>
  <c r="I256" i="37" a="1"/>
  <c r="I256" i="37" s="1"/>
  <c r="I257" i="37" a="1"/>
  <c r="I257" i="37" s="1"/>
  <c r="I258" i="37" a="1"/>
  <c r="I258" i="37"/>
  <c r="I259" i="37" a="1"/>
  <c r="I259" i="37" s="1"/>
  <c r="I260" i="37" a="1"/>
  <c r="I260" i="37" s="1"/>
  <c r="I261" i="37" a="1"/>
  <c r="I261" i="37" s="1"/>
  <c r="I262" i="37" a="1"/>
  <c r="I262" i="37" s="1"/>
  <c r="I263" i="37" a="1"/>
  <c r="I263" i="37" s="1"/>
  <c r="I264" i="37" a="1"/>
  <c r="I264" i="37" s="1"/>
  <c r="I265" i="37" a="1"/>
  <c r="I265" i="37" s="1"/>
  <c r="I266" i="37" a="1"/>
  <c r="I266" i="37"/>
  <c r="I267" i="37" a="1"/>
  <c r="I267" i="37" s="1"/>
  <c r="I268" i="37" a="1"/>
  <c r="I268" i="37" s="1"/>
  <c r="I269" i="37" a="1"/>
  <c r="I269" i="37" s="1"/>
  <c r="I270" i="37" a="1"/>
  <c r="I270" i="37" s="1"/>
  <c r="I271" i="37" a="1"/>
  <c r="I271" i="37" s="1"/>
  <c r="I272" i="37" a="1"/>
  <c r="I272" i="37" s="1"/>
  <c r="I273" i="37" a="1"/>
  <c r="I273" i="37" s="1"/>
  <c r="I274" i="37" a="1"/>
  <c r="I274" i="37"/>
  <c r="I275" i="37" a="1"/>
  <c r="I275" i="37" s="1"/>
  <c r="I276" i="37" a="1"/>
  <c r="I276" i="37" s="1"/>
  <c r="I277" i="37" a="1"/>
  <c r="I277" i="37" s="1"/>
  <c r="I278" i="37" a="1"/>
  <c r="I278" i="37" s="1"/>
  <c r="I279" i="37" a="1"/>
  <c r="I279" i="37" s="1"/>
  <c r="I280" i="37" a="1"/>
  <c r="I280" i="37" s="1"/>
  <c r="I281" i="37" a="1"/>
  <c r="I281" i="37" s="1"/>
  <c r="I282" i="37" a="1"/>
  <c r="I282" i="37"/>
  <c r="I283" i="37" a="1"/>
  <c r="I283" i="37" s="1"/>
  <c r="I284" i="37" a="1"/>
  <c r="I284" i="37" s="1"/>
  <c r="I285" i="37" a="1"/>
  <c r="I285" i="37" s="1"/>
  <c r="I286" i="37" a="1"/>
  <c r="I286" i="37" s="1"/>
  <c r="I287" i="37" a="1"/>
  <c r="I287" i="37" s="1"/>
  <c r="I288" i="37" a="1"/>
  <c r="I288" i="37" s="1"/>
  <c r="I289" i="37" a="1"/>
  <c r="I289" i="37" s="1"/>
  <c r="I290" i="37" a="1"/>
  <c r="I290" i="37"/>
  <c r="I291" i="37" a="1"/>
  <c r="I291" i="37" s="1"/>
  <c r="I292" i="37" a="1"/>
  <c r="I292" i="37" s="1"/>
  <c r="I293" i="37" a="1"/>
  <c r="I293" i="37" s="1"/>
  <c r="I294" i="37" a="1"/>
  <c r="I294" i="37" s="1"/>
  <c r="I295" i="37" a="1"/>
  <c r="I295" i="37" s="1"/>
  <c r="I296" i="37" a="1"/>
  <c r="I296" i="37" s="1"/>
  <c r="I297" i="37" a="1"/>
  <c r="I297" i="37" s="1"/>
  <c r="I298" i="37" a="1"/>
  <c r="I298" i="37"/>
  <c r="I299" i="37" a="1"/>
  <c r="I299" i="37" s="1"/>
  <c r="I300" i="37" a="1"/>
  <c r="I300" i="37" s="1"/>
  <c r="I301" i="37" a="1"/>
  <c r="I301" i="37" s="1"/>
  <c r="I302" i="37" a="1"/>
  <c r="I302" i="37" s="1"/>
  <c r="I303" i="37" a="1"/>
  <c r="I303" i="37"/>
  <c r="I304" i="37" a="1"/>
  <c r="I304" i="37" s="1"/>
  <c r="I305" i="37" a="1"/>
  <c r="I305" i="37"/>
  <c r="I306" i="37" a="1"/>
  <c r="I306" i="37" s="1"/>
  <c r="I307" i="37" a="1"/>
  <c r="I307" i="37"/>
  <c r="I308" i="37" a="1"/>
  <c r="I308" i="37" s="1"/>
  <c r="I309" i="37" a="1"/>
  <c r="I309" i="37"/>
  <c r="I310" i="37" a="1"/>
  <c r="I310" i="37" s="1"/>
  <c r="I311" i="37" a="1"/>
  <c r="I311" i="37"/>
  <c r="I312" i="37" a="1"/>
  <c r="I312" i="37" s="1"/>
  <c r="I313" i="37" a="1"/>
  <c r="I313" i="37"/>
  <c r="I314" i="37" a="1"/>
  <c r="I314" i="37" s="1"/>
  <c r="I315" i="37" a="1"/>
  <c r="I315" i="37"/>
  <c r="I316" i="37" a="1"/>
  <c r="I316" i="37" s="1"/>
  <c r="I317" i="37" a="1"/>
  <c r="I317" i="37"/>
  <c r="I318" i="37" a="1"/>
  <c r="I318" i="37" s="1"/>
  <c r="I319" i="37" a="1"/>
  <c r="I319" i="37"/>
  <c r="I320" i="37" a="1"/>
  <c r="I320" i="37" s="1"/>
  <c r="I321" i="37" a="1"/>
  <c r="I321" i="37"/>
  <c r="I322" i="37" a="1"/>
  <c r="I322" i="37" s="1"/>
  <c r="I323" i="37" a="1"/>
  <c r="I323" i="37"/>
  <c r="I324" i="37" a="1"/>
  <c r="I324" i="37" s="1"/>
  <c r="I325" i="37" a="1"/>
  <c r="I325" i="37"/>
  <c r="I326" i="37" a="1"/>
  <c r="I326" i="37" s="1"/>
  <c r="I327" i="37" a="1"/>
  <c r="I327" i="37"/>
  <c r="I328" i="37" a="1"/>
  <c r="I328" i="37" s="1"/>
  <c r="I329" i="37" a="1"/>
  <c r="I329" i="37"/>
  <c r="I330" i="37" a="1"/>
  <c r="I330" i="37" s="1"/>
  <c r="I331" i="37" a="1"/>
  <c r="I331" i="37"/>
  <c r="I332" i="37" a="1"/>
  <c r="I332" i="37" s="1"/>
  <c r="I333" i="37" a="1"/>
  <c r="I333" i="37"/>
  <c r="I334" i="37" a="1"/>
  <c r="I334" i="37" s="1"/>
  <c r="I335" i="37" a="1"/>
  <c r="I335" i="37"/>
  <c r="I336" i="37" a="1"/>
  <c r="I336" i="37" s="1"/>
  <c r="I337" i="37" a="1"/>
  <c r="I337" i="37"/>
  <c r="I338" i="37" a="1"/>
  <c r="I338" i="37" s="1"/>
  <c r="I339" i="37" a="1"/>
  <c r="I339" i="37"/>
  <c r="I340" i="37" a="1"/>
  <c r="I340" i="37" s="1"/>
  <c r="I341" i="37" a="1"/>
  <c r="I341" i="37"/>
  <c r="I342" i="37" a="1"/>
  <c r="I342" i="37" s="1"/>
  <c r="I343" i="37" a="1"/>
  <c r="I343" i="37"/>
  <c r="I2" i="37" a="1"/>
  <c r="I2" i="37" s="1"/>
  <c r="H3" i="37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5" i="37"/>
  <c r="H36" i="37"/>
  <c r="H37" i="37"/>
  <c r="H38" i="37"/>
  <c r="H39" i="37"/>
  <c r="H40" i="37"/>
  <c r="H41" i="37"/>
  <c r="H42" i="37"/>
  <c r="H43" i="37"/>
  <c r="H44" i="37"/>
  <c r="H45" i="37"/>
  <c r="H46" i="37"/>
  <c r="H47" i="37"/>
  <c r="H48" i="37"/>
  <c r="H49" i="37"/>
  <c r="H50" i="37"/>
  <c r="H51" i="37"/>
  <c r="H52" i="37"/>
  <c r="H53" i="37"/>
  <c r="H54" i="37"/>
  <c r="H55" i="37"/>
  <c r="H56" i="37"/>
  <c r="H57" i="37"/>
  <c r="H58" i="37"/>
  <c r="H59" i="37"/>
  <c r="H60" i="37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86" i="37"/>
  <c r="H87" i="37"/>
  <c r="H88" i="37"/>
  <c r="H89" i="37"/>
  <c r="H90" i="37"/>
  <c r="H91" i="37"/>
  <c r="H92" i="37"/>
  <c r="H93" i="37"/>
  <c r="H94" i="37"/>
  <c r="H95" i="37"/>
  <c r="H96" i="37"/>
  <c r="H97" i="37"/>
  <c r="H98" i="37"/>
  <c r="H99" i="37"/>
  <c r="H100" i="37"/>
  <c r="H101" i="37"/>
  <c r="H102" i="37"/>
  <c r="H103" i="37"/>
  <c r="H104" i="37"/>
  <c r="H105" i="37"/>
  <c r="H106" i="37"/>
  <c r="H107" i="37"/>
  <c r="H108" i="37"/>
  <c r="H109" i="37"/>
  <c r="H110" i="37"/>
  <c r="H111" i="37"/>
  <c r="H112" i="37"/>
  <c r="H113" i="37"/>
  <c r="H114" i="37"/>
  <c r="H115" i="37"/>
  <c r="H116" i="37"/>
  <c r="H117" i="37"/>
  <c r="H118" i="37"/>
  <c r="H119" i="37"/>
  <c r="H120" i="37"/>
  <c r="H121" i="37"/>
  <c r="H122" i="37"/>
  <c r="H123" i="37"/>
  <c r="H124" i="37"/>
  <c r="H125" i="37"/>
  <c r="H126" i="37"/>
  <c r="H127" i="37"/>
  <c r="H128" i="37"/>
  <c r="H129" i="37"/>
  <c r="H130" i="37"/>
  <c r="H131" i="37"/>
  <c r="H132" i="37"/>
  <c r="H133" i="37"/>
  <c r="H134" i="37"/>
  <c r="H135" i="37"/>
  <c r="H136" i="37"/>
  <c r="H137" i="37"/>
  <c r="H138" i="37"/>
  <c r="H139" i="37"/>
  <c r="H140" i="37"/>
  <c r="H141" i="37"/>
  <c r="H142" i="37"/>
  <c r="H143" i="37"/>
  <c r="H144" i="37"/>
  <c r="H145" i="37"/>
  <c r="H146" i="37"/>
  <c r="H147" i="37"/>
  <c r="H148" i="37"/>
  <c r="H149" i="37"/>
  <c r="H150" i="37"/>
  <c r="H151" i="37"/>
  <c r="H152" i="37"/>
  <c r="H153" i="37"/>
  <c r="H154" i="37"/>
  <c r="H155" i="37"/>
  <c r="H156" i="37"/>
  <c r="H157" i="37"/>
  <c r="H158" i="37"/>
  <c r="H159" i="37"/>
  <c r="H160" i="37"/>
  <c r="H161" i="37"/>
  <c r="H162" i="37"/>
  <c r="H163" i="37"/>
  <c r="H164" i="37"/>
  <c r="H165" i="37"/>
  <c r="H166" i="37"/>
  <c r="H167" i="37"/>
  <c r="H168" i="37"/>
  <c r="H169" i="37"/>
  <c r="H170" i="37"/>
  <c r="H171" i="37"/>
  <c r="H172" i="37"/>
  <c r="H173" i="37"/>
  <c r="H174" i="37"/>
  <c r="H175" i="37"/>
  <c r="H176" i="37"/>
  <c r="H177" i="37"/>
  <c r="H178" i="37"/>
  <c r="H179" i="37"/>
  <c r="H180" i="37"/>
  <c r="H181" i="37"/>
  <c r="H182" i="37"/>
  <c r="H183" i="37"/>
  <c r="H184" i="37"/>
  <c r="H185" i="37"/>
  <c r="H186" i="37"/>
  <c r="H187" i="37"/>
  <c r="H188" i="37"/>
  <c r="H189" i="37"/>
  <c r="H190" i="37"/>
  <c r="H191" i="37"/>
  <c r="H192" i="37"/>
  <c r="H193" i="37"/>
  <c r="H194" i="37"/>
  <c r="H195" i="37"/>
  <c r="H196" i="37"/>
  <c r="H197" i="37"/>
  <c r="H198" i="37"/>
  <c r="H199" i="37"/>
  <c r="H200" i="37"/>
  <c r="H201" i="37"/>
  <c r="H202" i="37"/>
  <c r="H203" i="37"/>
  <c r="H204" i="37"/>
  <c r="H205" i="37"/>
  <c r="H206" i="37"/>
  <c r="H207" i="37"/>
  <c r="H208" i="37"/>
  <c r="H209" i="37"/>
  <c r="H210" i="37"/>
  <c r="H211" i="37"/>
  <c r="H212" i="37"/>
  <c r="H213" i="37"/>
  <c r="H214" i="37"/>
  <c r="H215" i="37"/>
  <c r="H216" i="37"/>
  <c r="H217" i="37"/>
  <c r="H218" i="37"/>
  <c r="H219" i="37"/>
  <c r="H220" i="37"/>
  <c r="H221" i="37"/>
  <c r="H222" i="37"/>
  <c r="H223" i="37"/>
  <c r="H224" i="37"/>
  <c r="H225" i="37"/>
  <c r="H226" i="37"/>
  <c r="H227" i="37"/>
  <c r="H228" i="37"/>
  <c r="H229" i="37"/>
  <c r="H230" i="37"/>
  <c r="H231" i="37"/>
  <c r="H232" i="37"/>
  <c r="H233" i="37"/>
  <c r="H234" i="37"/>
  <c r="H235" i="37"/>
  <c r="H236" i="37"/>
  <c r="H237" i="37"/>
  <c r="H238" i="37"/>
  <c r="H239" i="37"/>
  <c r="H240" i="37"/>
  <c r="H241" i="37"/>
  <c r="H242" i="37"/>
  <c r="H243" i="37"/>
  <c r="H244" i="37"/>
  <c r="H245" i="37"/>
  <c r="H246" i="37"/>
  <c r="H247" i="37"/>
  <c r="H248" i="37"/>
  <c r="H249" i="37"/>
  <c r="H250" i="37"/>
  <c r="H251" i="37"/>
  <c r="H252" i="37"/>
  <c r="H253" i="37"/>
  <c r="H254" i="37"/>
  <c r="H255" i="37"/>
  <c r="H256" i="37"/>
  <c r="H257" i="37"/>
  <c r="H258" i="37"/>
  <c r="H259" i="37"/>
  <c r="H260" i="37"/>
  <c r="H261" i="37"/>
  <c r="H262" i="37"/>
  <c r="H263" i="37"/>
  <c r="H264" i="37"/>
  <c r="H265" i="37"/>
  <c r="H266" i="37"/>
  <c r="H267" i="37"/>
  <c r="H268" i="37"/>
  <c r="H269" i="37"/>
  <c r="H270" i="37"/>
  <c r="H271" i="37"/>
  <c r="H272" i="37"/>
  <c r="H273" i="37"/>
  <c r="H274" i="37"/>
  <c r="H275" i="37"/>
  <c r="H276" i="37"/>
  <c r="H277" i="37"/>
  <c r="H278" i="37"/>
  <c r="H279" i="37"/>
  <c r="H280" i="37"/>
  <c r="H281" i="37"/>
  <c r="H282" i="37"/>
  <c r="H283" i="37"/>
  <c r="H284" i="37"/>
  <c r="H285" i="37"/>
  <c r="H286" i="37"/>
  <c r="H287" i="37"/>
  <c r="H288" i="37"/>
  <c r="H289" i="37"/>
  <c r="H290" i="37"/>
  <c r="H291" i="37"/>
  <c r="H292" i="37"/>
  <c r="H293" i="37"/>
  <c r="H294" i="37"/>
  <c r="H295" i="37"/>
  <c r="H296" i="37"/>
  <c r="H297" i="37"/>
  <c r="H298" i="37"/>
  <c r="H299" i="37"/>
  <c r="H300" i="37"/>
  <c r="H301" i="37"/>
  <c r="H302" i="37"/>
  <c r="H303" i="37"/>
  <c r="H304" i="37"/>
  <c r="H305" i="37"/>
  <c r="H306" i="37"/>
  <c r="H307" i="37"/>
  <c r="H308" i="37"/>
  <c r="H309" i="37"/>
  <c r="H310" i="37"/>
  <c r="H311" i="37"/>
  <c r="H312" i="37"/>
  <c r="H313" i="37"/>
  <c r="H314" i="37"/>
  <c r="H315" i="37"/>
  <c r="H316" i="37"/>
  <c r="H317" i="37"/>
  <c r="H318" i="37"/>
  <c r="H319" i="37"/>
  <c r="H320" i="37"/>
  <c r="H321" i="37"/>
  <c r="H322" i="37"/>
  <c r="H323" i="37"/>
  <c r="H324" i="37"/>
  <c r="H325" i="37"/>
  <c r="H326" i="37"/>
  <c r="H327" i="37"/>
  <c r="H328" i="37"/>
  <c r="H329" i="37"/>
  <c r="H330" i="37"/>
  <c r="H331" i="37"/>
  <c r="H332" i="37"/>
  <c r="H333" i="37"/>
  <c r="H334" i="37"/>
  <c r="H335" i="37"/>
  <c r="H336" i="37"/>
  <c r="H337" i="37"/>
  <c r="H338" i="37"/>
  <c r="H339" i="37"/>
  <c r="H340" i="37"/>
  <c r="H341" i="37"/>
  <c r="H342" i="37"/>
  <c r="H343" i="37"/>
  <c r="H2" i="37"/>
  <c r="N3" i="36"/>
  <c r="N4" i="36"/>
  <c r="N5" i="36"/>
  <c r="N6" i="36"/>
  <c r="N7" i="36"/>
  <c r="N8" i="36"/>
  <c r="N9" i="36"/>
  <c r="N10" i="36"/>
  <c r="N11" i="36"/>
  <c r="N12" i="36"/>
  <c r="N13" i="36"/>
  <c r="N14" i="36"/>
  <c r="N15" i="36"/>
  <c r="N16" i="36"/>
  <c r="N17" i="36"/>
  <c r="N18" i="36"/>
  <c r="N2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D2" i="36"/>
  <c r="M2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D5" i="36"/>
  <c r="D4" i="36"/>
  <c r="D3" i="36"/>
  <c r="M3" i="35"/>
  <c r="M4" i="35"/>
  <c r="M5" i="35"/>
  <c r="M6" i="35"/>
  <c r="M7" i="35"/>
  <c r="M8" i="35"/>
  <c r="M9" i="35"/>
  <c r="M10" i="35"/>
  <c r="M11" i="35"/>
  <c r="M12" i="35"/>
  <c r="M13" i="35"/>
  <c r="M14" i="35"/>
  <c r="M15" i="35"/>
  <c r="M16" i="35"/>
  <c r="M2" i="35"/>
  <c r="L3" i="35"/>
  <c r="L4" i="35"/>
  <c r="L5" i="35"/>
  <c r="L6" i="35"/>
  <c r="L7" i="35"/>
  <c r="L8" i="35"/>
  <c r="L9" i="35"/>
  <c r="L10" i="35"/>
  <c r="L11" i="35"/>
  <c r="L12" i="35"/>
  <c r="L13" i="35"/>
  <c r="L14" i="35"/>
  <c r="L15" i="35"/>
  <c r="L16" i="35"/>
  <c r="L2" i="35"/>
  <c r="K16" i="35"/>
  <c r="K3" i="35"/>
  <c r="K4" i="35"/>
  <c r="K5" i="35"/>
  <c r="K6" i="35"/>
  <c r="K7" i="35"/>
  <c r="K8" i="35"/>
  <c r="K9" i="35"/>
  <c r="K10" i="35"/>
  <c r="K11" i="35"/>
  <c r="K12" i="35"/>
  <c r="K13" i="35"/>
  <c r="K14" i="35"/>
  <c r="K15" i="35"/>
  <c r="K2" i="35"/>
  <c r="J15" i="35"/>
  <c r="J16" i="35"/>
  <c r="J3" i="35"/>
  <c r="J4" i="35"/>
  <c r="J5" i="35"/>
  <c r="J6" i="35"/>
  <c r="J7" i="35"/>
  <c r="J8" i="35"/>
  <c r="J9" i="35"/>
  <c r="J10" i="35"/>
  <c r="J11" i="35"/>
  <c r="J12" i="35"/>
  <c r="J13" i="35"/>
  <c r="J14" i="35"/>
  <c r="J2" i="35"/>
  <c r="C18" i="34"/>
  <c r="C19" i="34"/>
  <c r="C20" i="34"/>
  <c r="C21" i="34"/>
  <c r="C22" i="34"/>
  <c r="C17" i="34"/>
  <c r="L7" i="34"/>
  <c r="L8" i="34"/>
  <c r="L9" i="34"/>
  <c r="L10" i="34"/>
  <c r="L11" i="34"/>
  <c r="L12" i="34"/>
  <c r="L13" i="34"/>
  <c r="L6" i="34"/>
  <c r="K10" i="34"/>
  <c r="K11" i="34"/>
  <c r="K12" i="34"/>
  <c r="K13" i="34"/>
  <c r="K7" i="34"/>
  <c r="K8" i="34"/>
  <c r="K9" i="34"/>
  <c r="K6" i="34"/>
  <c r="D61" i="34"/>
  <c r="D60" i="34"/>
  <c r="D59" i="34"/>
  <c r="D58" i="34"/>
  <c r="F57" i="34" a="1"/>
  <c r="F62" i="34" s="1"/>
  <c r="D57" i="34"/>
  <c r="E49" i="34"/>
  <c r="D49" i="34"/>
  <c r="E48" i="34"/>
  <c r="D48" i="34"/>
  <c r="E47" i="34"/>
  <c r="D47" i="34"/>
  <c r="E46" i="34"/>
  <c r="D46" i="34"/>
  <c r="E45" i="34"/>
  <c r="D45" i="34"/>
  <c r="D40" i="34"/>
  <c r="D39" i="34"/>
  <c r="D38" i="34"/>
  <c r="D37" i="34"/>
  <c r="D36" i="34"/>
  <c r="D31" i="34"/>
  <c r="D30" i="34"/>
  <c r="D29" i="34"/>
  <c r="D28" i="34"/>
  <c r="D27" i="34"/>
  <c r="C11" i="34"/>
  <c r="C10" i="34"/>
  <c r="C9" i="34"/>
  <c r="C8" i="34"/>
  <c r="C7" i="34"/>
  <c r="C6" i="34"/>
  <c r="C5" i="34"/>
  <c r="N3" i="33"/>
  <c r="N4" i="33"/>
  <c r="N5" i="33"/>
  <c r="N6" i="33"/>
  <c r="N7" i="33"/>
  <c r="N8" i="33"/>
  <c r="N9" i="33"/>
  <c r="N10" i="33"/>
  <c r="N11" i="33"/>
  <c r="N2" i="33"/>
  <c r="M3" i="33"/>
  <c r="M4" i="33"/>
  <c r="M5" i="33"/>
  <c r="M6" i="33"/>
  <c r="M7" i="33"/>
  <c r="M8" i="33"/>
  <c r="M9" i="33"/>
  <c r="M10" i="33"/>
  <c r="M11" i="33"/>
  <c r="M2" i="33"/>
  <c r="L3" i="33"/>
  <c r="L4" i="33"/>
  <c r="L5" i="33"/>
  <c r="L6" i="33"/>
  <c r="L7" i="33"/>
  <c r="L8" i="33"/>
  <c r="L9" i="33"/>
  <c r="L10" i="33"/>
  <c r="L11" i="33"/>
  <c r="L2" i="33"/>
  <c r="K3" i="33"/>
  <c r="K4" i="33"/>
  <c r="K5" i="33"/>
  <c r="K6" i="33"/>
  <c r="K7" i="33"/>
  <c r="K8" i="33"/>
  <c r="K9" i="33"/>
  <c r="K10" i="33"/>
  <c r="K11" i="33"/>
  <c r="K2" i="33"/>
  <c r="J3" i="33"/>
  <c r="J4" i="33"/>
  <c r="J5" i="33"/>
  <c r="J6" i="33"/>
  <c r="J7" i="33"/>
  <c r="J8" i="33"/>
  <c r="J9" i="33"/>
  <c r="J10" i="33"/>
  <c r="J11" i="33"/>
  <c r="J2" i="33"/>
  <c r="I3" i="33"/>
  <c r="I4" i="33"/>
  <c r="I5" i="33"/>
  <c r="I6" i="33"/>
  <c r="I7" i="33"/>
  <c r="I8" i="33"/>
  <c r="I9" i="33"/>
  <c r="I10" i="33"/>
  <c r="I11" i="33"/>
  <c r="I2" i="33"/>
  <c r="H3" i="33"/>
  <c r="H4" i="33"/>
  <c r="H5" i="33"/>
  <c r="H6" i="33"/>
  <c r="H7" i="33"/>
  <c r="H8" i="33"/>
  <c r="H9" i="33"/>
  <c r="H10" i="33"/>
  <c r="H11" i="33"/>
  <c r="H2" i="33"/>
  <c r="G3" i="33"/>
  <c r="G4" i="33"/>
  <c r="G5" i="33"/>
  <c r="G6" i="33"/>
  <c r="G7" i="33"/>
  <c r="G8" i="33"/>
  <c r="G9" i="33"/>
  <c r="G10" i="33"/>
  <c r="G11" i="33"/>
  <c r="G2" i="33"/>
  <c r="F3" i="33"/>
  <c r="F4" i="33"/>
  <c r="F5" i="33"/>
  <c r="F6" i="33"/>
  <c r="F7" i="33"/>
  <c r="F8" i="33"/>
  <c r="F9" i="33"/>
  <c r="F10" i="33"/>
  <c r="F11" i="33"/>
  <c r="F2" i="33"/>
  <c r="E3" i="33"/>
  <c r="E4" i="33"/>
  <c r="E5" i="33"/>
  <c r="E6" i="33"/>
  <c r="E7" i="33"/>
  <c r="E8" i="33"/>
  <c r="E9" i="33"/>
  <c r="E10" i="33"/>
  <c r="E11" i="33"/>
  <c r="E2" i="33"/>
  <c r="N14" i="32"/>
  <c r="L14" i="32"/>
  <c r="M9" i="32"/>
  <c r="K9" i="32"/>
  <c r="I12" i="32"/>
  <c r="I9" i="32"/>
  <c r="K3" i="32"/>
  <c r="J3" i="32"/>
  <c r="I3" i="32"/>
  <c r="L3" i="31"/>
  <c r="K3" i="31"/>
  <c r="J3" i="31"/>
  <c r="J15" i="31"/>
  <c r="L14" i="31"/>
  <c r="K14" i="31"/>
  <c r="J14" i="31"/>
  <c r="L4" i="31"/>
  <c r="M13" i="29"/>
  <c r="M8" i="29"/>
  <c r="M6" i="29"/>
  <c r="K16" i="29"/>
  <c r="K17" i="29"/>
  <c r="K13" i="29"/>
  <c r="K8" i="29"/>
  <c r="K4" i="29"/>
  <c r="I8" i="29"/>
  <c r="I13" i="29"/>
  <c r="I4" i="29"/>
  <c r="G4" i="29"/>
  <c r="G5" i="29"/>
  <c r="G3" i="29"/>
  <c r="G14" i="29"/>
  <c r="G9" i="29"/>
  <c r="N11" i="27"/>
  <c r="L11" i="27"/>
  <c r="J11" i="27"/>
  <c r="N6" i="27"/>
  <c r="I6" i="27"/>
  <c r="K6" i="27"/>
  <c r="L6" i="27"/>
  <c r="H5" i="4"/>
  <c r="H7" i="4"/>
  <c r="F3" i="41" l="1"/>
  <c r="J4" i="41" s="1"/>
  <c r="F60" i="34"/>
  <c r="F59" i="34"/>
  <c r="F57" i="34"/>
  <c r="F61" i="34"/>
  <c r="F58" i="34"/>
  <c r="H18" i="29"/>
  <c r="I18" i="29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" i="12"/>
  <c r="I22" i="12"/>
  <c r="I23" i="12"/>
  <c r="I24" i="12"/>
  <c r="I25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3" i="12"/>
  <c r="I4" i="12"/>
  <c r="I5" i="12"/>
  <c r="I6" i="12"/>
  <c r="I2" i="12"/>
  <c r="H3" i="11"/>
  <c r="J2" i="41" l="1"/>
  <c r="K2" i="41"/>
  <c r="L2" i="4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2" i="9"/>
  <c r="B6" i="8" l="1"/>
  <c r="B4" i="8"/>
  <c r="B5" i="8" l="1"/>
  <c r="B7" i="8" s="1"/>
  <c r="H10" i="4" l="1"/>
  <c r="H9" i="4"/>
  <c r="H15" i="4"/>
  <c r="H14" i="4"/>
  <c r="H8" i="4"/>
  <c r="H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47D27A-4E29-4DF1-8EDA-12C52504B54C}" keepAlive="1" name="Query - Books_Unique_Dataset" description="Connection to the 'Books_Unique_Dataset' query in the workbook." type="5" refreshedVersion="7" background="1" saveData="1">
    <dbPr connection="Provider=Microsoft.Mashup.OleDb.1;Data Source=$Workbook$;Location=Books_Unique_Dataset;Extended Properties=&quot;&quot;" command="SELECT * FROM [Books_Unique_Datase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<sst xmlns="http://schemas.openxmlformats.org/spreadsheetml/2006/main" count="4540" uniqueCount="1723">
  <si>
    <t>we can also remove cells lies into blank white page by slecting some cells &amp; apply white fill color</t>
  </si>
  <si>
    <t>we can warp text in order an dalso change the Orientation of text in differnet angles</t>
  </si>
  <si>
    <t xml:space="preserve">or we can go to Home&gt;Alighnment theres a drop down button &gt; click on it </t>
  </si>
  <si>
    <t>in this way we can use text or number warappping</t>
  </si>
  <si>
    <t>Sales Executive</t>
  </si>
  <si>
    <t>Region</t>
  </si>
  <si>
    <t>Day1</t>
  </si>
  <si>
    <t>Total Sales</t>
  </si>
  <si>
    <t>Raj Verma</t>
  </si>
  <si>
    <t>Mumbai</t>
  </si>
  <si>
    <t>Tanuja Kale</t>
  </si>
  <si>
    <t>Delhi</t>
  </si>
  <si>
    <t>Arvind Sharma</t>
  </si>
  <si>
    <t>Nagpur</t>
  </si>
  <si>
    <t>Tahira Qureshi</t>
  </si>
  <si>
    <t>Chennai</t>
  </si>
  <si>
    <t>Anuj Sharma</t>
  </si>
  <si>
    <t>Pune</t>
  </si>
  <si>
    <t>Syed Sohail</t>
  </si>
  <si>
    <t>Patna</t>
  </si>
  <si>
    <t>Syed Saqib</t>
  </si>
  <si>
    <t>Ranchi</t>
  </si>
  <si>
    <t>Syed Naved</t>
  </si>
  <si>
    <t>Surat</t>
  </si>
  <si>
    <t>Swarnlata Borse</t>
  </si>
  <si>
    <t>Sushma Khandelwal</t>
  </si>
  <si>
    <t>Surendranath Thakur</t>
  </si>
  <si>
    <t>Surendra Kumar</t>
  </si>
  <si>
    <t>Sunita Madnani</t>
  </si>
  <si>
    <t>Sunita Chawla</t>
  </si>
  <si>
    <t>Sunil Kumar</t>
  </si>
  <si>
    <t>Sudhir Kumar</t>
  </si>
  <si>
    <t>Key aspects of Cell Formatiing :</t>
  </si>
  <si>
    <t>Formatting also includexs - Number formatting, Font formatting,Alighnment formatting,</t>
  </si>
  <si>
    <t>Border &amp; Fill ,  Cells styles , Conditional fomatting,Date &amp; Time Formatting, currency, Highlighting,</t>
  </si>
  <si>
    <t>Borders and so on…</t>
  </si>
  <si>
    <t>cell shortcuts (inserting &amp; deleting) &gt; naming &gt; sizing &gt; bordering with colors</t>
  </si>
  <si>
    <t>Alighnments &gt; text colors &gt; table styles &amp; so on….</t>
  </si>
  <si>
    <t>Cell formaitng is about coloring texts &gt; arranging orders &gt;</t>
  </si>
  <si>
    <t xml:space="preserve">available at quick access toolbar </t>
  </si>
  <si>
    <t>if not present add it manually by clicking on more commands</t>
  </si>
  <si>
    <t>Quantity of Perfumes Sold( Actual vs Target)</t>
  </si>
  <si>
    <t>Product</t>
  </si>
  <si>
    <t>Actual</t>
  </si>
  <si>
    <t>Target</t>
  </si>
  <si>
    <t>Variance</t>
  </si>
  <si>
    <t>Variance (2)</t>
  </si>
  <si>
    <t>to solve negative values in 'Variance 'column</t>
  </si>
  <si>
    <t>Suagr</t>
  </si>
  <si>
    <t>we created another column for the better example</t>
  </si>
  <si>
    <t>Salt</t>
  </si>
  <si>
    <t>Chillies</t>
  </si>
  <si>
    <t>select the total column then press Ctrl+1</t>
  </si>
  <si>
    <t>Vegetables</t>
  </si>
  <si>
    <t>Groceries</t>
  </si>
  <si>
    <t>[Green]0" &gt;",[Red]0"&lt;"</t>
  </si>
  <si>
    <t>Mobile</t>
  </si>
  <si>
    <t>to add symbol press Alt+30,Alt+31</t>
  </si>
  <si>
    <t>Chicks</t>
  </si>
  <si>
    <t>Eggs</t>
  </si>
  <si>
    <t>not working in my excel</t>
  </si>
  <si>
    <t>unable to ad up and dwon arrows so</t>
  </si>
  <si>
    <t>Breds</t>
  </si>
  <si>
    <t>I added&lt; &gt; which is getting error</t>
  </si>
  <si>
    <t>Sweets</t>
  </si>
  <si>
    <t>Snacks</t>
  </si>
  <si>
    <t>Salad</t>
  </si>
  <si>
    <t>Fruits</t>
  </si>
  <si>
    <t>Clothes</t>
  </si>
  <si>
    <t>Bluetooth</t>
  </si>
  <si>
    <t>Order #</t>
  </si>
  <si>
    <t>Customer</t>
  </si>
  <si>
    <t>Quantity</t>
  </si>
  <si>
    <t>Price Per Unit</t>
  </si>
  <si>
    <t>Total</t>
  </si>
  <si>
    <t>Staples</t>
  </si>
  <si>
    <t>WH Smith</t>
  </si>
  <si>
    <t>The Art Supply Store</t>
  </si>
  <si>
    <t>Brush Strokes</t>
  </si>
  <si>
    <t>Average Quantity</t>
  </si>
  <si>
    <t>Crafty Business</t>
  </si>
  <si>
    <t>No. of Orders</t>
  </si>
  <si>
    <t>Pens and Things</t>
  </si>
  <si>
    <t>No. of Customers</t>
  </si>
  <si>
    <t>Color Me Silly</t>
  </si>
  <si>
    <t>Minimum Sales</t>
  </si>
  <si>
    <t>Sketch &amp; Co</t>
  </si>
  <si>
    <t>Maximum Sales</t>
  </si>
  <si>
    <t>The Desinger Centre</t>
  </si>
  <si>
    <t>Waterstones</t>
  </si>
  <si>
    <t>Painterly</t>
  </si>
  <si>
    <t>J Howard and Sons</t>
  </si>
  <si>
    <t>Art Attack</t>
  </si>
  <si>
    <t>Total Quantity</t>
  </si>
  <si>
    <t>Doodles</t>
  </si>
  <si>
    <t>Total No. of Customers</t>
  </si>
  <si>
    <t>Name</t>
  </si>
  <si>
    <t>gender</t>
  </si>
  <si>
    <t>age</t>
  </si>
  <si>
    <t>Category</t>
  </si>
  <si>
    <t>Profit</t>
  </si>
  <si>
    <t>Sales Date</t>
  </si>
  <si>
    <t>payment_method</t>
  </si>
  <si>
    <t>Mary Harris</t>
  </si>
  <si>
    <t>Female</t>
  </si>
  <si>
    <t>West</t>
  </si>
  <si>
    <t>Clothing</t>
  </si>
  <si>
    <t>Credit Card</t>
  </si>
  <si>
    <t>Pamela Hans</t>
  </si>
  <si>
    <t>Furniture</t>
  </si>
  <si>
    <t>Peter Herman</t>
  </si>
  <si>
    <t>Male</t>
  </si>
  <si>
    <t>East</t>
  </si>
  <si>
    <t>Debit Card</t>
  </si>
  <si>
    <t>Jose Perkins</t>
  </si>
  <si>
    <t>Cash</t>
  </si>
  <si>
    <t>Minnie Marquis</t>
  </si>
  <si>
    <t>Stationery</t>
  </si>
  <si>
    <t>Ellen Wild</t>
  </si>
  <si>
    <t>Fmale</t>
  </si>
  <si>
    <t>South</t>
  </si>
  <si>
    <t>Sarah Brown</t>
  </si>
  <si>
    <t>Food</t>
  </si>
  <si>
    <t>Olivia Brown</t>
  </si>
  <si>
    <t>Michael Smith</t>
  </si>
  <si>
    <t>Ashley Lopez</t>
  </si>
  <si>
    <t>mily Clark</t>
  </si>
  <si>
    <t>Hannah Wilson</t>
  </si>
  <si>
    <t>Haley Perez</t>
  </si>
  <si>
    <t>North</t>
  </si>
  <si>
    <t>Samuel Timothy</t>
  </si>
  <si>
    <t>Matthew Lewis</t>
  </si>
  <si>
    <t>Ryan Harris</t>
  </si>
  <si>
    <t>Electronics</t>
  </si>
  <si>
    <t>Alexis Flores</t>
  </si>
  <si>
    <t>Alyssa Green</t>
  </si>
  <si>
    <t>James Carter</t>
  </si>
  <si>
    <t>Benjamin Hall</t>
  </si>
  <si>
    <t>Nicholas Scott</t>
  </si>
  <si>
    <t>Daniel Baker</t>
  </si>
  <si>
    <t>Freeze rows and columns</t>
  </si>
  <si>
    <t>view&gt; freeze panes</t>
  </si>
  <si>
    <r>
      <t>In Excel, "freeze panes" </t>
    </r>
    <r>
      <rPr>
        <sz val="11"/>
        <rFont val="Calibri"/>
        <family val="2"/>
        <scheme val="minor"/>
      </rPr>
      <t>allows you to keep specific rows or columns visible while scrolling through the rest of the worksheet</t>
    </r>
  </si>
  <si>
    <t>payment_type</t>
  </si>
  <si>
    <t>Data Validation:</t>
  </si>
  <si>
    <t>Allows you to tell Excel what a user can input in a cell.</t>
  </si>
  <si>
    <t>Basically saying what is allowed and what is not.</t>
  </si>
  <si>
    <t>Shortcut:</t>
  </si>
  <si>
    <t>Alt+A+V+V</t>
  </si>
  <si>
    <t>Asia</t>
  </si>
  <si>
    <t>Europe</t>
  </si>
  <si>
    <t>North America</t>
  </si>
  <si>
    <t>South America</t>
  </si>
  <si>
    <t>Example:</t>
  </si>
  <si>
    <t>Australia</t>
  </si>
  <si>
    <t>Data &gt; input message &gt; error alert &gt; we can set according to the entries</t>
  </si>
  <si>
    <t>IM RANVIJAY</t>
  </si>
  <si>
    <t>MYSELF RANVI</t>
  </si>
  <si>
    <t xml:space="preserve">MADHHUKAR </t>
  </si>
  <si>
    <t>I LOVE CODING</t>
  </si>
  <si>
    <t>error - stop</t>
  </si>
  <si>
    <t>settings - betwn 5 to 12</t>
  </si>
  <si>
    <t>input mssg - entr smthng</t>
  </si>
  <si>
    <t xml:space="preserve">we can clear all the formats same as we activate data validation &gt; clear all </t>
  </si>
  <si>
    <t>setting - List</t>
  </si>
  <si>
    <t>input msg -  select country</t>
  </si>
  <si>
    <t>error - information</t>
  </si>
  <si>
    <t>Mary</t>
  </si>
  <si>
    <t xml:space="preserve">Pamela </t>
  </si>
  <si>
    <t xml:space="preserve">Peter </t>
  </si>
  <si>
    <t xml:space="preserve">Jose </t>
  </si>
  <si>
    <t xml:space="preserve">Minnie </t>
  </si>
  <si>
    <t xml:space="preserve">Ellen </t>
  </si>
  <si>
    <t xml:space="preserve">Sarah </t>
  </si>
  <si>
    <t xml:space="preserve">Olivia </t>
  </si>
  <si>
    <t>Smith</t>
  </si>
  <si>
    <t>Lopez</t>
  </si>
  <si>
    <t xml:space="preserve">mily </t>
  </si>
  <si>
    <t>Wilson</t>
  </si>
  <si>
    <t>Perez</t>
  </si>
  <si>
    <t>Timothy</t>
  </si>
  <si>
    <t>Lewis</t>
  </si>
  <si>
    <t>Emp ID</t>
  </si>
  <si>
    <t>EMP01</t>
  </si>
  <si>
    <t>EMP02</t>
  </si>
  <si>
    <t>EMP03</t>
  </si>
  <si>
    <t>EMP04</t>
  </si>
  <si>
    <t>EMP05</t>
  </si>
  <si>
    <t>EMP06</t>
  </si>
  <si>
    <t>EMP07</t>
  </si>
  <si>
    <t>EMP08</t>
  </si>
  <si>
    <t>EMP09</t>
  </si>
  <si>
    <t>EMP10</t>
  </si>
  <si>
    <t>EMP11</t>
  </si>
  <si>
    <t>EMP12</t>
  </si>
  <si>
    <t>EMP13</t>
  </si>
  <si>
    <t>EMP14</t>
  </si>
  <si>
    <t>EMP15</t>
  </si>
  <si>
    <t>wholenumber</t>
  </si>
  <si>
    <t>Time</t>
  </si>
  <si>
    <t>11:00AM to 6pm</t>
  </si>
  <si>
    <t>5 to 20</t>
  </si>
  <si>
    <t>What-If Analysis</t>
  </si>
  <si>
    <t>What IF Analysis</t>
  </si>
  <si>
    <t>Price</t>
  </si>
  <si>
    <t>Scenario Management</t>
  </si>
  <si>
    <t>Qty</t>
  </si>
  <si>
    <t>Total Revenue</t>
  </si>
  <si>
    <t>Transport Cost</t>
  </si>
  <si>
    <t>Item Cost</t>
  </si>
  <si>
    <t>qty</t>
  </si>
  <si>
    <t>profit</t>
  </si>
  <si>
    <t>Total Cost</t>
  </si>
  <si>
    <t>(=B8)</t>
  </si>
  <si>
    <t>Goal Seek</t>
  </si>
  <si>
    <t>Data Table</t>
  </si>
  <si>
    <t>States1</t>
  </si>
  <si>
    <t>States2</t>
  </si>
  <si>
    <t>Gujarat</t>
  </si>
  <si>
    <t>Maharashtra</t>
  </si>
  <si>
    <t>Tamil Nadu</t>
  </si>
  <si>
    <t>Karnataka</t>
  </si>
  <si>
    <t>Telangana</t>
  </si>
  <si>
    <t>Punjab</t>
  </si>
  <si>
    <t>Using if formula</t>
  </si>
  <si>
    <t>Using conditional formatting</t>
  </si>
  <si>
    <t>Sales</t>
  </si>
  <si>
    <t>Department</t>
  </si>
  <si>
    <t>     Material      </t>
  </si>
  <si>
    <t>Finance</t>
  </si>
  <si>
    <t>WH1881NL01         </t>
  </si>
  <si>
    <t>Operations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</si>
  <si>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</si>
  <si>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</si>
  <si>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</si>
  <si>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</si>
  <si>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</si>
  <si>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</si>
  <si>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WH15955WL01     </t>
  </si>
  <si>
    <t>WH1595NL01         </t>
  </si>
  <si>
    <t>WH1595NM01         </t>
  </si>
  <si>
    <t>WH1595SL03         </t>
  </si>
  <si>
    <t>Finanace</t>
  </si>
  <si>
    <t>WH1595SL06         </t>
  </si>
  <si>
    <t>Product Code</t>
  </si>
  <si>
    <t>Product Name</t>
  </si>
  <si>
    <t>Stock</t>
  </si>
  <si>
    <t>Product_1</t>
  </si>
  <si>
    <t>ElecTronics</t>
  </si>
  <si>
    <t>P0002</t>
  </si>
  <si>
    <t>Product_2</t>
  </si>
  <si>
    <t>P0003</t>
  </si>
  <si>
    <t>Product_3</t>
  </si>
  <si>
    <t>FOOD</t>
  </si>
  <si>
    <t>P0004</t>
  </si>
  <si>
    <t>Product_4</t>
  </si>
  <si>
    <t>P00055</t>
  </si>
  <si>
    <t>P0005</t>
  </si>
  <si>
    <t>Product_5</t>
  </si>
  <si>
    <t>P0006</t>
  </si>
  <si>
    <t>Product_6</t>
  </si>
  <si>
    <t>P0007</t>
  </si>
  <si>
    <t>Product_7</t>
  </si>
  <si>
    <t>P0008</t>
  </si>
  <si>
    <t>Product_8</t>
  </si>
  <si>
    <t>P0009</t>
  </si>
  <si>
    <t>Product_9</t>
  </si>
  <si>
    <t>Product_101</t>
  </si>
  <si>
    <t>P0010</t>
  </si>
  <si>
    <t>Product_10</t>
  </si>
  <si>
    <t>P0011</t>
  </si>
  <si>
    <t>Product_11</t>
  </si>
  <si>
    <t>P0012</t>
  </si>
  <si>
    <t>Product_12</t>
  </si>
  <si>
    <t>P0013</t>
  </si>
  <si>
    <t>Product_13</t>
  </si>
  <si>
    <t>StationeRY</t>
  </si>
  <si>
    <t>P0014</t>
  </si>
  <si>
    <t>Product_14</t>
  </si>
  <si>
    <t>P0015</t>
  </si>
  <si>
    <t>Product_15</t>
  </si>
  <si>
    <t>P0016</t>
  </si>
  <si>
    <t>Product_16</t>
  </si>
  <si>
    <t>P0017</t>
  </si>
  <si>
    <t>Product_17</t>
  </si>
  <si>
    <t>P0018</t>
  </si>
  <si>
    <t>Product_18</t>
  </si>
  <si>
    <t>P0019</t>
  </si>
  <si>
    <t>Product_19</t>
  </si>
  <si>
    <t>P0020</t>
  </si>
  <si>
    <t>Product_20</t>
  </si>
  <si>
    <t>P0021</t>
  </si>
  <si>
    <t>Product_21</t>
  </si>
  <si>
    <t>P0022</t>
  </si>
  <si>
    <t>Product_22</t>
  </si>
  <si>
    <t>P0023</t>
  </si>
  <si>
    <t>Product_23</t>
  </si>
  <si>
    <t>P0024</t>
  </si>
  <si>
    <t>Product_24</t>
  </si>
  <si>
    <t>P0025</t>
  </si>
  <si>
    <t>Product_25</t>
  </si>
  <si>
    <t>P0026</t>
  </si>
  <si>
    <t>Product_26</t>
  </si>
  <si>
    <t>Books</t>
  </si>
  <si>
    <t>P0027</t>
  </si>
  <si>
    <t>Product_27</t>
  </si>
  <si>
    <t>P0028</t>
  </si>
  <si>
    <t>Product_28</t>
  </si>
  <si>
    <t>P0029</t>
  </si>
  <si>
    <t>Product_29</t>
  </si>
  <si>
    <t>Create a count row</t>
  </si>
  <si>
    <t>COUNTA(A2:F2) apply filters for finding the number of values present in the cell.</t>
  </si>
  <si>
    <t>select the entire data or click Ctrl+A then Ctrl+T</t>
  </si>
  <si>
    <t>select create table to add filters</t>
  </si>
  <si>
    <t>click on count filters drop down botton,select blanks only</t>
  </si>
  <si>
    <t>Select all the empty rows and columns</t>
  </si>
  <si>
    <t>Combine Function</t>
  </si>
  <si>
    <t>Julia Robert</t>
  </si>
  <si>
    <t>Brandon Campbell</t>
  </si>
  <si>
    <t>1</t>
  </si>
  <si>
    <t>Month</t>
  </si>
  <si>
    <t>department</t>
  </si>
  <si>
    <t>Column1</t>
  </si>
  <si>
    <t>Column2</t>
  </si>
  <si>
    <t>Column3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</si>
  <si>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</si>
  <si>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</si>
  <si>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</si>
  <si>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</si>
  <si>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</si>
  <si>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</si>
  <si>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</si>
  <si>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</si>
  <si>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</si>
  <si>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</si>
  <si>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</si>
  <si>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</si>
  <si>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col4</t>
  </si>
  <si>
    <t>Athlete Name</t>
  </si>
  <si>
    <t>Country</t>
  </si>
  <si>
    <t>Gender</t>
  </si>
  <si>
    <t>Medal</t>
  </si>
  <si>
    <t>Prize Money</t>
  </si>
  <si>
    <t>Page, Lisa</t>
  </si>
  <si>
    <t>USA</t>
  </si>
  <si>
    <t>F</t>
  </si>
  <si>
    <t>Taylor, Hector</t>
  </si>
  <si>
    <t>M</t>
  </si>
  <si>
    <t>Gold</t>
  </si>
  <si>
    <t>Dawson, Jonathan</t>
  </si>
  <si>
    <t>India</t>
  </si>
  <si>
    <t>Duran, Brian</t>
  </si>
  <si>
    <t>Silver</t>
  </si>
  <si>
    <t>Weber, Larry</t>
  </si>
  <si>
    <t>Pratt, Erik</t>
  </si>
  <si>
    <t>O'Connor, Kent</t>
  </si>
  <si>
    <t>South Africa</t>
  </si>
  <si>
    <t>Spencer, Lucy</t>
  </si>
  <si>
    <t>Wiggins, Frank</t>
  </si>
  <si>
    <t>Tanner, Claire</t>
  </si>
  <si>
    <t>Strickland, Rajean</t>
  </si>
  <si>
    <t>Chase, Susan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</si>
  <si>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</si>
  <si>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</si>
  <si>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</si>
  <si>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</si>
  <si>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</si>
  <si>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</si>
  <si>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</si>
  <si>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</si>
  <si>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Daimond</t>
  </si>
  <si>
    <t>Russia</t>
  </si>
  <si>
    <t>Rank</t>
  </si>
  <si>
    <t>Data Outline &gt; Group</t>
  </si>
  <si>
    <t>Go to : Adding PDF</t>
  </si>
  <si>
    <t>Author</t>
  </si>
  <si>
    <t>UserRating</t>
  </si>
  <si>
    <t>Reviews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</si>
  <si>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</si>
  <si>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</si>
  <si>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</si>
  <si>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</si>
  <si>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</si>
  <si>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</si>
  <si>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</si>
  <si>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</si>
  <si>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</si>
  <si>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</si>
  <si>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</si>
  <si>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</si>
  <si>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</si>
  <si>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</si>
  <si>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</si>
  <si>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</si>
  <si>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</si>
  <si>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</si>
  <si>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</si>
  <si>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</si>
  <si>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</si>
  <si>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</si>
  <si>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</si>
  <si>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</si>
  <si>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</si>
  <si>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</si>
  <si>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</si>
  <si>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</si>
  <si>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</si>
  <si>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</si>
  <si>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</si>
  <si>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</si>
  <si>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</si>
  <si>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</si>
  <si>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</si>
  <si>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</si>
  <si>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Paisleyâ€¦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</si>
  <si>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</si>
  <si>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</si>
  <si>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</si>
  <si>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</si>
  <si>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</si>
  <si>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</si>
  <si>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</si>
  <si>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</si>
  <si>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</si>
  <si>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</si>
  <si>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</si>
  <si>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</si>
  <si>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</si>
  <si>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</si>
  <si>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</si>
  <si>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</si>
  <si>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</si>
  <si>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</si>
  <si>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</si>
  <si>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</si>
  <si>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</si>
  <si>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</si>
  <si>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</si>
  <si>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</si>
  <si>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</si>
  <si>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</si>
  <si>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</si>
  <si>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</si>
  <si>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</si>
  <si>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</si>
  <si>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</si>
  <si>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</si>
  <si>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</si>
  <si>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</si>
  <si>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</si>
  <si>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</si>
  <si>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</si>
  <si>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</si>
  <si>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</si>
  <si>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</si>
  <si>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</si>
  <si>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</si>
  <si>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</si>
  <si>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</si>
  <si>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</si>
  <si>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</si>
  <si>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</si>
  <si>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</si>
  <si>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</si>
  <si>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</si>
  <si>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</si>
  <si>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</si>
  <si>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</si>
  <si>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</si>
  <si>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</si>
  <si>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</si>
  <si>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</si>
  <si>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</si>
  <si>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</si>
  <si>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BreneÌ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</si>
  <si>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</si>
  <si>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</si>
  <si>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</si>
  <si>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</si>
  <si>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</si>
  <si>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</si>
  <si>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</si>
  <si>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</si>
  <si>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</si>
  <si>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</si>
  <si>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</si>
  <si>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</si>
  <si>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</si>
  <si>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</si>
  <si>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</si>
  <si>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</si>
  <si>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</si>
  <si>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</si>
  <si>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</si>
  <si>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</si>
  <si>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</si>
  <si>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Allâ€¦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</si>
  <si>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</si>
  <si>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</si>
  <si>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</si>
  <si>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</si>
  <si>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</si>
  <si>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</si>
  <si>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</si>
  <si>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</si>
  <si>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</si>
  <si>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</si>
  <si>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</si>
  <si>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</si>
  <si>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</si>
  <si>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</si>
  <si>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</si>
  <si>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</si>
  <si>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</si>
  <si>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</si>
  <si>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</si>
  <si>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</si>
  <si>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</si>
  <si>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</si>
  <si>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</si>
  <si>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</si>
  <si>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Printsâ€¦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</si>
  <si>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</si>
  <si>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</si>
  <si>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</si>
  <si>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</si>
  <si>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</si>
  <si>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</si>
  <si>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</si>
  <si>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</si>
  <si>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</si>
  <si>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</si>
  <si>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</si>
  <si>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</si>
  <si>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</si>
  <si>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</si>
  <si>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</si>
  <si>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</si>
  <si>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</si>
  <si>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</si>
  <si>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</si>
  <si>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</si>
  <si>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</si>
  <si>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</si>
  <si>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</si>
  <si>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</si>
  <si>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</si>
  <si>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</si>
  <si>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</si>
  <si>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</si>
  <si>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</si>
  <si>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</si>
  <si>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</si>
  <si>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</si>
  <si>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</si>
  <si>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</si>
  <si>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</si>
  <si>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</si>
  <si>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</si>
  <si>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</si>
  <si>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</si>
  <si>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</si>
  <si>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</si>
  <si>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</si>
  <si>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</si>
  <si>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</si>
  <si>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</si>
  <si>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</si>
  <si>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</si>
  <si>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</si>
  <si>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</si>
  <si>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</si>
  <si>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</si>
  <si>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</si>
  <si>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</si>
  <si>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</si>
  <si>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</si>
  <si>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</si>
  <si>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</si>
  <si>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</si>
  <si>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</si>
  <si>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</si>
  <si>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</si>
  <si>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</si>
  <si>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</si>
  <si>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</si>
  <si>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</si>
  <si>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</si>
  <si>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</si>
  <si>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</si>
  <si>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</si>
  <si>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</si>
  <si>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</si>
  <si>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</si>
  <si>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</si>
  <si>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</si>
  <si>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</si>
  <si>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</si>
  <si>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</si>
  <si>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</si>
  <si>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</si>
  <si>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</si>
  <si>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</si>
  <si>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</si>
  <si>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</si>
  <si>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</si>
  <si>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</si>
  <si>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</si>
  <si>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</si>
  <si>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</si>
  <si>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</si>
  <si>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</si>
  <si>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</si>
  <si>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</si>
  <si>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</si>
  <si>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</si>
  <si>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</si>
  <si>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</si>
  <si>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</si>
  <si>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</si>
  <si>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</si>
  <si>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Healthyâ€¦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</si>
  <si>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</si>
  <si>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</si>
  <si>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</si>
  <si>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</si>
  <si>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</si>
  <si>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</si>
  <si>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</si>
  <si>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</si>
  <si>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</si>
  <si>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</si>
  <si>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</si>
  <si>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</si>
  <si>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</si>
  <si>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</si>
  <si>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</si>
  <si>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</si>
  <si>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</si>
  <si>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</si>
  <si>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</si>
  <si>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</si>
  <si>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ChildrenÂ’s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</si>
  <si>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</si>
  <si>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</si>
  <si>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</si>
  <si>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</si>
  <si>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</si>
  <si>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</si>
  <si>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</si>
  <si>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</si>
  <si>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</si>
  <si>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</si>
  <si>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</si>
  <si>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</si>
  <si>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</si>
  <si>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</si>
  <si>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</si>
  <si>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</si>
  <si>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</si>
  <si>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</si>
  <si>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</si>
  <si>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</si>
  <si>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</si>
  <si>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</si>
  <si>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</si>
  <si>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</si>
  <si>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</si>
  <si>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</si>
  <si>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</si>
  <si>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</si>
  <si>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</si>
  <si>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</si>
  <si>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</si>
  <si>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</si>
  <si>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</si>
  <si>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</si>
  <si>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</si>
  <si>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</si>
  <si>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</si>
  <si>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</si>
  <si>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</si>
  <si>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</si>
  <si>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</si>
  <si>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</si>
  <si>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</si>
  <si>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</si>
  <si>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</si>
  <si>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</si>
  <si>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</si>
  <si>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</si>
  <si>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</si>
  <si>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</si>
  <si>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</si>
  <si>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</si>
  <si>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</si>
  <si>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</si>
  <si>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</si>
  <si>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</si>
  <si>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</si>
  <si>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</si>
  <si>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</si>
  <si>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</si>
  <si>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</si>
  <si>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</si>
  <si>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</si>
  <si>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</si>
  <si>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</si>
  <si>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</si>
  <si>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PokÃ©mon Deluxe Essential Handbook: The Need-to-Know Stats and Facts on Over 700 PokÃ©mon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</si>
  <si>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</si>
  <si>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</si>
  <si>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</si>
  <si>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</si>
  <si>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</si>
  <si>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</si>
  <si>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</si>
  <si>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</si>
  <si>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</si>
  <si>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</si>
  <si>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</si>
  <si>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</si>
  <si>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</si>
  <si>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</si>
  <si>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</si>
  <si>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</si>
  <si>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</si>
  <si>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</si>
  <si>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</si>
  <si>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Pre-Readingâ€¦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</si>
  <si>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</si>
  <si>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</si>
  <si>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</si>
  <si>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</si>
  <si>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</si>
  <si>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</si>
  <si>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</si>
  <si>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</si>
  <si>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</si>
  <si>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Spiritualâ€¦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</si>
  <si>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</si>
  <si>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</si>
  <si>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</si>
  <si>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</si>
  <si>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</si>
  <si>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</si>
  <si>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</si>
  <si>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</si>
  <si>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</si>
  <si>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</si>
  <si>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</si>
  <si>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</si>
  <si>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</si>
  <si>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</si>
  <si>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</si>
  <si>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</si>
  <si>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</si>
  <si>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</si>
  <si>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</si>
  <si>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</si>
  <si>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</si>
  <si>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</si>
  <si>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</si>
  <si>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</si>
  <si>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</si>
  <si>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</si>
  <si>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</si>
  <si>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</si>
  <si>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</si>
  <si>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</si>
  <si>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</si>
  <si>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</si>
  <si>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</si>
  <si>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</si>
  <si>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</si>
  <si>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</si>
  <si>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</si>
  <si>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</si>
  <si>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</si>
  <si>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</si>
  <si>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</si>
  <si>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</si>
  <si>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</si>
  <si>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</si>
  <si>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</si>
  <si>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</si>
  <si>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Dietâ€¦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</si>
  <si>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</si>
  <si>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</si>
  <si>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</si>
  <si>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</si>
  <si>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</si>
  <si>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ConstitutionalÂ…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</si>
  <si>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</si>
  <si>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</si>
  <si>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</si>
  <si>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</si>
  <si>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</si>
  <si>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</si>
  <si>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</si>
  <si>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</si>
  <si>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</si>
  <si>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</si>
  <si>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</si>
  <si>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</si>
  <si>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</si>
  <si>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</si>
  <si>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</si>
  <si>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</si>
  <si>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</si>
  <si>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</si>
  <si>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</si>
  <si>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</si>
  <si>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</si>
  <si>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</si>
  <si>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</si>
  <si>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</si>
  <si>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</si>
  <si>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</si>
  <si>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</si>
  <si>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</si>
  <si>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</si>
  <si>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</si>
  <si>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</si>
  <si>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</si>
  <si>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</si>
  <si>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</si>
  <si>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</si>
  <si>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</si>
  <si>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</si>
  <si>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</si>
  <si>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</si>
  <si>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</si>
  <si>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</si>
  <si>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</si>
  <si>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</si>
  <si>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</si>
  <si>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</si>
  <si>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</si>
  <si>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</si>
  <si>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</si>
  <si>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</si>
  <si>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</si>
  <si>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</si>
  <si>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</si>
  <si>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</si>
  <si>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</si>
  <si>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</si>
  <si>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KondÅ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</si>
  <si>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</si>
  <si>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</si>
  <si>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</si>
  <si>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</si>
  <si>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</si>
  <si>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</si>
  <si>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</si>
  <si>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</si>
  <si>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</si>
  <si>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</si>
  <si>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</si>
  <si>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</si>
  <si>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</si>
  <si>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</si>
  <si>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</si>
  <si>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</si>
  <si>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</si>
  <si>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</si>
  <si>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</si>
  <si>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</si>
  <si>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</si>
  <si>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</si>
  <si>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</si>
  <si>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</si>
  <si>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Solveâ€¦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</si>
  <si>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</si>
  <si>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</si>
  <si>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</si>
  <si>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</si>
  <si>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</si>
  <si>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</si>
  <si>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</si>
  <si>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</si>
  <si>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</si>
  <si>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</si>
  <si>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</si>
  <si>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</si>
  <si>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</si>
  <si>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</si>
  <si>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</si>
  <si>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</si>
  <si>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</si>
  <si>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</si>
  <si>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</si>
  <si>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</si>
  <si>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</si>
  <si>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</si>
  <si>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</si>
  <si>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</si>
  <si>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</si>
  <si>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</si>
  <si>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</si>
  <si>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</si>
  <si>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</si>
  <si>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</si>
  <si>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</si>
  <si>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</si>
  <si>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forâ€¦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</si>
  <si>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</si>
  <si>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</si>
  <si>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</si>
  <si>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</si>
  <si>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</si>
  <si>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</si>
  <si>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</si>
  <si>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</si>
  <si>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</si>
  <si>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</si>
  <si>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</si>
  <si>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</si>
  <si>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</si>
  <si>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</si>
  <si>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</si>
  <si>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</si>
  <si>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</si>
  <si>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</si>
  <si>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</si>
  <si>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</si>
  <si>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</si>
  <si>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</si>
  <si>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</si>
  <si>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</si>
  <si>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</si>
  <si>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</si>
  <si>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</si>
  <si>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</si>
  <si>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</si>
  <si>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</si>
  <si>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</si>
  <si>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</si>
  <si>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</si>
  <si>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</si>
  <si>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</si>
  <si>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</si>
  <si>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</si>
  <si>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</si>
  <si>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</si>
  <si>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</si>
  <si>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</si>
  <si>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</si>
  <si>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</si>
  <si>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</si>
  <si>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</si>
  <si>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</si>
  <si>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</si>
  <si>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</si>
  <si>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</si>
  <si>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</si>
  <si>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</si>
  <si>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</si>
  <si>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</si>
  <si>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</si>
  <si>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</si>
  <si>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</si>
  <si>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</si>
  <si>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</si>
  <si>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</si>
  <si>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</si>
  <si>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</si>
  <si>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</si>
  <si>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withÂ…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</si>
  <si>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</si>
  <si>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</si>
  <si>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</si>
  <si>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</si>
  <si>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</si>
  <si>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</si>
  <si>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</si>
  <si>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</si>
  <si>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</si>
  <si>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</si>
  <si>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</si>
  <si>
    <t>Autofill</t>
  </si>
  <si>
    <t xml:space="preserve">Flashfill </t>
  </si>
  <si>
    <t>sun</t>
  </si>
  <si>
    <t>mon</t>
  </si>
  <si>
    <t>tue</t>
  </si>
  <si>
    <t>wed</t>
  </si>
  <si>
    <t>thu</t>
  </si>
  <si>
    <t>fri</t>
  </si>
  <si>
    <t>sat</t>
  </si>
  <si>
    <t>ranvijay</t>
  </si>
  <si>
    <t>ramesh</t>
  </si>
  <si>
    <t>suresh</t>
  </si>
  <si>
    <t>sathish</t>
  </si>
  <si>
    <t>sandy</t>
  </si>
  <si>
    <t>andy</t>
  </si>
  <si>
    <t>maddy</t>
  </si>
  <si>
    <t>saddy</t>
  </si>
  <si>
    <t>paddy</t>
  </si>
  <si>
    <t>Miss</t>
  </si>
  <si>
    <t>Deborah</t>
  </si>
  <si>
    <t>Ashby</t>
  </si>
  <si>
    <t>Mr</t>
  </si>
  <si>
    <t>Chris</t>
  </si>
  <si>
    <t>Knight</t>
  </si>
  <si>
    <t>Lucy</t>
  </si>
  <si>
    <t>Jones</t>
  </si>
  <si>
    <t>Ving</t>
  </si>
  <si>
    <t>Segal</t>
  </si>
  <si>
    <t>Sem-1</t>
  </si>
  <si>
    <t>Sem-2</t>
  </si>
  <si>
    <t>Sem-3</t>
  </si>
  <si>
    <t>Sem-4</t>
  </si>
  <si>
    <t>Sem-5</t>
  </si>
  <si>
    <t>Sem-6</t>
  </si>
  <si>
    <t>Sl No</t>
  </si>
  <si>
    <t>SR.NO</t>
  </si>
  <si>
    <t>NAME OF THE STUDENT</t>
  </si>
  <si>
    <t>HNDI</t>
  </si>
  <si>
    <t>ENGLISH</t>
  </si>
  <si>
    <t>MATHS</t>
  </si>
  <si>
    <t>SCIENCE</t>
  </si>
  <si>
    <t>HISTORY</t>
  </si>
  <si>
    <t>A</t>
  </si>
  <si>
    <t>B</t>
  </si>
  <si>
    <t>C</t>
  </si>
  <si>
    <t>D</t>
  </si>
  <si>
    <t>E</t>
  </si>
  <si>
    <t>G</t>
  </si>
  <si>
    <t>H</t>
  </si>
  <si>
    <t>I</t>
  </si>
  <si>
    <t>select only numeric data</t>
  </si>
  <si>
    <t>insert &gt; Saprklines</t>
  </si>
  <si>
    <t>Trace Precedents</t>
  </si>
  <si>
    <t>Trace Dependents</t>
  </si>
  <si>
    <t>Trace precedents</t>
  </si>
  <si>
    <t>payment_mode</t>
  </si>
  <si>
    <t>Hugo Matthews</t>
  </si>
  <si>
    <t>Laptops</t>
  </si>
  <si>
    <t>Ben Malone</t>
  </si>
  <si>
    <t>Accessories</t>
  </si>
  <si>
    <t>Spencer Lee</t>
  </si>
  <si>
    <t>Printers</t>
  </si>
  <si>
    <t>Keep the cursor on any cell and give a Right click &gt;</t>
  </si>
  <si>
    <t>Kirsty Young</t>
  </si>
  <si>
    <t>PC's</t>
  </si>
  <si>
    <t>Format Cells &gt; Protection</t>
  </si>
  <si>
    <t>Jade Wilson</t>
  </si>
  <si>
    <t>Cameras</t>
  </si>
  <si>
    <t>or</t>
  </si>
  <si>
    <t>Craig Spinks</t>
  </si>
  <si>
    <t>Mobile Phones</t>
  </si>
  <si>
    <t xml:space="preserve">we can go to Review tab &gt; ptotect Sheet /Workbook </t>
  </si>
  <si>
    <t>Nick Fallows</t>
  </si>
  <si>
    <t>Stephanie Zanoni</t>
  </si>
  <si>
    <t>SUM</t>
  </si>
  <si>
    <t>COUNTA</t>
  </si>
  <si>
    <t>SUMIF</t>
  </si>
  <si>
    <t>AVERAGEIF</t>
  </si>
  <si>
    <t>COUNTIF</t>
  </si>
  <si>
    <t>COUNTIFS</t>
  </si>
  <si>
    <t>SUMIFS</t>
  </si>
  <si>
    <t>MIN</t>
  </si>
  <si>
    <t>MAX</t>
  </si>
  <si>
    <t>MINA</t>
  </si>
  <si>
    <t>MAXA</t>
  </si>
  <si>
    <t>Pencil</t>
  </si>
  <si>
    <t>Eraser</t>
  </si>
  <si>
    <t>Sharpner</t>
  </si>
  <si>
    <t>AEVRAGE</t>
  </si>
  <si>
    <t>averageifs</t>
  </si>
  <si>
    <t>Utility</t>
  </si>
  <si>
    <t>Productivity</t>
  </si>
  <si>
    <t>Game</t>
  </si>
  <si>
    <t>COUNT</t>
  </si>
  <si>
    <t>SUMIFS(Table3[Profit],Table3[Category],"Clothing")</t>
  </si>
  <si>
    <t>UMIFS(Table3[Profit],Table3[Category],"Clothing",Table3[Region],"West")</t>
  </si>
  <si>
    <t>SUM(C2:C24)</t>
  </si>
  <si>
    <t>SUMIF(Table3[payment_method],"Credit Card",Table3[Profit])</t>
  </si>
  <si>
    <t>COUNT IF</t>
  </si>
  <si>
    <t>COUNTIFS(Table3[payment_method],"Credit Card",Table3[Category],"Furniture")</t>
  </si>
  <si>
    <t>COUNTIF(Table3[payment_method],"Cash")</t>
  </si>
  <si>
    <t>COUNT(Table3[Profit])</t>
  </si>
  <si>
    <t>COUNT(Table3[[#All],[Profit]])</t>
  </si>
  <si>
    <t>James</t>
  </si>
  <si>
    <t>AVERAGE</t>
  </si>
  <si>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</si>
  <si>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</si>
  <si>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</si>
  <si>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</si>
  <si>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</si>
  <si>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</si>
  <si>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</si>
  <si>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</si>
  <si>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</si>
  <si>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</si>
  <si>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</si>
  <si>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</si>
  <si>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</si>
  <si>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</si>
  <si>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</si>
  <si>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</si>
  <si>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</si>
  <si>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</si>
  <si>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</si>
  <si>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</si>
  <si>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</si>
  <si>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</si>
  <si>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</si>
  <si>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</si>
  <si>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Goals:</t>
  </si>
  <si>
    <t>Experience (&lt;=)</t>
  </si>
  <si>
    <t>Total Salary (&gt;=)</t>
  </si>
  <si>
    <t>Logical Statements- IF, AND, OR, NOT, SWITCH</t>
  </si>
  <si>
    <t>EXPENSES</t>
  </si>
  <si>
    <t>Expenses over the following amount MUST be approved</t>
  </si>
  <si>
    <t>Approval Required?</t>
  </si>
  <si>
    <t>Deb Ashby</t>
  </si>
  <si>
    <t>Threshold:</t>
  </si>
  <si>
    <t>Adam Lacey</t>
  </si>
  <si>
    <t>Mike Smith</t>
  </si>
  <si>
    <t>Sarah Oxted</t>
  </si>
  <si>
    <t>Lucy Jones</t>
  </si>
  <si>
    <t>IF(B5&gt;$G$5,"Yes","No")</t>
  </si>
  <si>
    <t>Claire Fisher</t>
  </si>
  <si>
    <t>Sam Cox</t>
  </si>
  <si>
    <t>lock the reference and drag it down to get exact values</t>
  </si>
  <si>
    <t>AND, OR</t>
  </si>
  <si>
    <t>IF - Example 1</t>
  </si>
  <si>
    <t>Score</t>
  </si>
  <si>
    <t>Result</t>
  </si>
  <si>
    <t>Pass Mark</t>
  </si>
  <si>
    <t>Adam</t>
  </si>
  <si>
    <t>Brooke</t>
  </si>
  <si>
    <t>IF(B17&gt;=$H$16,"Pass","Fail")</t>
  </si>
  <si>
    <t>Rob</t>
  </si>
  <si>
    <t>IF statement requires absolute reference for fix the values and it gives exact results</t>
  </si>
  <si>
    <t>Kata</t>
  </si>
  <si>
    <t>IF - Example 2</t>
  </si>
  <si>
    <t>Weight (kgs)</t>
  </si>
  <si>
    <t>Shipping Fee</t>
  </si>
  <si>
    <t xml:space="preserve">Weight </t>
  </si>
  <si>
    <t>Office Chair</t>
  </si>
  <si>
    <t>IF(B27&gt;=$H$26,C27*$H$27,"")</t>
  </si>
  <si>
    <t>Oak Desk</t>
  </si>
  <si>
    <t>Storage Unit</t>
  </si>
  <si>
    <t>Filing Cabinet</t>
  </si>
  <si>
    <t>PC</t>
  </si>
  <si>
    <t>AND</t>
  </si>
  <si>
    <t>if</t>
  </si>
  <si>
    <t>Score 1</t>
  </si>
  <si>
    <t>Score2</t>
  </si>
  <si>
    <t>Test 1</t>
  </si>
  <si>
    <t>Claire</t>
  </si>
  <si>
    <t>Test 2</t>
  </si>
  <si>
    <t>Julie</t>
  </si>
  <si>
    <t>Max</t>
  </si>
  <si>
    <t>Ben</t>
  </si>
  <si>
    <t>Courtney</t>
  </si>
  <si>
    <t>IF(AND(B36&gt;=$H$35,C36&gt;=$H$36),"Pass","Fail")</t>
  </si>
  <si>
    <t>OR</t>
  </si>
  <si>
    <t>IF(OR(B45&gt;=$H$44,C45&gt;=$H$45),"Pass","Fail")</t>
  </si>
  <si>
    <t>OR(B45&gt;=$H$44,C45&gt;=$H$45)</t>
  </si>
  <si>
    <t>SWITCH</t>
  </si>
  <si>
    <t>First Name</t>
  </si>
  <si>
    <t>Last Name</t>
  </si>
  <si>
    <t>Salary</t>
  </si>
  <si>
    <t>Start Date</t>
  </si>
  <si>
    <t>Work location</t>
  </si>
  <si>
    <t>Conditions</t>
  </si>
  <si>
    <t>IF</t>
  </si>
  <si>
    <t>Torrance</t>
  </si>
  <si>
    <t>Collier</t>
  </si>
  <si>
    <t>Training</t>
  </si>
  <si>
    <t>Devrat</t>
  </si>
  <si>
    <t>Damarsingh</t>
  </si>
  <si>
    <t>Business Development</t>
  </si>
  <si>
    <t>Van</t>
  </si>
  <si>
    <t>Tuxwell</t>
  </si>
  <si>
    <t>Minerva</t>
  </si>
  <si>
    <t>Ricardot</t>
  </si>
  <si>
    <t>Engineering</t>
  </si>
  <si>
    <t>Remote</t>
  </si>
  <si>
    <t>Husein</t>
  </si>
  <si>
    <t>Augar</t>
  </si>
  <si>
    <t>Marketing</t>
  </si>
  <si>
    <t>Billi</t>
  </si>
  <si>
    <t>Fellgate</t>
  </si>
  <si>
    <t>Lalitchandra</t>
  </si>
  <si>
    <t>Vadali</t>
  </si>
  <si>
    <t>Legal</t>
  </si>
  <si>
    <t>Hyderabad, India</t>
  </si>
  <si>
    <t>Hogan</t>
  </si>
  <si>
    <t>Iles</t>
  </si>
  <si>
    <t>Accounting</t>
  </si>
  <si>
    <t>Wellington, New Zealand</t>
  </si>
  <si>
    <t>Beryl</t>
  </si>
  <si>
    <t>Burnsyde</t>
  </si>
  <si>
    <t>Jill</t>
  </si>
  <si>
    <t>Shipsey</t>
  </si>
  <si>
    <t>Columbus, USA</t>
  </si>
  <si>
    <t>Vasavi</t>
  </si>
  <si>
    <t>Veeravasarapu</t>
  </si>
  <si>
    <t>Human Resources</t>
  </si>
  <si>
    <t>Inger</t>
  </si>
  <si>
    <t>Chapelhow</t>
  </si>
  <si>
    <t>Research and Development</t>
  </si>
  <si>
    <t>Devasree</t>
  </si>
  <si>
    <t>Fullara</t>
  </si>
  <si>
    <t>Chennai, India</t>
  </si>
  <si>
    <t>Mollie</t>
  </si>
  <si>
    <t>Hanway</t>
  </si>
  <si>
    <t>Seattle, USA</t>
  </si>
  <si>
    <t>Enoch</t>
  </si>
  <si>
    <t>Dowrey</t>
  </si>
  <si>
    <t>Auckland, New Zealand</t>
  </si>
  <si>
    <t>Eleonore</t>
  </si>
  <si>
    <t>Airdrie</t>
  </si>
  <si>
    <t>E2 &gt; 90000</t>
  </si>
  <si>
    <t>IF(E2 &gt; 90000,"Bonus","NoBonus")</t>
  </si>
  <si>
    <t>IF(AND(C3="Female",D3="Business Developemet"),"Included","Excluded")</t>
  </si>
  <si>
    <t>IF(OR(C3 ="Female",D2= "Business Development"),"Included","Excluded")</t>
  </si>
  <si>
    <t>Division</t>
  </si>
  <si>
    <t>Revenue</t>
  </si>
  <si>
    <t>comment</t>
  </si>
  <si>
    <t>North  America</t>
  </si>
  <si>
    <t>Criteria for Comment</t>
  </si>
  <si>
    <t>Text to Assign</t>
  </si>
  <si>
    <t>above 4000</t>
  </si>
  <si>
    <t>High revenue</t>
  </si>
  <si>
    <t>equal to 4000</t>
  </si>
  <si>
    <t>Low revenue</t>
  </si>
  <si>
    <t>above 4500</t>
  </si>
  <si>
    <t>amazing</t>
  </si>
  <si>
    <t>very good</t>
  </si>
  <si>
    <t>above 3500</t>
  </si>
  <si>
    <t>good</t>
  </si>
  <si>
    <t>above 3000</t>
  </si>
  <si>
    <t>bad</t>
  </si>
  <si>
    <t>equal or below 40000</t>
  </si>
  <si>
    <t>very bad</t>
  </si>
  <si>
    <t>Comment</t>
  </si>
  <si>
    <t>Comment 2</t>
  </si>
  <si>
    <t>Criteria for Comment 2</t>
  </si>
  <si>
    <t>Employee Name</t>
  </si>
  <si>
    <t>Building</t>
  </si>
  <si>
    <t>Hire Date</t>
  </si>
  <si>
    <t>Years</t>
  </si>
  <si>
    <t>Job Rating</t>
  </si>
  <si>
    <t>Bonus (Nested IF)</t>
  </si>
  <si>
    <t>Bonus(Nested IFS)</t>
  </si>
  <si>
    <t>calculating bonus using nested if</t>
  </si>
  <si>
    <t>ADC</t>
  </si>
  <si>
    <t>Bonus</t>
  </si>
  <si>
    <t>Taft</t>
  </si>
  <si>
    <t>Watson</t>
  </si>
  <si>
    <t>Spencer, Boyd</t>
  </si>
  <si>
    <t>Main</t>
  </si>
  <si>
    <t>Nested IF</t>
  </si>
  <si>
    <t>Tanner, Timothy</t>
  </si>
  <si>
    <t>IF(G2=$J$4,$K$4,IF(G2=$J$5,$K$5,IF(G2=$J$6,$K$6,IF(G2=$J$7,$K$7,IF(G2=$J$8,$K$8)))))</t>
  </si>
  <si>
    <t>Chase, Troy</t>
  </si>
  <si>
    <t>Nested IFS</t>
  </si>
  <si>
    <t>IFS(G2=$K$4,$L$4,G2=$K$5,$L$5,G2=$K$6,$L$6,G2=$K$7,L7,G2=$K$8,L8)</t>
  </si>
  <si>
    <t>Wolf, Debbie</t>
  </si>
  <si>
    <t>Todd, Steven</t>
  </si>
  <si>
    <t>McKenzie, Michelle</t>
  </si>
  <si>
    <t>Environmental Compliance</t>
  </si>
  <si>
    <t>Thornton, Charles</t>
  </si>
  <si>
    <t>Dunn, Matthew</t>
  </si>
  <si>
    <t>Potter, Dawn</t>
  </si>
  <si>
    <t>Carroll, Lesa</t>
  </si>
  <si>
    <t>Fleming, Irv</t>
  </si>
  <si>
    <t>Nguyen, Dennis</t>
  </si>
  <si>
    <t>Blair, Sperry</t>
  </si>
  <si>
    <t>Wyatt, Kelly</t>
  </si>
  <si>
    <t>Walton, Benjamin</t>
  </si>
  <si>
    <t>Beck, Craig</t>
  </si>
  <si>
    <t>Phelps, Gretchen</t>
  </si>
  <si>
    <t>Bond, John</t>
  </si>
  <si>
    <t>Chang, Gabriel</t>
  </si>
  <si>
    <t>Bullock, Greg</t>
  </si>
  <si>
    <t>Facilities/Engineering</t>
  </si>
  <si>
    <t>Wheeler, Meegan</t>
  </si>
  <si>
    <t>Cunningham, Denise</t>
  </si>
  <si>
    <t>Simpson, Jimmy</t>
  </si>
  <si>
    <t>Griffith, Michelle</t>
  </si>
  <si>
    <t>Powers, Tia</t>
  </si>
  <si>
    <t>Navarro, Marc</t>
  </si>
  <si>
    <t>Briggs, Bryan</t>
  </si>
  <si>
    <t>Warren, Jean</t>
  </si>
  <si>
    <t>McDonald, Debra</t>
  </si>
  <si>
    <t>Pitts, Dana</t>
  </si>
  <si>
    <t>Pruitt, Randy</t>
  </si>
  <si>
    <t>Nicholson, Lee</t>
  </si>
  <si>
    <t>Matthews, Diane</t>
  </si>
  <si>
    <t>Norris, Tamara</t>
  </si>
  <si>
    <t>Weiss, Marisa</t>
  </si>
  <si>
    <t>Lawrence, Ronald</t>
  </si>
  <si>
    <t>Sherman, Karin</t>
  </si>
  <si>
    <t>Harmon, Paul</t>
  </si>
  <si>
    <t>Vance, Cheryl</t>
  </si>
  <si>
    <t>Swanson, Vicki</t>
  </si>
  <si>
    <t>Steele, Gerald</t>
  </si>
  <si>
    <t>Richardson, Debbie</t>
  </si>
  <si>
    <t>Whitehead, Carolyn</t>
  </si>
  <si>
    <t>Flowers, Kathleen</t>
  </si>
  <si>
    <t>Huff, Erik</t>
  </si>
  <si>
    <t>Deleon, Jaquelyn</t>
  </si>
  <si>
    <t>Kent, Angus</t>
  </si>
  <si>
    <t>Wallace, Timothy</t>
  </si>
  <si>
    <t>Nichols, Nathaniel</t>
  </si>
  <si>
    <t>Morgan, Patricia</t>
  </si>
  <si>
    <t>Harding, Erin</t>
  </si>
  <si>
    <t>Hood, Renee</t>
  </si>
  <si>
    <t>Hickman, John</t>
  </si>
  <si>
    <t>Schneider, Gay</t>
  </si>
  <si>
    <t>Stone, Brian</t>
  </si>
  <si>
    <t>Goodman, Kuyler</t>
  </si>
  <si>
    <t>Simmons, Robert</t>
  </si>
  <si>
    <t>Wolfe, Keith</t>
  </si>
  <si>
    <t>Conway, Brett</t>
  </si>
  <si>
    <t>Mendoza, Bobby</t>
  </si>
  <si>
    <t>James, Lynn</t>
  </si>
  <si>
    <t>Porter, Rachel</t>
  </si>
  <si>
    <t>Mullins, Angela</t>
  </si>
  <si>
    <t>Poole, Tracy</t>
  </si>
  <si>
    <t>Farrell, Laura</t>
  </si>
  <si>
    <t>Perry, Christopher</t>
  </si>
  <si>
    <t>Fletcher, Brian</t>
  </si>
  <si>
    <t>York, Steven</t>
  </si>
  <si>
    <t>Hudson, Lorna</t>
  </si>
  <si>
    <t>May, Steve</t>
  </si>
  <si>
    <t>Booker, Judith</t>
  </si>
  <si>
    <t>Dorsey, Matthew</t>
  </si>
  <si>
    <t>Gardner, Anthony</t>
  </si>
  <si>
    <t>Hammond, Robert</t>
  </si>
  <si>
    <t>Clayton, Gregory</t>
  </si>
  <si>
    <t>Martinez, Kathleen</t>
  </si>
  <si>
    <t>Becker, Gretchen</t>
  </si>
  <si>
    <t>Thompson, John</t>
  </si>
  <si>
    <t>Cortez, Jack</t>
  </si>
  <si>
    <t>Green Building</t>
  </si>
  <si>
    <t>Hardin, Gregory</t>
  </si>
  <si>
    <t>Pacheco, Therese</t>
  </si>
  <si>
    <t>Stokes, Jonathan</t>
  </si>
  <si>
    <t>Kerr, Mihaela</t>
  </si>
  <si>
    <t>Juarez, Neill</t>
  </si>
  <si>
    <t>Wade, Kevin</t>
  </si>
  <si>
    <t>Cohen, Bruce</t>
  </si>
  <si>
    <t>Norton, Bruce</t>
  </si>
  <si>
    <t>Environmental Health/Safety</t>
  </si>
  <si>
    <t>Gomez, Ed</t>
  </si>
  <si>
    <t>Carey, Andrea</t>
  </si>
  <si>
    <t>Kim, Deborah</t>
  </si>
  <si>
    <t>Foley, Peter</t>
  </si>
  <si>
    <t>Landry, Linda</t>
  </si>
  <si>
    <t>Hill, Robin</t>
  </si>
  <si>
    <t>Malone, Daniel</t>
  </si>
  <si>
    <t>Hawkins, Douglas</t>
  </si>
  <si>
    <t>Baker, Barney</t>
  </si>
  <si>
    <t>Creative</t>
  </si>
  <si>
    <t>Allison, Timothy</t>
  </si>
  <si>
    <t>McCoy, Preston</t>
  </si>
  <si>
    <t>Maxwell, Jill</t>
  </si>
  <si>
    <t>Garner, Terry</t>
  </si>
  <si>
    <t>Durham, Troy</t>
  </si>
  <si>
    <t>Ray, ReAnnon</t>
  </si>
  <si>
    <t>Winters, Shaun</t>
  </si>
  <si>
    <t>Roberson, Eileen</t>
  </si>
  <si>
    <t>Perkins, Donald</t>
  </si>
  <si>
    <t>Copeland, Roger</t>
  </si>
  <si>
    <t>Silva, Stephen</t>
  </si>
  <si>
    <t>Lloyd, John</t>
  </si>
  <si>
    <t>Park, Timothy</t>
  </si>
  <si>
    <t>Molina, Michael</t>
  </si>
  <si>
    <t>McDowell, Scott</t>
  </si>
  <si>
    <t>Nixon, Randy</t>
  </si>
  <si>
    <t>Figueroa, Leonard</t>
  </si>
  <si>
    <t>Hutchinson, Robin</t>
  </si>
  <si>
    <t>Nelson, Shira</t>
  </si>
  <si>
    <t>Daniel, Robert</t>
  </si>
  <si>
    <t>Barnett, Brenda</t>
  </si>
  <si>
    <t>Gregory, Jon</t>
  </si>
  <si>
    <t>Ramos, Jan</t>
  </si>
  <si>
    <t>Calhoun, Dac Vinh</t>
  </si>
  <si>
    <t>Product Development</t>
  </si>
  <si>
    <t>Adams, David</t>
  </si>
  <si>
    <t>Bass, Justin</t>
  </si>
  <si>
    <t>Robertson, Nathan</t>
  </si>
  <si>
    <t>Young, Benjamin</t>
  </si>
  <si>
    <t>Nunez, Benning</t>
  </si>
  <si>
    <t>Shields, Robert</t>
  </si>
  <si>
    <t>Hardy, Svetlana</t>
  </si>
  <si>
    <t>Woodward, Tim</t>
  </si>
  <si>
    <t>Shaffer, Nobuko</t>
  </si>
  <si>
    <t>Hale, Deon</t>
  </si>
  <si>
    <t>Gates, Anne</t>
  </si>
  <si>
    <t>Lara, Mark</t>
  </si>
  <si>
    <t>Vazquez, Kenneth</t>
  </si>
  <si>
    <t>Montgomery, Chris</t>
  </si>
  <si>
    <t>Lee, Charles</t>
  </si>
  <si>
    <t>Curtis, Patrick</t>
  </si>
  <si>
    <t>Gallegos, Rick</t>
  </si>
  <si>
    <t>Morse, Michael</t>
  </si>
  <si>
    <t>Gross, Davin</t>
  </si>
  <si>
    <t>Newton, Leigh</t>
  </si>
  <si>
    <t>Noble, Michael</t>
  </si>
  <si>
    <t>Jordan, Mark</t>
  </si>
  <si>
    <t>Rich, Brent</t>
  </si>
  <si>
    <t>Evans, Rolin</t>
  </si>
  <si>
    <t>Santos, Garret</t>
  </si>
  <si>
    <t>Wise, Ted</t>
  </si>
  <si>
    <t>Townsend, Jerry</t>
  </si>
  <si>
    <t>Estrada, Joan</t>
  </si>
  <si>
    <t>Oliver, Francisco</t>
  </si>
  <si>
    <t>Clarke, Dennis</t>
  </si>
  <si>
    <t>Wagner, Lynne</t>
  </si>
  <si>
    <t>Mathis, Shari</t>
  </si>
  <si>
    <t>Chen, Jaime</t>
  </si>
  <si>
    <t>Reese, Marc</t>
  </si>
  <si>
    <t>Lowe, Michelle</t>
  </si>
  <si>
    <t>Cummings, Jose</t>
  </si>
  <si>
    <t>Padilla, Christopher</t>
  </si>
  <si>
    <t>Tran, Chad</t>
  </si>
  <si>
    <t>Major Mfg Projects</t>
  </si>
  <si>
    <t>Boone, Eric</t>
  </si>
  <si>
    <t>Romero, Randy</t>
  </si>
  <si>
    <t>Randolph, Kristin</t>
  </si>
  <si>
    <t>Miranda, Elena</t>
  </si>
  <si>
    <t>Gilmore, Terry</t>
  </si>
  <si>
    <t>Douglas, Kenneth</t>
  </si>
  <si>
    <t>Campos, Richard</t>
  </si>
  <si>
    <t>Rios, Fredrick</t>
  </si>
  <si>
    <t>Manufacturing</t>
  </si>
  <si>
    <t>Castro, Christopher</t>
  </si>
  <si>
    <t>Pierce, Karen</t>
  </si>
  <si>
    <t>Small, Athanasios</t>
  </si>
  <si>
    <t>Logan, Karen</t>
  </si>
  <si>
    <t>Tate, Zachary</t>
  </si>
  <si>
    <t>Baxter, Teresa</t>
  </si>
  <si>
    <t>Mercado, David</t>
  </si>
  <si>
    <t>Patel, Donald</t>
  </si>
  <si>
    <t>Rodriguez, Scott</t>
  </si>
  <si>
    <t>Conley, Mark</t>
  </si>
  <si>
    <t>Vincent, Guy</t>
  </si>
  <si>
    <t>Dixon, Richard</t>
  </si>
  <si>
    <t>Schultz, Norman</t>
  </si>
  <si>
    <t>Cox, Stephanie</t>
  </si>
  <si>
    <t>Conner, Mark</t>
  </si>
  <si>
    <t>Rojas, Charles</t>
  </si>
  <si>
    <t>McCall, Keith</t>
  </si>
  <si>
    <t>Burns, Fiona</t>
  </si>
  <si>
    <t>Herman, Henrietta</t>
  </si>
  <si>
    <t>Meyers, David</t>
  </si>
  <si>
    <t>Walker, Mike</t>
  </si>
  <si>
    <t>Butler, Roy</t>
  </si>
  <si>
    <t>Carrillo, Robert</t>
  </si>
  <si>
    <t>Bridges, Jeff</t>
  </si>
  <si>
    <t>Berry, Jacklyn</t>
  </si>
  <si>
    <t>O'Neal, William</t>
  </si>
  <si>
    <t>Frazier, Chris</t>
  </si>
  <si>
    <t>Rice, Diane</t>
  </si>
  <si>
    <t>Sharp, Janine</t>
  </si>
  <si>
    <t>Boyer, John</t>
  </si>
  <si>
    <t>Allen, Thomas</t>
  </si>
  <si>
    <t>Cole, Elbert</t>
  </si>
  <si>
    <t>Boyd, Debra</t>
  </si>
  <si>
    <t>Larson, David</t>
  </si>
  <si>
    <t>Roth, Tony</t>
  </si>
  <si>
    <t>Stewart, Elizabeth</t>
  </si>
  <si>
    <t>Robinson, John</t>
  </si>
  <si>
    <t>Blackburn, Kathryn</t>
  </si>
  <si>
    <t>Gibbs, Debra</t>
  </si>
  <si>
    <t>Greene, Alexander</t>
  </si>
  <si>
    <t>Fuller, Brenda</t>
  </si>
  <si>
    <t>Callahan, Marilyn</t>
  </si>
  <si>
    <t>McConnell, Justin</t>
  </si>
  <si>
    <t>Smith, Koleen</t>
  </si>
  <si>
    <t>Herring, Joanna</t>
  </si>
  <si>
    <t>Fernandez, Marie</t>
  </si>
  <si>
    <t>Houston, Mark</t>
  </si>
  <si>
    <t>Francis, Todd</t>
  </si>
  <si>
    <t>Wright, Brad</t>
  </si>
  <si>
    <t>Sexton, John</t>
  </si>
  <si>
    <t>Dickerson, Lincoln</t>
  </si>
  <si>
    <t>Harris, Brian</t>
  </si>
  <si>
    <t>McGee, Carol</t>
  </si>
  <si>
    <t>Hobbs, Scott</t>
  </si>
  <si>
    <t>Merritt, Kevin</t>
  </si>
  <si>
    <t>Perez, Kim</t>
  </si>
  <si>
    <t>Eaton, Cris</t>
  </si>
  <si>
    <t>Brady, Traci</t>
  </si>
  <si>
    <t>Joseph, Christopher</t>
  </si>
  <si>
    <t>Golden, Christine</t>
  </si>
  <si>
    <t>Shelton, Donna</t>
  </si>
  <si>
    <t>Powell, Juli</t>
  </si>
  <si>
    <t>McBride, Grazyna</t>
  </si>
  <si>
    <t>Fields, Cathy</t>
  </si>
  <si>
    <t>Burgess, Cherie</t>
  </si>
  <si>
    <t>Melton, Scott</t>
  </si>
  <si>
    <t>Pittman, Bacardi</t>
  </si>
  <si>
    <t>Hurst, Thomas</t>
  </si>
  <si>
    <t>Colon, Donnie</t>
  </si>
  <si>
    <t>Williamson, Sumed</t>
  </si>
  <si>
    <t>English, David</t>
  </si>
  <si>
    <t>Combs, Rick</t>
  </si>
  <si>
    <t>Osborne, Bill</t>
  </si>
  <si>
    <t>Sanders, Troy</t>
  </si>
  <si>
    <t>Bradford, Raymond</t>
  </si>
  <si>
    <t>Sullivan, Robert</t>
  </si>
  <si>
    <t>Barber, Robbie</t>
  </si>
  <si>
    <t>Humphrey, Andrew</t>
  </si>
  <si>
    <t>Browning, Kathleen</t>
  </si>
  <si>
    <t>Whitaker, Jessica</t>
  </si>
  <si>
    <t>Bates, Verna</t>
  </si>
  <si>
    <t>Little, Steve</t>
  </si>
  <si>
    <t>Velasquez, Clint</t>
  </si>
  <si>
    <t>Ryan, Ryan</t>
  </si>
  <si>
    <t>House, Paul</t>
  </si>
  <si>
    <t>Petersen, Timothy</t>
  </si>
  <si>
    <t>Hampton, Catherine</t>
  </si>
  <si>
    <t>Miller, Jessica</t>
  </si>
  <si>
    <t>McKee, Michelle</t>
  </si>
  <si>
    <t>Barron, Michael</t>
  </si>
  <si>
    <t>Summers, Harold</t>
  </si>
  <si>
    <t>Atkins, Kevin</t>
  </si>
  <si>
    <t>Chambers, Richard</t>
  </si>
  <si>
    <t>Jacobs, Florianne</t>
  </si>
  <si>
    <t>Wilkinson, Gregory</t>
  </si>
  <si>
    <t>Pearson, Cassy</t>
  </si>
  <si>
    <t>Moran, Carol</t>
  </si>
  <si>
    <t>Huffman, Ignacio</t>
  </si>
  <si>
    <t>Marshall, Anita</t>
  </si>
  <si>
    <t>Clay, William</t>
  </si>
  <si>
    <t>Collins, Michael</t>
  </si>
  <si>
    <t>Elliott, Anthony</t>
  </si>
  <si>
    <t>Mitchell, Shannon</t>
  </si>
  <si>
    <t>Stafford, Rhonda</t>
  </si>
  <si>
    <t>Parker, Carl</t>
  </si>
  <si>
    <t>Kemp, Holly</t>
  </si>
  <si>
    <t>Richards, Richard</t>
  </si>
  <si>
    <t>Mendez, Max</t>
  </si>
  <si>
    <t>Brock, Ensley</t>
  </si>
  <si>
    <t>Sloan, Cindy</t>
  </si>
  <si>
    <t>Washington, Phillip</t>
  </si>
  <si>
    <t>Pena, Erik</t>
  </si>
  <si>
    <t>Finley, James</t>
  </si>
  <si>
    <t>Payne, Vicky</t>
  </si>
  <si>
    <t>McKinney, Chris</t>
  </si>
  <si>
    <t>Snow, Desiree</t>
  </si>
  <si>
    <t>Weaver, Eric</t>
  </si>
  <si>
    <t>Drake, Kyle</t>
  </si>
  <si>
    <t>Bradley, David</t>
  </si>
  <si>
    <t>Trujillo, Shawn</t>
  </si>
  <si>
    <t>Bell, David</t>
  </si>
  <si>
    <t>Lyons, Brian</t>
  </si>
  <si>
    <t>Ayers, Douglas</t>
  </si>
  <si>
    <t>Peters, Robert</t>
  </si>
  <si>
    <t>Benson, Troy</t>
  </si>
  <si>
    <t>McGuire, Rebecca</t>
  </si>
  <si>
    <t>Price, Diana</t>
  </si>
  <si>
    <t>Decker, Amy</t>
  </si>
  <si>
    <t>McLaughlin, Edward</t>
  </si>
  <si>
    <t>Diaz, David</t>
  </si>
  <si>
    <t>Davidson, Jaime</t>
  </si>
  <si>
    <t>Manning, John</t>
  </si>
  <si>
    <t>Harrison, Jonathan</t>
  </si>
  <si>
    <t>Moss, Chan</t>
  </si>
  <si>
    <t>Watson, Christian</t>
  </si>
  <si>
    <t>Coleman, Roque</t>
  </si>
  <si>
    <t>Patrick, Wendy</t>
  </si>
  <si>
    <t>Parrish, Debra</t>
  </si>
  <si>
    <t>Carson, Anthony</t>
  </si>
  <si>
    <t>Heath, Deborah</t>
  </si>
  <si>
    <t>Day, David</t>
  </si>
  <si>
    <t>Dominguez, Duane</t>
  </si>
  <si>
    <t>Flores, Angela</t>
  </si>
  <si>
    <t>Richard, Karen</t>
  </si>
  <si>
    <t>Nash, Mark</t>
  </si>
  <si>
    <t>Camacho, Stephanie</t>
  </si>
  <si>
    <t>Glover, Eugene</t>
  </si>
  <si>
    <t>Meyer, Charles</t>
  </si>
  <si>
    <t>Haynes, Ernest</t>
  </si>
  <si>
    <t>Rhodes, Brenda</t>
  </si>
  <si>
    <t>Hanson, Dennis</t>
  </si>
  <si>
    <t>Manufacturing Admin</t>
  </si>
  <si>
    <t>Wood, Larry</t>
  </si>
  <si>
    <t>Savage, John</t>
  </si>
  <si>
    <t>Carr, Susan</t>
  </si>
  <si>
    <t>Alexander, Charles</t>
  </si>
  <si>
    <t>Hernandez, Glenn</t>
  </si>
  <si>
    <t>Roberts, Jackie</t>
  </si>
  <si>
    <t>Trevino, Gary</t>
  </si>
  <si>
    <t>Knox, Lori</t>
  </si>
  <si>
    <t>COUNTIF(S) ,SUMIF(S) , AVERAGEIF(S)</t>
  </si>
  <si>
    <t>Sales Team</t>
  </si>
  <si>
    <t>Company</t>
  </si>
  <si>
    <t>CRITERIA</t>
  </si>
  <si>
    <t>SUMIF(S)</t>
  </si>
  <si>
    <t>Angelina Webb</t>
  </si>
  <si>
    <t>Computech</t>
  </si>
  <si>
    <t>Sales Rep</t>
  </si>
  <si>
    <t>MicroWorld</t>
  </si>
  <si>
    <t>Total Sales for MicroWorld</t>
  </si>
  <si>
    <t>Alison Bryant</t>
  </si>
  <si>
    <t>Sales Manager</t>
  </si>
  <si>
    <t>Total Sales for all Sales Reps at MicroWorld</t>
  </si>
  <si>
    <t>Jenna Norman</t>
  </si>
  <si>
    <t>&gt;7000</t>
  </si>
  <si>
    <t>Total Sales for all Sales Reps at MicroWorld with more than 7000 in Sales</t>
  </si>
  <si>
    <t>Abel Hoffman</t>
  </si>
  <si>
    <t>Ervin Ray</t>
  </si>
  <si>
    <t>COUNTIF(S)</t>
  </si>
  <si>
    <t>Leonard Colon</t>
  </si>
  <si>
    <t>Total Number of Employees at Computech</t>
  </si>
  <si>
    <t>Christine Townsend</t>
  </si>
  <si>
    <t>Total Number of Employees at Computech with the job title Sales Manager</t>
  </si>
  <si>
    <t>Ira Drake</t>
  </si>
  <si>
    <t>&lt;9000</t>
  </si>
  <si>
    <t>Total Number of Employees at Computech with the job title Sales Manager and less than 8000 in Sales</t>
  </si>
  <si>
    <t>Bruce Swanson</t>
  </si>
  <si>
    <t>Stacey Ball</t>
  </si>
  <si>
    <t>AVERAGEIF(S)</t>
  </si>
  <si>
    <t>AVERAGEIFS(D3:D14,B3:B14,F13)</t>
  </si>
  <si>
    <t>Ron Moore</t>
  </si>
  <si>
    <t>AVERAGEIFS(D3:D14,B3:B14,F14,C3:C14,G14)</t>
  </si>
  <si>
    <t>Mathew Lamb</t>
  </si>
  <si>
    <t>SUMIFS(D3:D14,B3:B14,F3)</t>
  </si>
  <si>
    <t>SUMIFS(D3:D14,B3:B14,F4,C3:C14,G4)</t>
  </si>
  <si>
    <t>SUMIFS(D3:D14,B3:B14,F5,C3:C14,G5,D3:D14,H5)</t>
  </si>
  <si>
    <t>COUNTIFS(B3:B14,F8)</t>
  </si>
  <si>
    <t>COUNTIFS(B3:B14,F9,C3:C14,G9)</t>
  </si>
  <si>
    <t>COUNTIFS(B3:B14,F10,C3:C14,G10,D3:D14,H10)</t>
  </si>
  <si>
    <t>Total  Number of  Employees at Computech with Average Sales</t>
  </si>
  <si>
    <t>Total Number of Employess at Computech with the job title Sales Rep and thire Average Sales</t>
  </si>
  <si>
    <t>Price Chart</t>
  </si>
  <si>
    <t>Understanding Index and Match</t>
  </si>
  <si>
    <t>Small</t>
  </si>
  <si>
    <t>Medium</t>
  </si>
  <si>
    <t>Large</t>
  </si>
  <si>
    <t>Hammer</t>
  </si>
  <si>
    <t>Jatan</t>
  </si>
  <si>
    <t>Kanci</t>
  </si>
  <si>
    <t>Tanmay</t>
  </si>
  <si>
    <t>Mitali</t>
  </si>
  <si>
    <t>Mitanshi</t>
  </si>
  <si>
    <t>Anshu</t>
  </si>
  <si>
    <t>Sweater</t>
  </si>
  <si>
    <t>J</t>
  </si>
  <si>
    <t>Plier</t>
  </si>
  <si>
    <t>Jacket</t>
  </si>
  <si>
    <t>K</t>
  </si>
  <si>
    <t>Scissor</t>
  </si>
  <si>
    <t>Pant</t>
  </si>
  <si>
    <t>L</t>
  </si>
  <si>
    <t>Utensil</t>
  </si>
  <si>
    <t>Spoon</t>
  </si>
  <si>
    <t>ScrewDriver</t>
  </si>
  <si>
    <t>Size</t>
  </si>
  <si>
    <t>VLOOKUP(B9,A3:D6,MATCH(B11,A3:D3,0),FALSE)</t>
  </si>
  <si>
    <t>Policy Date</t>
  </si>
  <si>
    <t>Next Renue Date After 3 Months</t>
  </si>
  <si>
    <t>Birth Date</t>
  </si>
  <si>
    <t>Today Date</t>
  </si>
  <si>
    <t>Age</t>
  </si>
  <si>
    <t>Date</t>
  </si>
  <si>
    <t>Last Date of Month</t>
  </si>
  <si>
    <t>Name 1</t>
  </si>
  <si>
    <t>Name 2</t>
  </si>
  <si>
    <t>Name 3</t>
  </si>
  <si>
    <t>Name 4</t>
  </si>
  <si>
    <t>Name 5</t>
  </si>
  <si>
    <t>Before 3 months</t>
  </si>
  <si>
    <t>Today</t>
  </si>
  <si>
    <t>Now</t>
  </si>
  <si>
    <t>Day</t>
  </si>
  <si>
    <t>Hour</t>
  </si>
  <si>
    <t>Mins</t>
  </si>
  <si>
    <t>Secs</t>
  </si>
  <si>
    <t>date+ days</t>
  </si>
  <si>
    <t>date+ 3 months</t>
  </si>
  <si>
    <t>date = 3 years</t>
  </si>
  <si>
    <t>Sales Data</t>
  </si>
  <si>
    <t>Sales by Years</t>
  </si>
  <si>
    <t>SHOP A</t>
  </si>
  <si>
    <t>SHOP B</t>
  </si>
  <si>
    <t>SHOP C</t>
  </si>
  <si>
    <t>SHOP D</t>
  </si>
  <si>
    <t>`</t>
  </si>
  <si>
    <t>SHOP E</t>
  </si>
  <si>
    <t>SHOP F</t>
  </si>
  <si>
    <t>SHOP G</t>
  </si>
  <si>
    <t>SHOP</t>
  </si>
  <si>
    <t>SL-NO</t>
  </si>
  <si>
    <t>Exact Match</t>
  </si>
  <si>
    <t>Approx Match</t>
  </si>
  <si>
    <t>Names</t>
  </si>
  <si>
    <t>VLOOKUP(I4,A1:G18,2)</t>
  </si>
  <si>
    <t>IFNA(VLOOKUP(I4,Sales[#All],2,TRUE),"Not Found")</t>
  </si>
  <si>
    <t>Emp Name</t>
  </si>
  <si>
    <t>Mihir Kapoor</t>
  </si>
  <si>
    <t>Ranvijay Chauhan</t>
  </si>
  <si>
    <t>Anurag Sharma</t>
  </si>
  <si>
    <t>Neha Rathore</t>
  </si>
  <si>
    <t>EMP NAME</t>
  </si>
  <si>
    <t>Ravinder Rathod</t>
  </si>
  <si>
    <t xml:space="preserve"> Salary </t>
  </si>
  <si>
    <t xml:space="preserve"> Bonus </t>
  </si>
  <si>
    <t>Bonus Removing Errors</t>
  </si>
  <si>
    <t xml:space="preserve"> Job Rating </t>
  </si>
  <si>
    <t>IFNA(IFS(G2=$K$5,L5,G2=$K$6,$L$6),"No BOnus")</t>
  </si>
  <si>
    <t>Environmental</t>
  </si>
  <si>
    <t>IFNA(IFS(N2=$Q$5,$R$5,N2=$Q$6,$R$6),"")</t>
  </si>
  <si>
    <t>Ex:1</t>
  </si>
  <si>
    <t>Ex;2</t>
  </si>
  <si>
    <t>Letter</t>
  </si>
  <si>
    <t>LETTER</t>
  </si>
  <si>
    <t>MATCH</t>
  </si>
  <si>
    <t>IFERROR</t>
  </si>
  <si>
    <t>ISERROR</t>
  </si>
  <si>
    <t>IF(ISERROR) ex:1</t>
  </si>
  <si>
    <t>IF(ISERROR) ex:2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</si>
</sst>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??_);_(@_)"/>
    <numFmt numFmtId="165" formatCode="&quot;$&quot;#,##0.00"/>
    <numFmt numFmtId="166" formatCode="&quot;$&quot;#,##0.00_);[Red]\(&quot;$&quot;#,##0.00\)"/>
    <numFmt numFmtId="167" formatCode="&quot;$&quot;#,##0_);[Red]\(&quot;$&quot;#,##0\)"/>
    <numFmt numFmtId="168" formatCode="_(&quot;$&quot;* #,##0.00_);_(&quot;$&quot;* \(#,##0.00\);_(&quot;$&quot;* &quot;-&quot;??_);_(@_)"/>
    <numFmt numFmtId="169" formatCode="&quot;$&quot;#,##0"/>
    <numFmt numFmtId="170" formatCode="0.0%"/>
    <numFmt numFmtId="171" formatCode="_-&quot;£&quot;* #,##0.00_-;\-&quot;£&quot;* #,##0.00_-;_-&quot;£&quot;* &quot;-&quot;??_-;_-@_-"/>
    <numFmt numFmtId="172" formatCode="_(* #,##0.00_);_(* \(#,##0.00\);_(* &quot;-&quot;??_);_(@_)"/>
    <numFmt numFmtId="173" formatCode="_(* #,##0.0_);_(* \(#,##0.0\);_(* &quot;-&quot;??_);_(@_)"/>
  </numFmts>
  <fonts count="56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rgb="FF7030A0"/>
      <name val="Bahnschrift"/>
      <family val="2"/>
    </font>
    <font>
      <sz val="11"/>
      <color theme="1"/>
      <name val="Bahnschrift"/>
      <family val="2"/>
    </font>
    <font>
      <sz val="11"/>
      <color indexed="9"/>
      <name val="Calibri"/>
      <family val="2"/>
      <scheme val="minor"/>
    </font>
    <font>
      <b/>
      <i/>
      <sz val="10"/>
      <color indexed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b/>
      <sz val="12"/>
      <name val="Calibri"/>
      <family val="2"/>
      <scheme val="minor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rgb="FF000000"/>
      <name val="Segoe U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6"/>
      <name val="Arial"/>
      <family val="2"/>
    </font>
    <font>
      <b/>
      <sz val="11"/>
      <color theme="1"/>
      <name val="Arial"/>
      <family val="2"/>
    </font>
    <font>
      <sz val="11"/>
      <color theme="3" tint="-0.249977111117893"/>
      <name val="Calibri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theme="4" tint="-0.249977111117893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name val="Arial"/>
      <family val="2"/>
    </font>
    <font>
      <sz val="14"/>
      <color theme="1"/>
      <name val="Lato Black"/>
      <family val="2"/>
    </font>
    <font>
      <b/>
      <i/>
      <sz val="12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theme="4"/>
      </patternFill>
    </fill>
    <fill>
      <patternFill patternType="solid">
        <fgColor indexed="65"/>
        <bgColor theme="4"/>
      </patternFill>
    </fill>
    <fill>
      <patternFill patternType="solid">
        <fgColor theme="0"/>
        <bgColor indexed="64"/>
      </patternFill>
    </fill>
    <fill>
      <patternFill patternType="darkGrid">
        <fgColor auto="1"/>
        <bgColor theme="5" tint="0.79998168889431442"/>
      </patternFill>
    </fill>
    <fill>
      <patternFill patternType="solid">
        <fgColor indexed="21"/>
        <bgColor indexed="24"/>
      </patternFill>
    </fill>
    <fill>
      <patternFill patternType="solid">
        <fgColor indexed="8"/>
        <bgColor indexed="2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</fills>
  <borders count="4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21"/>
      </left>
      <right/>
      <top style="thick">
        <color indexed="21"/>
      </top>
      <bottom/>
      <diagonal/>
    </border>
    <border>
      <left/>
      <right/>
      <top style="thick">
        <color indexed="21"/>
      </top>
      <bottom/>
      <diagonal/>
    </border>
    <border>
      <left/>
      <right style="thick">
        <color indexed="21"/>
      </right>
      <top style="thick">
        <color indexed="21"/>
      </top>
      <bottom/>
      <diagonal/>
    </border>
    <border>
      <left style="thick">
        <color indexed="21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  <border>
      <left/>
      <right style="thick">
        <color indexed="21"/>
      </right>
      <top style="thin">
        <color indexed="15"/>
      </top>
      <bottom/>
      <diagonal/>
    </border>
    <border>
      <left style="thick">
        <color indexed="21"/>
      </left>
      <right/>
      <top style="thin">
        <color indexed="15"/>
      </top>
      <bottom style="thick">
        <color indexed="21"/>
      </bottom>
      <diagonal/>
    </border>
    <border>
      <left/>
      <right/>
      <top style="thin">
        <color indexed="15"/>
      </top>
      <bottom style="thick">
        <color indexed="21"/>
      </bottom>
      <diagonal/>
    </border>
    <border>
      <left/>
      <right style="thick">
        <color indexed="21"/>
      </right>
      <top style="thin">
        <color indexed="15"/>
      </top>
      <bottom style="thick">
        <color indexed="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43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2" fillId="0" borderId="13" applyNumberFormat="0" applyFill="0" applyAlignment="0" applyProtection="0"/>
    <xf numFmtId="168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29" applyNumberFormat="0" applyFill="0" applyAlignment="0" applyProtection="0"/>
    <xf numFmtId="0" fontId="47" fillId="0" borderId="0"/>
    <xf numFmtId="172" fontId="47" fillId="0" borderId="0" applyFont="0" applyFill="0" applyBorder="0" applyAlignment="0" applyProtection="0"/>
  </cellStyleXfs>
  <cellXfs count="238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6" fillId="3" borderId="1" xfId="0" applyFont="1" applyFill="1" applyBorder="1" applyAlignment="1">
      <alignment horizontal="center" shrinkToFit="1"/>
    </xf>
    <xf numFmtId="0" fontId="7" fillId="3" borderId="1" xfId="0" applyFont="1" applyFill="1" applyBorder="1" applyAlignment="1">
      <alignment horizontal="center" shrinkToFit="1"/>
    </xf>
    <xf numFmtId="0" fontId="8" fillId="3" borderId="1" xfId="0" applyFont="1" applyFill="1" applyBorder="1" applyAlignment="1">
      <alignment horizontal="center" shrinkToFit="1"/>
    </xf>
    <xf numFmtId="0" fontId="0" fillId="4" borderId="1" xfId="0" applyFill="1" applyBorder="1" applyAlignment="1">
      <alignment horizontal="center" shrinkToFit="1"/>
    </xf>
    <xf numFmtId="0" fontId="0" fillId="5" borderId="0" xfId="0" applyFill="1"/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1" fontId="10" fillId="6" borderId="1" xfId="0" applyNumberFormat="1" applyFont="1" applyFill="1" applyBorder="1" applyAlignment="1">
      <alignment horizontal="center" shrinkToFit="1"/>
    </xf>
    <xf numFmtId="1" fontId="11" fillId="6" borderId="1" xfId="0" applyNumberFormat="1" applyFont="1" applyFill="1" applyBorder="1" applyAlignment="1">
      <alignment horizontal="center" shrinkToFit="1"/>
    </xf>
    <xf numFmtId="0" fontId="1" fillId="0" borderId="0" xfId="1"/>
    <xf numFmtId="0" fontId="12" fillId="7" borderId="5" xfId="1" applyFont="1" applyFill="1" applyBorder="1" applyAlignment="1"/>
    <xf numFmtId="0" fontId="12" fillId="7" borderId="6" xfId="1" applyFont="1" applyFill="1" applyBorder="1" applyAlignment="1"/>
    <xf numFmtId="0" fontId="12" fillId="7" borderId="7" xfId="1" applyFont="1" applyFill="1" applyBorder="1" applyAlignment="1"/>
    <xf numFmtId="0" fontId="12" fillId="7" borderId="8" xfId="1" applyFont="1" applyFill="1" applyBorder="1" applyAlignment="1"/>
    <xf numFmtId="0" fontId="12" fillId="7" borderId="9" xfId="1" applyFont="1" applyFill="1" applyBorder="1" applyAlignment="1"/>
    <xf numFmtId="0" fontId="12" fillId="7" borderId="10" xfId="1" applyFont="1" applyFill="1" applyBorder="1" applyAlignment="1"/>
    <xf numFmtId="0" fontId="13" fillId="8" borderId="2" xfId="1" applyFont="1" applyFill="1" applyBorder="1" applyAlignment="1">
      <alignment horizontal="center"/>
    </xf>
    <xf numFmtId="0" fontId="13" fillId="8" borderId="3" xfId="1" applyFont="1" applyFill="1" applyBorder="1" applyAlignment="1">
      <alignment horizontal="center"/>
    </xf>
    <xf numFmtId="0" fontId="13" fillId="8" borderId="4" xfId="1" applyFont="1" applyFill="1" applyBorder="1" applyAlignment="1">
      <alignment horizontal="center"/>
    </xf>
    <xf numFmtId="0" fontId="2" fillId="9" borderId="0" xfId="0" applyFont="1" applyFill="1"/>
    <xf numFmtId="0" fontId="15" fillId="11" borderId="11" xfId="0" applyFont="1" applyFill="1" applyBorder="1" applyAlignment="1">
      <alignment horizontal="center"/>
    </xf>
    <xf numFmtId="0" fontId="15" fillId="12" borderId="11" xfId="0" applyFont="1" applyFill="1" applyBorder="1" applyAlignment="1">
      <alignment horizontal="center"/>
    </xf>
    <xf numFmtId="18" fontId="15" fillId="12" borderId="11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1" xfId="3" applyNumberFormat="1" applyFont="1" applyBorder="1" applyAlignment="1">
      <alignment horizontal="center"/>
    </xf>
    <xf numFmtId="165" fontId="0" fillId="0" borderId="11" xfId="4" applyNumberFormat="1" applyFont="1" applyBorder="1" applyAlignment="1">
      <alignment horizontal="center"/>
    </xf>
    <xf numFmtId="165" fontId="0" fillId="13" borderId="11" xfId="0" applyNumberFormat="1" applyFill="1" applyBorder="1" applyAlignment="1">
      <alignment horizontal="center"/>
    </xf>
    <xf numFmtId="18" fontId="15" fillId="12" borderId="11" xfId="0" applyNumberFormat="1" applyFont="1" applyFill="1" applyBorder="1"/>
    <xf numFmtId="0" fontId="15" fillId="12" borderId="0" xfId="0" applyFont="1" applyFill="1"/>
    <xf numFmtId="164" fontId="0" fillId="0" borderId="0" xfId="0" applyNumberFormat="1"/>
    <xf numFmtId="165" fontId="0" fillId="0" borderId="0" xfId="0" applyNumberFormat="1"/>
    <xf numFmtId="0" fontId="3" fillId="14" borderId="12" xfId="0" applyFont="1" applyFill="1" applyBorder="1" applyAlignment="1">
      <alignment horizontal="center"/>
    </xf>
    <xf numFmtId="0" fontId="3" fillId="14" borderId="12" xfId="0" applyFont="1" applyFill="1" applyBorder="1" applyAlignment="1">
      <alignment horizontal="center" vertical="top"/>
    </xf>
    <xf numFmtId="0" fontId="2" fillId="14" borderId="12" xfId="0" applyFont="1" applyFill="1" applyBorder="1" applyAlignment="1">
      <alignment horizontal="center"/>
    </xf>
    <xf numFmtId="0" fontId="3" fillId="14" borderId="12" xfId="0" applyFont="1" applyFill="1" applyBorder="1"/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16" fillId="0" borderId="0" xfId="0" applyFont="1"/>
    <xf numFmtId="0" fontId="19" fillId="0" borderId="0" xfId="0" applyFont="1"/>
    <xf numFmtId="0" fontId="9" fillId="0" borderId="0" xfId="0" applyFont="1"/>
    <xf numFmtId="0" fontId="3" fillId="15" borderId="12" xfId="0" applyFont="1" applyFill="1" applyBorder="1"/>
    <xf numFmtId="0" fontId="0" fillId="0" borderId="12" xfId="0" applyBorder="1"/>
    <xf numFmtId="0" fontId="0" fillId="17" borderId="12" xfId="0" applyFill="1" applyBorder="1"/>
    <xf numFmtId="0" fontId="0" fillId="18" borderId="0" xfId="0" applyFill="1"/>
    <xf numFmtId="0" fontId="0" fillId="19" borderId="0" xfId="0" applyFill="1"/>
    <xf numFmtId="20" fontId="0" fillId="20" borderId="0" xfId="0" applyNumberFormat="1" applyFill="1"/>
    <xf numFmtId="0" fontId="21" fillId="0" borderId="16" xfId="0" applyFont="1" applyBorder="1" applyAlignment="1">
      <alignment horizontal="center"/>
    </xf>
    <xf numFmtId="166" fontId="21" fillId="0" borderId="17" xfId="0" applyNumberFormat="1" applyFont="1" applyBorder="1" applyAlignment="1">
      <alignment horizontal="right"/>
    </xf>
    <xf numFmtId="1" fontId="21" fillId="0" borderId="17" xfId="0" applyNumberFormat="1" applyFont="1" applyBorder="1" applyAlignment="1">
      <alignment horizontal="right"/>
    </xf>
    <xf numFmtId="167" fontId="0" fillId="0" borderId="0" xfId="4" applyNumberFormat="1" applyFont="1"/>
    <xf numFmtId="0" fontId="21" fillId="22" borderId="16" xfId="0" applyFont="1" applyFill="1" applyBorder="1" applyAlignment="1">
      <alignment horizontal="center"/>
    </xf>
    <xf numFmtId="166" fontId="22" fillId="22" borderId="17" xfId="0" applyNumberFormat="1" applyFont="1" applyFill="1" applyBorder="1" applyAlignment="1">
      <alignment horizontal="right"/>
    </xf>
    <xf numFmtId="167" fontId="0" fillId="0" borderId="0" xfId="0" applyNumberFormat="1"/>
    <xf numFmtId="0" fontId="22" fillId="23" borderId="18" xfId="5" applyFont="1" applyFill="1" applyBorder="1" applyAlignment="1">
      <alignment horizontal="center"/>
    </xf>
    <xf numFmtId="166" fontId="22" fillId="24" borderId="19" xfId="5" applyNumberFormat="1" applyFont="1" applyFill="1" applyBorder="1" applyAlignment="1">
      <alignment horizontal="right"/>
    </xf>
    <xf numFmtId="0" fontId="5" fillId="16" borderId="12" xfId="0" applyFont="1" applyFill="1" applyBorder="1"/>
    <xf numFmtId="0" fontId="2" fillId="0" borderId="12" xfId="0" applyFont="1" applyBorder="1" applyAlignment="1">
      <alignment horizontal="center" vertical="top"/>
    </xf>
    <xf numFmtId="0" fontId="2" fillId="5" borderId="12" xfId="0" applyFont="1" applyFill="1" applyBorder="1" applyAlignment="1">
      <alignment horizontal="center" vertical="top"/>
    </xf>
    <xf numFmtId="0" fontId="23" fillId="5" borderId="12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0" fillId="0" borderId="20" xfId="0" applyBorder="1"/>
    <xf numFmtId="0" fontId="0" fillId="0" borderId="21" xfId="0" applyBorder="1"/>
    <xf numFmtId="0" fontId="2" fillId="0" borderId="22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5" fillId="25" borderId="28" xfId="0" applyFont="1" applyFill="1" applyBorder="1" applyAlignment="1">
      <alignment horizontal="center" vertical="top"/>
    </xf>
    <xf numFmtId="0" fontId="3" fillId="10" borderId="0" xfId="0" applyFont="1" applyFill="1"/>
    <xf numFmtId="0" fontId="26" fillId="26" borderId="0" xfId="2" applyFont="1" applyFill="1" applyAlignment="1">
      <alignment horizontal="center"/>
    </xf>
    <xf numFmtId="14" fontId="26" fillId="26" borderId="0" xfId="2" applyNumberFormat="1" applyFont="1" applyFill="1" applyAlignment="1">
      <alignment horizontal="center"/>
    </xf>
    <xf numFmtId="0" fontId="4" fillId="0" borderId="0" xfId="2" applyAlignment="1">
      <alignment horizontal="center"/>
    </xf>
    <xf numFmtId="169" fontId="17" fillId="0" borderId="0" xfId="6" applyNumberFormat="1" applyFont="1" applyAlignment="1" applyProtection="1">
      <alignment horizontal="center"/>
    </xf>
    <xf numFmtId="0" fontId="27" fillId="0" borderId="0" xfId="7"/>
    <xf numFmtId="0" fontId="28" fillId="17" borderId="0" xfId="7" applyFont="1" applyFill="1"/>
    <xf numFmtId="0" fontId="4" fillId="0" borderId="0" xfId="2"/>
    <xf numFmtId="0" fontId="0" fillId="0" borderId="0" xfId="0" applyNumberFormat="1"/>
    <xf numFmtId="0" fontId="30" fillId="12" borderId="12" xfId="0" applyFont="1" applyFill="1" applyBorder="1"/>
    <xf numFmtId="0" fontId="18" fillId="12" borderId="12" xfId="0" applyFont="1" applyFill="1" applyBorder="1"/>
    <xf numFmtId="0" fontId="3" fillId="16" borderId="0" xfId="0" applyFont="1" applyFill="1"/>
    <xf numFmtId="0" fontId="29" fillId="16" borderId="29" xfId="8" applyFill="1"/>
    <xf numFmtId="0" fontId="29" fillId="0" borderId="29" xfId="8"/>
    <xf numFmtId="0" fontId="4" fillId="0" borderId="0" xfId="2" applyAlignment="1">
      <alignment vertical="center"/>
    </xf>
    <xf numFmtId="0" fontId="14" fillId="0" borderId="0" xfId="2" applyFont="1" applyAlignment="1">
      <alignment vertical="center"/>
    </xf>
    <xf numFmtId="0" fontId="0" fillId="0" borderId="0" xfId="0" applyProtection="1">
      <protection hidden="1"/>
    </xf>
    <xf numFmtId="0" fontId="14" fillId="0" borderId="0" xfId="2" applyFont="1" applyAlignment="1" applyProtection="1">
      <alignment vertical="center"/>
      <protection hidden="1"/>
    </xf>
    <xf numFmtId="0" fontId="0" fillId="0" borderId="0" xfId="0" applyAlignment="1">
      <alignment horizontal="center"/>
    </xf>
    <xf numFmtId="0" fontId="25" fillId="14" borderId="22" xfId="0" applyFont="1" applyFill="1" applyBorder="1" applyAlignment="1">
      <alignment horizontal="center"/>
    </xf>
    <xf numFmtId="0" fontId="25" fillId="14" borderId="23" xfId="0" applyFont="1" applyFill="1" applyBorder="1" applyAlignment="1">
      <alignment horizontal="center"/>
    </xf>
    <xf numFmtId="0" fontId="25" fillId="14" borderId="23" xfId="0" applyFont="1" applyFill="1" applyBorder="1" applyAlignment="1">
      <alignment horizontal="center" vertical="top"/>
    </xf>
    <xf numFmtId="0" fontId="32" fillId="14" borderId="23" xfId="0" applyFont="1" applyFill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14" fontId="17" fillId="0" borderId="30" xfId="0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4" fontId="0" fillId="0" borderId="30" xfId="0" applyNumberFormat="1" applyBorder="1" applyAlignment="1">
      <alignment horizontal="center"/>
    </xf>
    <xf numFmtId="0" fontId="25" fillId="14" borderId="30" xfId="0" applyFont="1" applyFill="1" applyBorder="1" applyAlignment="1">
      <alignment horizontal="center"/>
    </xf>
    <xf numFmtId="0" fontId="25" fillId="14" borderId="24" xfId="0" applyFont="1" applyFill="1" applyBorder="1"/>
    <xf numFmtId="0" fontId="17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4" fontId="0" fillId="0" borderId="34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3" fillId="22" borderId="14" xfId="0" applyFont="1" applyFill="1" applyBorder="1" applyAlignment="1">
      <alignment horizontal="center" wrapText="1"/>
    </xf>
    <xf numFmtId="0" fontId="33" fillId="22" borderId="37" xfId="0" applyFont="1" applyFill="1" applyBorder="1" applyAlignment="1">
      <alignment horizontal="center" wrapText="1"/>
    </xf>
    <xf numFmtId="0" fontId="33" fillId="22" borderId="15" xfId="0" applyFont="1" applyFill="1" applyBorder="1" applyAlignment="1">
      <alignment horizontal="center" wrapText="1"/>
    </xf>
    <xf numFmtId="0" fontId="33" fillId="0" borderId="0" xfId="0" applyFont="1" applyAlignment="1">
      <alignment horizontal="center" wrapText="1"/>
    </xf>
    <xf numFmtId="0" fontId="34" fillId="0" borderId="38" xfId="0" applyFont="1" applyBorder="1" applyAlignment="1">
      <alignment vertical="center"/>
    </xf>
    <xf numFmtId="0" fontId="34" fillId="0" borderId="30" xfId="0" applyFont="1" applyBorder="1" applyAlignment="1">
      <alignment vertical="center"/>
    </xf>
    <xf numFmtId="0" fontId="34" fillId="0" borderId="39" xfId="0" applyFont="1" applyBorder="1" applyAlignment="1">
      <alignment vertical="center"/>
    </xf>
    <xf numFmtId="170" fontId="0" fillId="0" borderId="0" xfId="0" applyNumberFormat="1"/>
    <xf numFmtId="0" fontId="34" fillId="0" borderId="40" xfId="0" applyFont="1" applyBorder="1" applyAlignment="1">
      <alignment vertical="center"/>
    </xf>
    <xf numFmtId="0" fontId="34" fillId="0" borderId="41" xfId="0" applyFont="1" applyBorder="1" applyAlignment="1">
      <alignment vertical="center"/>
    </xf>
    <xf numFmtId="0" fontId="34" fillId="0" borderId="42" xfId="0" applyFont="1" applyBorder="1" applyAlignment="1">
      <alignment vertical="center"/>
    </xf>
    <xf numFmtId="0" fontId="35" fillId="0" borderId="0" xfId="0" applyFont="1"/>
    <xf numFmtId="0" fontId="33" fillId="0" borderId="14" xfId="0" applyFont="1" applyBorder="1"/>
    <xf numFmtId="0" fontId="34" fillId="0" borderId="15" xfId="0" applyFont="1" applyBorder="1"/>
    <xf numFmtId="0" fontId="34" fillId="0" borderId="0" xfId="0" applyFont="1" applyAlignment="1">
      <alignment vertical="center"/>
    </xf>
    <xf numFmtId="0" fontId="33" fillId="0" borderId="40" xfId="0" applyFont="1" applyBorder="1"/>
    <xf numFmtId="0" fontId="34" fillId="0" borderId="42" xfId="0" applyFont="1" applyBorder="1"/>
    <xf numFmtId="0" fontId="36" fillId="5" borderId="36" xfId="0" applyFont="1" applyFill="1" applyBorder="1" applyAlignment="1">
      <alignment horizontal="center"/>
    </xf>
    <xf numFmtId="0" fontId="37" fillId="28" borderId="0" xfId="0" applyFont="1" applyFill="1" applyAlignment="1">
      <alignment horizontal="center"/>
    </xf>
    <xf numFmtId="0" fontId="4" fillId="28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4" applyNumberFormat="1" applyFont="1" applyAlignment="1">
      <alignment horizontal="center"/>
    </xf>
    <xf numFmtId="0" fontId="38" fillId="0" borderId="0" xfId="0" applyFont="1" applyAlignment="1">
      <alignment horizontal="center"/>
    </xf>
    <xf numFmtId="44" fontId="4" fillId="0" borderId="0" xfId="4" applyFont="1" applyAlignment="1">
      <alignment horizontal="center"/>
    </xf>
    <xf numFmtId="0" fontId="39" fillId="5" borderId="36" xfId="0" applyFont="1" applyFill="1" applyBorder="1" applyAlignment="1">
      <alignment horizontal="center"/>
    </xf>
    <xf numFmtId="0" fontId="40" fillId="5" borderId="36" xfId="0" applyFont="1" applyFill="1" applyBorder="1" applyAlignment="1">
      <alignment horizontal="center"/>
    </xf>
    <xf numFmtId="0" fontId="41" fillId="0" borderId="30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0" xfId="4" applyNumberFormat="1" applyFont="1" applyBorder="1" applyAlignment="1">
      <alignment horizontal="center"/>
    </xf>
    <xf numFmtId="165" fontId="4" fillId="0" borderId="30" xfId="4" applyNumberFormat="1" applyFont="1" applyBorder="1" applyAlignment="1">
      <alignment horizontal="center"/>
    </xf>
    <xf numFmtId="171" fontId="4" fillId="0" borderId="30" xfId="4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43" fillId="29" borderId="36" xfId="0" applyFont="1" applyFill="1" applyBorder="1" applyAlignment="1">
      <alignment horizontal="center"/>
    </xf>
    <xf numFmtId="0" fontId="42" fillId="16" borderId="0" xfId="0" applyFont="1" applyFill="1" applyAlignment="1">
      <alignment horizontal="center"/>
    </xf>
    <xf numFmtId="0" fontId="44" fillId="0" borderId="30" xfId="0" applyFont="1" applyBorder="1" applyAlignment="1">
      <alignment horizontal="center"/>
    </xf>
    <xf numFmtId="0" fontId="2" fillId="0" borderId="0" xfId="2" applyFont="1"/>
    <xf numFmtId="0" fontId="2" fillId="0" borderId="0" xfId="2" applyFont="1" applyAlignment="1">
      <alignment horizontal="right"/>
    </xf>
    <xf numFmtId="167" fontId="4" fillId="0" borderId="0" xfId="2" applyNumberFormat="1"/>
    <xf numFmtId="15" fontId="4" fillId="0" borderId="0" xfId="2" applyNumberFormat="1"/>
    <xf numFmtId="0" fontId="45" fillId="0" borderId="0" xfId="0" applyFont="1"/>
    <xf numFmtId="0" fontId="0" fillId="30" borderId="30" xfId="0" applyFill="1" applyBorder="1"/>
    <xf numFmtId="0" fontId="0" fillId="30" borderId="44" xfId="0" applyFill="1" applyBorder="1"/>
    <xf numFmtId="0" fontId="0" fillId="0" borderId="30" xfId="0" applyBorder="1"/>
    <xf numFmtId="0" fontId="0" fillId="14" borderId="30" xfId="0" applyFill="1" applyBorder="1"/>
    <xf numFmtId="0" fontId="0" fillId="30" borderId="0" xfId="0" applyFill="1" applyBorder="1"/>
    <xf numFmtId="0" fontId="46" fillId="0" borderId="0" xfId="0" applyFont="1"/>
    <xf numFmtId="0" fontId="30" fillId="12" borderId="30" xfId="9" applyFont="1" applyFill="1" applyBorder="1" applyAlignment="1" applyProtection="1">
      <alignment horizontal="left" vertical="top"/>
      <protection locked="0"/>
    </xf>
    <xf numFmtId="0" fontId="30" fillId="12" borderId="30" xfId="9" applyFont="1" applyFill="1" applyBorder="1" applyAlignment="1" applyProtection="1">
      <alignment horizontal="center" vertical="top"/>
      <protection locked="0"/>
    </xf>
    <xf numFmtId="0" fontId="30" fillId="12" borderId="30" xfId="9" applyFont="1" applyFill="1" applyBorder="1" applyAlignment="1" applyProtection="1">
      <alignment vertical="top"/>
      <protection locked="0"/>
    </xf>
    <xf numFmtId="14" fontId="30" fillId="12" borderId="30" xfId="9" applyNumberFormat="1" applyFont="1" applyFill="1" applyBorder="1" applyAlignment="1" applyProtection="1">
      <alignment horizontal="center" vertical="top"/>
      <protection locked="0"/>
    </xf>
    <xf numFmtId="0" fontId="30" fillId="12" borderId="30" xfId="9" applyFont="1" applyFill="1" applyBorder="1" applyAlignment="1">
      <alignment horizontal="center" vertical="top"/>
    </xf>
    <xf numFmtId="44" fontId="30" fillId="12" borderId="30" xfId="4" applyFont="1" applyFill="1" applyBorder="1" applyAlignment="1" applyProtection="1">
      <alignment horizontal="center" vertical="top"/>
      <protection locked="0"/>
    </xf>
    <xf numFmtId="173" fontId="30" fillId="31" borderId="30" xfId="10" applyNumberFormat="1" applyFont="1" applyFill="1" applyBorder="1" applyAlignment="1" applyProtection="1">
      <alignment horizontal="center" vertical="top"/>
      <protection locked="0"/>
    </xf>
    <xf numFmtId="0" fontId="26" fillId="31" borderId="0" xfId="2" applyFont="1" applyFill="1"/>
    <xf numFmtId="0" fontId="26" fillId="5" borderId="0" xfId="2" applyFont="1" applyFill="1"/>
    <xf numFmtId="0" fontId="3" fillId="0" borderId="0" xfId="2" applyFont="1"/>
    <xf numFmtId="0" fontId="17" fillId="0" borderId="30" xfId="9" applyFont="1" applyBorder="1" applyProtection="1">
      <protection locked="0"/>
    </xf>
    <xf numFmtId="0" fontId="17" fillId="0" borderId="30" xfId="9" applyFont="1" applyBorder="1" applyAlignment="1" applyProtection="1">
      <alignment horizontal="center"/>
      <protection locked="0"/>
    </xf>
    <xf numFmtId="14" fontId="17" fillId="0" borderId="30" xfId="9" applyNumberFormat="1" applyFont="1" applyBorder="1" applyProtection="1">
      <protection locked="0"/>
    </xf>
    <xf numFmtId="164" fontId="17" fillId="0" borderId="30" xfId="10" applyNumberFormat="1" applyFont="1" applyFill="1" applyBorder="1" applyProtection="1"/>
    <xf numFmtId="44" fontId="17" fillId="0" borderId="30" xfId="4" applyFont="1" applyFill="1" applyBorder="1" applyAlignment="1" applyProtection="1">
      <protection locked="0"/>
    </xf>
    <xf numFmtId="164" fontId="17" fillId="0" borderId="30" xfId="10" applyNumberFormat="1" applyFont="1" applyFill="1" applyBorder="1" applyAlignment="1" applyProtection="1">
      <protection locked="0"/>
    </xf>
    <xf numFmtId="173" fontId="30" fillId="12" borderId="30" xfId="10" applyNumberFormat="1" applyFont="1" applyFill="1" applyBorder="1" applyAlignment="1" applyProtection="1">
      <alignment horizontal="center" vertical="top"/>
      <protection locked="0"/>
    </xf>
    <xf numFmtId="0" fontId="17" fillId="0" borderId="0" xfId="9" applyFont="1" applyProtection="1">
      <protection locked="0"/>
    </xf>
    <xf numFmtId="0" fontId="48" fillId="0" borderId="0" xfId="0" applyFont="1" applyAlignment="1">
      <alignment vertical="center"/>
    </xf>
    <xf numFmtId="0" fontId="18" fillId="32" borderId="30" xfId="0" applyFont="1" applyFill="1" applyBorder="1"/>
    <xf numFmtId="0" fontId="2" fillId="28" borderId="30" xfId="0" applyFont="1" applyFill="1" applyBorder="1" applyAlignment="1">
      <alignment horizontal="center"/>
    </xf>
    <xf numFmtId="44" fontId="0" fillId="0" borderId="30" xfId="4" applyFont="1" applyBorder="1"/>
    <xf numFmtId="0" fontId="18" fillId="0" borderId="30" xfId="0" applyFont="1" applyBorder="1"/>
    <xf numFmtId="0" fontId="49" fillId="0" borderId="0" xfId="0" applyFont="1"/>
    <xf numFmtId="0" fontId="2" fillId="28" borderId="32" xfId="0" applyFont="1" applyFill="1" applyBorder="1" applyAlignment="1">
      <alignment horizontal="center"/>
    </xf>
    <xf numFmtId="0" fontId="2" fillId="28" borderId="43" xfId="0" applyFont="1" applyFill="1" applyBorder="1" applyAlignment="1">
      <alignment horizontal="center"/>
    </xf>
    <xf numFmtId="0" fontId="2" fillId="28" borderId="31" xfId="0" applyFont="1" applyFill="1" applyBorder="1" applyAlignment="1">
      <alignment horizontal="center"/>
    </xf>
    <xf numFmtId="44" fontId="46" fillId="0" borderId="30" xfId="4" applyFont="1" applyBorder="1"/>
    <xf numFmtId="0" fontId="46" fillId="0" borderId="30" xfId="0" applyFont="1" applyBorder="1"/>
    <xf numFmtId="0" fontId="2" fillId="16" borderId="0" xfId="0" applyFont="1" applyFill="1"/>
    <xf numFmtId="0" fontId="0" fillId="30" borderId="0" xfId="0" applyFill="1"/>
    <xf numFmtId="0" fontId="0" fillId="33" borderId="0" xfId="0" applyFill="1"/>
    <xf numFmtId="0" fontId="50" fillId="0" borderId="0" xfId="0" applyFont="1"/>
    <xf numFmtId="14" fontId="0" fillId="0" borderId="0" xfId="0" applyNumberFormat="1"/>
    <xf numFmtId="0" fontId="51" fillId="0" borderId="0" xfId="0" applyFont="1"/>
    <xf numFmtId="14" fontId="51" fillId="0" borderId="0" xfId="0" applyNumberFormat="1" applyFont="1"/>
    <xf numFmtId="22" fontId="0" fillId="0" borderId="0" xfId="0" applyNumberFormat="1"/>
    <xf numFmtId="0" fontId="5" fillId="30" borderId="0" xfId="0" applyFont="1" applyFill="1"/>
    <xf numFmtId="0" fontId="2" fillId="34" borderId="45" xfId="0" applyFont="1" applyFill="1" applyBorder="1"/>
    <xf numFmtId="0" fontId="0" fillId="5" borderId="45" xfId="0" applyFill="1" applyBorder="1"/>
    <xf numFmtId="0" fontId="2" fillId="9" borderId="0" xfId="0" applyFont="1" applyFill="1" applyAlignment="1">
      <alignment horizontal="center"/>
    </xf>
    <xf numFmtId="0" fontId="3" fillId="9" borderId="45" xfId="0" applyFont="1" applyFill="1" applyBorder="1" applyAlignment="1">
      <alignment horizontal="center"/>
    </xf>
    <xf numFmtId="0" fontId="3" fillId="9" borderId="45" xfId="0" applyFont="1" applyFill="1" applyBorder="1" applyAlignment="1">
      <alignment horizontal="center" vertical="top"/>
    </xf>
    <xf numFmtId="0" fontId="2" fillId="9" borderId="46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2" fillId="35" borderId="45" xfId="0" applyFont="1" applyFill="1" applyBorder="1" applyAlignment="1">
      <alignment horizontal="center"/>
    </xf>
    <xf numFmtId="0" fontId="18" fillId="9" borderId="47" xfId="0" applyFont="1" applyFill="1" applyBorder="1" applyAlignment="1">
      <alignment horizontal="center"/>
    </xf>
    <xf numFmtId="0" fontId="0" fillId="36" borderId="47" xfId="0" applyFont="1" applyFill="1" applyBorder="1" applyAlignment="1">
      <alignment horizontal="center"/>
    </xf>
    <xf numFmtId="0" fontId="0" fillId="0" borderId="47" xfId="0" applyFont="1" applyBorder="1" applyAlignment="1">
      <alignment horizontal="center"/>
    </xf>
    <xf numFmtId="0" fontId="30" fillId="9" borderId="45" xfId="0" applyFont="1" applyFill="1" applyBorder="1" applyAlignment="1">
      <alignment horizontal="center"/>
    </xf>
    <xf numFmtId="0" fontId="0" fillId="36" borderId="45" xfId="0" applyFont="1" applyFill="1" applyBorder="1" applyAlignment="1">
      <alignment horizontal="center"/>
    </xf>
    <xf numFmtId="0" fontId="0" fillId="0" borderId="45" xfId="0" applyFont="1" applyBorder="1" applyAlignment="1">
      <alignment horizontal="center"/>
    </xf>
    <xf numFmtId="0" fontId="30" fillId="9" borderId="45" xfId="0" applyFont="1" applyFill="1" applyBorder="1" applyAlignment="1">
      <alignment horizontal="center" vertical="top"/>
    </xf>
    <xf numFmtId="0" fontId="18" fillId="9" borderId="45" xfId="0" applyFont="1" applyFill="1" applyBorder="1" applyAlignment="1">
      <alignment horizontal="center"/>
    </xf>
    <xf numFmtId="0" fontId="52" fillId="9" borderId="45" xfId="0" applyFont="1" applyFill="1" applyBorder="1" applyAlignment="1">
      <alignment horizontal="center"/>
    </xf>
    <xf numFmtId="0" fontId="52" fillId="5" borderId="45" xfId="0" applyFont="1" applyFill="1" applyBorder="1" applyAlignment="1">
      <alignment horizontal="center"/>
    </xf>
    <xf numFmtId="0" fontId="52" fillId="9" borderId="45" xfId="0" applyFont="1" applyFill="1" applyBorder="1" applyAlignment="1">
      <alignment horizontal="center" vertical="top"/>
    </xf>
    <xf numFmtId="0" fontId="53" fillId="9" borderId="45" xfId="0" applyFont="1" applyFill="1" applyBorder="1" applyAlignment="1">
      <alignment horizontal="center"/>
    </xf>
    <xf numFmtId="0" fontId="54" fillId="17" borderId="0" xfId="0" applyFont="1" applyFill="1" applyAlignment="1">
      <alignment horizontal="center"/>
    </xf>
    <xf numFmtId="0" fontId="2" fillId="37" borderId="0" xfId="0" applyFont="1" applyFill="1"/>
    <xf numFmtId="0" fontId="55" fillId="0" borderId="0" xfId="0" applyFont="1"/>
    <xf numFmtId="0" fontId="18" fillId="38" borderId="0" xfId="0" applyFont="1" applyFill="1"/>
    <xf numFmtId="0" fontId="18" fillId="12" borderId="0" xfId="0" applyFont="1" applyFill="1" applyAlignment="1">
      <alignment vertical="top"/>
    </xf>
    <xf numFmtId="166" fontId="0" fillId="0" borderId="0" xfId="0" applyNumberFormat="1"/>
    <xf numFmtId="3" fontId="0" fillId="0" borderId="0" xfId="0" applyNumberFormat="1"/>
    <xf numFmtId="0" fontId="0" fillId="30" borderId="0" xfId="0" applyFill="1" applyAlignment="1">
      <alignment horizontal="center"/>
    </xf>
    <xf numFmtId="2" fontId="0" fillId="2" borderId="0" xfId="0" applyNumberFormat="1" applyFill="1" applyAlignment="1">
      <alignment vertical="center"/>
    </xf>
    <xf numFmtId="0" fontId="3" fillId="10" borderId="0" xfId="0" applyFont="1" applyFill="1" applyAlignment="1">
      <alignment horizontal="center"/>
    </xf>
    <xf numFmtId="0" fontId="18" fillId="21" borderId="14" xfId="0" applyFont="1" applyFill="1" applyBorder="1" applyAlignment="1">
      <alignment horizontal="center"/>
    </xf>
    <xf numFmtId="0" fontId="18" fillId="21" borderId="15" xfId="0" applyFont="1" applyFill="1" applyBorder="1" applyAlignment="1">
      <alignment horizontal="center"/>
    </xf>
    <xf numFmtId="0" fontId="4" fillId="27" borderId="43" xfId="0" applyFont="1" applyFill="1" applyBorder="1" applyAlignment="1">
      <alignment horizontal="center"/>
    </xf>
    <xf numFmtId="0" fontId="2" fillId="28" borderId="32" xfId="0" applyFont="1" applyFill="1" applyBorder="1" applyAlignment="1">
      <alignment horizontal="center"/>
    </xf>
    <xf numFmtId="0" fontId="2" fillId="28" borderId="43" xfId="0" applyFont="1" applyFill="1" applyBorder="1" applyAlignment="1">
      <alignment horizontal="center"/>
    </xf>
    <xf numFmtId="0" fontId="2" fillId="28" borderId="31" xfId="0" applyFont="1" applyFill="1" applyBorder="1" applyAlignment="1">
      <alignment horizontal="center"/>
    </xf>
    <xf numFmtId="0" fontId="3" fillId="5" borderId="0" xfId="0" applyFont="1" applyFill="1"/>
  </cellXfs>
  <cellStyles count="11">
    <cellStyle name="Comma" xfId="3" builtinId="3"/>
    <cellStyle name="Comma 2 2" xfId="10" xr:uid="{A4A5ED4B-3705-4A51-916C-A9450E6983E2}"/>
    <cellStyle name="Currency" xfId="4" builtinId="4"/>
    <cellStyle name="Currency 2" xfId="6" xr:uid="{2119A5DB-8140-4BAE-A734-F9BBEB816ABC}"/>
    <cellStyle name="Explanatory Text" xfId="1" builtinId="53"/>
    <cellStyle name="Heading 2" xfId="8" builtinId="17"/>
    <cellStyle name="Hyperlink" xfId="7" builtinId="8"/>
    <cellStyle name="Normal" xfId="0" builtinId="0"/>
    <cellStyle name="Normal 2" xfId="2" xr:uid="{5CCE58DB-2905-4B4E-BB61-D3CF5C644DBD}"/>
    <cellStyle name="Normal 2 2" xfId="9" xr:uid="{B6A649B0-42BE-4763-97F3-55E21CD308CA}"/>
    <cellStyle name="Total" xfId="5" builtinId="25"/>
  </cellStyles>
  <dxfs count="59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border outline="0">
        <right style="thin">
          <color indexed="64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74" formatCode="m/d/yyyy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&quot;$&quot;#,##0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Olympics</a:t>
            </a:r>
          </a:p>
        </c:rich>
      </c:tx>
      <c:layout>
        <c:manualLayout>
          <c:xMode val="edge"/>
          <c:yMode val="edge"/>
          <c:x val="0.4094930008748907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6920384951881"/>
          <c:y val="0.1087616652085156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'Hiding charts'!$D$2:$D$8</c:f>
              <c:numCache>
                <c:formatCode>"$"#,##0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500</c:v>
                </c:pt>
                <c:pt idx="3">
                  <c:v>250</c:v>
                </c:pt>
                <c:pt idx="4">
                  <c:v>250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5-4CD3-8334-B772E44FA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284895"/>
        <c:axId val="1266285311"/>
      </c:barChart>
      <c:catAx>
        <c:axId val="1266284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285311"/>
        <c:crosses val="autoZero"/>
        <c:auto val="1"/>
        <c:lblAlgn val="ctr"/>
        <c:lblOffset val="100"/>
        <c:noMultiLvlLbl val="0"/>
      </c:catAx>
      <c:valAx>
        <c:axId val="126628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28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Add charts'!$B$1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Add charts'!$B$2:$B$13</c:f>
              <c:numCache>
                <c:formatCode>General</c:formatCode>
                <c:ptCount val="12"/>
                <c:pt idx="0">
                  <c:v>155777</c:v>
                </c:pt>
                <c:pt idx="1">
                  <c:v>98614</c:v>
                </c:pt>
                <c:pt idx="2">
                  <c:v>175102</c:v>
                </c:pt>
                <c:pt idx="3">
                  <c:v>96567</c:v>
                </c:pt>
                <c:pt idx="4">
                  <c:v>83906</c:v>
                </c:pt>
                <c:pt idx="5">
                  <c:v>71579</c:v>
                </c:pt>
                <c:pt idx="6">
                  <c:v>177862</c:v>
                </c:pt>
                <c:pt idx="7">
                  <c:v>74526</c:v>
                </c:pt>
                <c:pt idx="8">
                  <c:v>79724</c:v>
                </c:pt>
                <c:pt idx="9">
                  <c:v>165987</c:v>
                </c:pt>
                <c:pt idx="10">
                  <c:v>189584</c:v>
                </c:pt>
                <c:pt idx="11">
                  <c:v>197065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6-4DCA-A51F-275514964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332368"/>
        <c:axId val="249332784"/>
      </c:barChart>
      <c:catAx>
        <c:axId val="249332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332784"/>
        <c:crosses val="autoZero"/>
        <c:auto val="1"/>
        <c:lblAlgn val="ctr"/>
        <c:lblOffset val="100"/>
        <c:noMultiLvlLbl val="0"/>
      </c:catAx>
      <c:valAx>
        <c:axId val="24933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33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'Bubble chart'!$C$1</c:f>
              <c:strCache>
                <c:ptCount val="1"/>
                <c:pt idx="0">
                  <c:v>Sem-2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'Bubble chart'!$B$2:$B$21</c:f>
              <c:numCache>
                <c:formatCode>General</c:formatCode>
                <c:ptCount val="20"/>
                <c:pt idx="0">
                  <c:v>345</c:v>
                </c:pt>
                <c:pt idx="1">
                  <c:v>345</c:v>
                </c:pt>
                <c:pt idx="2">
                  <c:v>543</c:v>
                </c:pt>
                <c:pt idx="3">
                  <c:v>546</c:v>
                </c:pt>
                <c:pt idx="4">
                  <c:v>135</c:v>
                </c:pt>
                <c:pt idx="5">
                  <c:v>424</c:v>
                </c:pt>
                <c:pt idx="6">
                  <c:v>234</c:v>
                </c:pt>
                <c:pt idx="7">
                  <c:v>543</c:v>
                </c:pt>
                <c:pt idx="8">
                  <c:v>345</c:v>
                </c:pt>
                <c:pt idx="9">
                  <c:v>323</c:v>
                </c:pt>
                <c:pt idx="10">
                  <c:v>432</c:v>
                </c:pt>
                <c:pt idx="11">
                  <c:v>213</c:v>
                </c:pt>
                <c:pt idx="12">
                  <c:v>645</c:v>
                </c:pt>
                <c:pt idx="13">
                  <c:v>647</c:v>
                </c:pt>
                <c:pt idx="14">
                  <c:v>345</c:v>
                </c:pt>
                <c:pt idx="15">
                  <c:v>424</c:v>
                </c:pt>
                <c:pt idx="16">
                  <c:v>423</c:v>
                </c:pt>
                <c:pt idx="17">
                  <c:v>423</c:v>
                </c:pt>
                <c:pt idx="18">
                  <c:v>423</c:v>
                </c:pt>
                <c:pt idx="19">
                  <c:v>243</c:v>
                </c:pt>
              </c:numCache>
            </c:numRef>
          </c:xVal>
          <c:yVal>
            <c:numRef>
              <c:f>'Bubble chart'!$C$2:$C$21</c:f>
              <c:numCache>
                <c:formatCode>General</c:formatCode>
                <c:ptCount val="20"/>
                <c:pt idx="0">
                  <c:v>135</c:v>
                </c:pt>
                <c:pt idx="1">
                  <c:v>322</c:v>
                </c:pt>
                <c:pt idx="2">
                  <c:v>235</c:v>
                </c:pt>
                <c:pt idx="3">
                  <c:v>235</c:v>
                </c:pt>
                <c:pt idx="4">
                  <c:v>324</c:v>
                </c:pt>
                <c:pt idx="5">
                  <c:v>424</c:v>
                </c:pt>
                <c:pt idx="6">
                  <c:v>124</c:v>
                </c:pt>
                <c:pt idx="7">
                  <c:v>432</c:v>
                </c:pt>
                <c:pt idx="8">
                  <c:v>312</c:v>
                </c:pt>
                <c:pt idx="9">
                  <c:v>413</c:v>
                </c:pt>
                <c:pt idx="10">
                  <c:v>312</c:v>
                </c:pt>
                <c:pt idx="11">
                  <c:v>466</c:v>
                </c:pt>
                <c:pt idx="12">
                  <c:v>645</c:v>
                </c:pt>
                <c:pt idx="13">
                  <c:v>656</c:v>
                </c:pt>
                <c:pt idx="14">
                  <c:v>465</c:v>
                </c:pt>
                <c:pt idx="15">
                  <c:v>546</c:v>
                </c:pt>
                <c:pt idx="16">
                  <c:v>456</c:v>
                </c:pt>
                <c:pt idx="17">
                  <c:v>45</c:v>
                </c:pt>
                <c:pt idx="18">
                  <c:v>646</c:v>
                </c:pt>
                <c:pt idx="19">
                  <c:v>556</c:v>
                </c:pt>
              </c:numCache>
            </c:numRef>
          </c:yVal>
          <c:bubbleSize>
            <c:numRef>
              <c:f>'Bubble chart'!$D$2:$D$21</c:f>
              <c:numCache>
                <c:formatCode>General</c:formatCode>
                <c:ptCount val="20"/>
                <c:pt idx="0">
                  <c:v>123</c:v>
                </c:pt>
                <c:pt idx="1">
                  <c:v>320</c:v>
                </c:pt>
                <c:pt idx="2">
                  <c:v>127</c:v>
                </c:pt>
                <c:pt idx="3">
                  <c:v>129</c:v>
                </c:pt>
                <c:pt idx="4">
                  <c:v>321</c:v>
                </c:pt>
                <c:pt idx="5">
                  <c:v>143</c:v>
                </c:pt>
                <c:pt idx="6">
                  <c:v>145</c:v>
                </c:pt>
                <c:pt idx="7">
                  <c:v>147</c:v>
                </c:pt>
                <c:pt idx="8">
                  <c:v>432</c:v>
                </c:pt>
                <c:pt idx="9">
                  <c:v>141</c:v>
                </c:pt>
                <c:pt idx="10">
                  <c:v>143</c:v>
                </c:pt>
                <c:pt idx="11">
                  <c:v>145</c:v>
                </c:pt>
                <c:pt idx="12">
                  <c:v>423</c:v>
                </c:pt>
                <c:pt idx="13">
                  <c:v>149</c:v>
                </c:pt>
                <c:pt idx="14">
                  <c:v>151</c:v>
                </c:pt>
                <c:pt idx="15">
                  <c:v>231</c:v>
                </c:pt>
                <c:pt idx="16">
                  <c:v>155</c:v>
                </c:pt>
                <c:pt idx="17">
                  <c:v>532</c:v>
                </c:pt>
                <c:pt idx="18">
                  <c:v>159</c:v>
                </c:pt>
                <c:pt idx="19">
                  <c:v>161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BA8F-4A51-A8E7-68AEFF28E7A1}"/>
            </c:ext>
          </c:extLst>
        </c:ser>
        <c:ser>
          <c:idx val="1"/>
          <c:order val="1"/>
          <c:tx>
            <c:strRef>
              <c:f>'Bubble chart'!$E$1</c:f>
              <c:strCache>
                <c:ptCount val="1"/>
                <c:pt idx="0">
                  <c:v>Sem-4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'Bubble chart'!$B$2:$B$21</c:f>
              <c:numCache>
                <c:formatCode>General</c:formatCode>
                <c:ptCount val="20"/>
                <c:pt idx="0">
                  <c:v>345</c:v>
                </c:pt>
                <c:pt idx="1">
                  <c:v>345</c:v>
                </c:pt>
                <c:pt idx="2">
                  <c:v>543</c:v>
                </c:pt>
                <c:pt idx="3">
                  <c:v>546</c:v>
                </c:pt>
                <c:pt idx="4">
                  <c:v>135</c:v>
                </c:pt>
                <c:pt idx="5">
                  <c:v>424</c:v>
                </c:pt>
                <c:pt idx="6">
                  <c:v>234</c:v>
                </c:pt>
                <c:pt idx="7">
                  <c:v>543</c:v>
                </c:pt>
                <c:pt idx="8">
                  <c:v>345</c:v>
                </c:pt>
                <c:pt idx="9">
                  <c:v>323</c:v>
                </c:pt>
                <c:pt idx="10">
                  <c:v>432</c:v>
                </c:pt>
                <c:pt idx="11">
                  <c:v>213</c:v>
                </c:pt>
                <c:pt idx="12">
                  <c:v>645</c:v>
                </c:pt>
                <c:pt idx="13">
                  <c:v>647</c:v>
                </c:pt>
                <c:pt idx="14">
                  <c:v>345</c:v>
                </c:pt>
                <c:pt idx="15">
                  <c:v>424</c:v>
                </c:pt>
                <c:pt idx="16">
                  <c:v>423</c:v>
                </c:pt>
                <c:pt idx="17">
                  <c:v>423</c:v>
                </c:pt>
                <c:pt idx="18">
                  <c:v>423</c:v>
                </c:pt>
                <c:pt idx="19">
                  <c:v>243</c:v>
                </c:pt>
              </c:numCache>
            </c:numRef>
          </c:xVal>
          <c:yVal>
            <c:numRef>
              <c:f>'Bubble chart'!$E$2:$E$21</c:f>
              <c:numCache>
                <c:formatCode>General</c:formatCode>
                <c:ptCount val="20"/>
                <c:pt idx="0">
                  <c:v>234</c:v>
                </c:pt>
                <c:pt idx="1">
                  <c:v>178</c:v>
                </c:pt>
                <c:pt idx="2">
                  <c:v>176</c:v>
                </c:pt>
                <c:pt idx="3">
                  <c:v>423</c:v>
                </c:pt>
                <c:pt idx="4">
                  <c:v>434</c:v>
                </c:pt>
                <c:pt idx="5">
                  <c:v>170</c:v>
                </c:pt>
                <c:pt idx="6">
                  <c:v>532</c:v>
                </c:pt>
                <c:pt idx="7">
                  <c:v>166</c:v>
                </c:pt>
                <c:pt idx="8">
                  <c:v>164</c:v>
                </c:pt>
                <c:pt idx="9">
                  <c:v>162</c:v>
                </c:pt>
                <c:pt idx="10">
                  <c:v>325</c:v>
                </c:pt>
                <c:pt idx="11">
                  <c:v>158</c:v>
                </c:pt>
                <c:pt idx="12">
                  <c:v>156</c:v>
                </c:pt>
                <c:pt idx="13">
                  <c:v>154</c:v>
                </c:pt>
                <c:pt idx="14">
                  <c:v>152</c:v>
                </c:pt>
                <c:pt idx="15">
                  <c:v>523</c:v>
                </c:pt>
                <c:pt idx="16">
                  <c:v>148</c:v>
                </c:pt>
                <c:pt idx="17">
                  <c:v>146</c:v>
                </c:pt>
                <c:pt idx="18">
                  <c:v>525</c:v>
                </c:pt>
                <c:pt idx="19">
                  <c:v>142</c:v>
                </c:pt>
              </c:numCache>
            </c:numRef>
          </c:yVal>
          <c:bubbleSize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BA8F-4A51-A8E7-68AEFF28E7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207862832"/>
        <c:axId val="207854928"/>
      </c:bubbleChart>
      <c:valAx>
        <c:axId val="20786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54928"/>
        <c:crosses val="autoZero"/>
        <c:crossBetween val="midCat"/>
      </c:valAx>
      <c:valAx>
        <c:axId val="2078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6283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G$2" lockText="1" noThreeD="1"/>
</file>

<file path=xl/ctrlProps/ctrlProp2.xml><?xml version="1.0" encoding="utf-8"?>
<formControlPr xmlns="http://schemas.microsoft.com/office/spreadsheetml/2009/9/main" objectType="CheckBox" checked="Checked" fmlaLink="$G$3:$G$8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17/06/relationships/model3d" Target="../media/model3d1.glb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hyperlink" Target="file:///C:\Users\woake\OneDrive\Desktop\Madhu\Resume.pdf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0</xdr:row>
          <xdr:rowOff>177800</xdr:rowOff>
        </xdr:from>
        <xdr:to>
          <xdr:col>6</xdr:col>
          <xdr:colOff>342900</xdr:colOff>
          <xdr:row>2</xdr:row>
          <xdr:rowOff>25400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E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1</xdr:row>
          <xdr:rowOff>177800</xdr:rowOff>
        </xdr:from>
        <xdr:to>
          <xdr:col>5</xdr:col>
          <xdr:colOff>723900</xdr:colOff>
          <xdr:row>3</xdr:row>
          <xdr:rowOff>25400</xdr:rowOff>
        </xdr:to>
        <xdr:sp macro="" textlink="">
          <xdr:nvSpPr>
            <xdr:cNvPr id="21506" name="Check Box 2" descr="Check Box 1&#10;Check Box 3&#10;Check Box 5&#10;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E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2</xdr:row>
          <xdr:rowOff>177800</xdr:rowOff>
        </xdr:from>
        <xdr:to>
          <xdr:col>5</xdr:col>
          <xdr:colOff>723900</xdr:colOff>
          <xdr:row>4</xdr:row>
          <xdr:rowOff>25400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E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3</xdr:row>
          <xdr:rowOff>177800</xdr:rowOff>
        </xdr:from>
        <xdr:to>
          <xdr:col>5</xdr:col>
          <xdr:colOff>723900</xdr:colOff>
          <xdr:row>5</xdr:row>
          <xdr:rowOff>25400</xdr:rowOff>
        </xdr:to>
        <xdr:sp macro="" textlink="">
          <xdr:nvSpPr>
            <xdr:cNvPr id="21508" name="Check Box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0E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4</xdr:row>
          <xdr:rowOff>177800</xdr:rowOff>
        </xdr:from>
        <xdr:to>
          <xdr:col>5</xdr:col>
          <xdr:colOff>723900</xdr:colOff>
          <xdr:row>6</xdr:row>
          <xdr:rowOff>25400</xdr:rowOff>
        </xdr:to>
        <xdr:sp macro="" textlink="">
          <xdr:nvSpPr>
            <xdr:cNvPr id="21509" name="Check Box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0E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5</xdr:row>
          <xdr:rowOff>177800</xdr:rowOff>
        </xdr:from>
        <xdr:to>
          <xdr:col>5</xdr:col>
          <xdr:colOff>723900</xdr:colOff>
          <xdr:row>7</xdr:row>
          <xdr:rowOff>25400</xdr:rowOff>
        </xdr:to>
        <xdr:sp macro="" textlink="">
          <xdr:nvSpPr>
            <xdr:cNvPr id="21510" name="Check Box 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00000000-0008-0000-0E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590550</xdr:colOff>
          <xdr:row>6</xdr:row>
          <xdr:rowOff>177800</xdr:rowOff>
        </xdr:from>
        <xdr:to>
          <xdr:col>5</xdr:col>
          <xdr:colOff>723900</xdr:colOff>
          <xdr:row>8</xdr:row>
          <xdr:rowOff>25400</xdr:rowOff>
        </xdr:to>
        <xdr:sp macro="" textlink="">
          <xdr:nvSpPr>
            <xdr:cNvPr id="21511" name="Check Box 7" hidden="1">
              <a:extLst>
                <a:ext uri="{63B3BB69-23CF-44E3-9099-C40C66FF867C}">
                  <a14:compatExt spid="_x0000_s21511"/>
                </a:ext>
                <a:ext uri="{FF2B5EF4-FFF2-40B4-BE49-F238E27FC236}">
                  <a16:creationId xmlns:a16="http://schemas.microsoft.com/office/drawing/2014/main" id="{00000000-0008-0000-0E00-00000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142876</xdr:colOff>
      <xdr:row>0</xdr:row>
      <xdr:rowOff>0</xdr:rowOff>
    </xdr:from>
    <xdr:to>
      <xdr:col>14</xdr:col>
      <xdr:colOff>476251</xdr:colOff>
      <xdr:row>21</xdr:row>
      <xdr:rowOff>123016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376" y="0"/>
          <a:ext cx="4000500" cy="3956829"/>
        </a:xfrm>
        <a:prstGeom prst="rect">
          <a:avLst/>
        </a:prstGeom>
      </xdr:spPr>
    </xdr:pic>
    <xdr:clientData/>
  </xdr:twoCellAnchor>
  <xdr:twoCellAnchor editAs="oneCell">
    <xdr:from>
      <xdr:col>15</xdr:col>
      <xdr:colOff>248941</xdr:colOff>
      <xdr:row>7</xdr:row>
      <xdr:rowOff>98127</xdr:rowOff>
    </xdr:from>
    <xdr:to>
      <xdr:col>17</xdr:col>
      <xdr:colOff>455315</xdr:colOff>
      <xdr:row>15</xdr:row>
      <xdr:rowOff>66376</xdr:rowOff>
    </xdr:to>
    <xdr:pic>
      <xdr:nvPicPr>
        <xdr:cNvPr id="9" name="Graphic 8" descr="Butterfly with solid fill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355260" y="1368127"/>
          <a:ext cx="1420550" cy="1419678"/>
        </a:xfrm>
        <a:prstGeom prst="rect">
          <a:avLst/>
        </a:prstGeom>
      </xdr:spPr>
    </xdr:pic>
    <xdr:clientData/>
  </xdr:twoCellAnchor>
  <xdr:twoCellAnchor editAs="oneCell">
    <xdr:from>
      <xdr:col>10</xdr:col>
      <xdr:colOff>549842</xdr:colOff>
      <xdr:row>6</xdr:row>
      <xdr:rowOff>146161</xdr:rowOff>
    </xdr:from>
    <xdr:to>
      <xdr:col>12</xdr:col>
      <xdr:colOff>241867</xdr:colOff>
      <xdr:row>11</xdr:row>
      <xdr:rowOff>147749</xdr:rowOff>
    </xdr:to>
    <xdr:pic>
      <xdr:nvPicPr>
        <xdr:cNvPr id="11" name="Graphic 10" descr="Moustache with solid fill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620721" y="1234732"/>
          <a:ext cx="906201" cy="90873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20885</xdr:rowOff>
    </xdr:from>
    <xdr:to>
      <xdr:col>7</xdr:col>
      <xdr:colOff>530320</xdr:colOff>
      <xdr:row>15</xdr:row>
      <xdr:rowOff>166686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12" name="3D Model 11" descr="Cartoon tiger - color">
              <a:extLst>
                <a:ext uri="{FF2B5EF4-FFF2-40B4-BE49-F238E27FC236}">
                  <a16:creationId xmlns:a16="http://schemas.microsoft.com/office/drawing/2014/main" id="{00000000-0008-0000-0F00-00000C000000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6">
                <am3d:spPr>
                  <a:xfrm>
                    <a:off x="0" y="0"/>
                    <a:ext cx="4797520" cy="2171451"/>
                  </a:xfrm>
                  <a:prstGeom prst="rect">
                    <a:avLst/>
                  </a:prstGeom>
                </am3d:spPr>
                <am3d:camera>
                  <am3d:pos x="0" y="0" z="53222240"/>
                  <am3d:up dx="0" dy="36000000" dz="0"/>
                  <am3d:lookAt x="0" y="0" z="0"/>
                  <am3d:perspective fov="2700000"/>
                </am3d:camera>
                <am3d:trans>
                  <am3d:meterPerModelUnit n="18068620" d="1000000"/>
                  <am3d:preTrans dx="126657" dy="-8211284" dz="4650786"/>
                  <am3d:scale>
                    <am3d:sx n="1000000" d="1000000"/>
                    <am3d:sy n="1000000" d="1000000"/>
                    <am3d:sz n="1000000" d="1000000"/>
                  </am3d:scale>
                  <am3d:rot ax="-1213762" ay="3208787" az="-989801"/>
                  <am3d:postTrans dx="0" dy="0" dz="0"/>
                </am3d:trans>
                <am3d:raster rName="Office3DRenderer" rVer="16.0.8326">
                  <am3d:blip r:embed="rId7"/>
                </am3d:raster>
                <am3d:objViewport viewportSz="5567942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12" name="3D Model 11" descr="Cartoon tiger - color">
              <a:extLst>
                <a:ext uri="{FF2B5EF4-FFF2-40B4-BE49-F238E27FC236}">
                  <a16:creationId xmlns:a16="http://schemas.microsoft.com/office/drawing/2014/main" id="{00000000-0008-0000-0F00-00000C000000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0" y="746599"/>
              <a:ext cx="4784820" cy="214151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374650</xdr:colOff>
          <xdr:row>2</xdr:row>
          <xdr:rowOff>69850</xdr:rowOff>
        </xdr:from>
        <xdr:to>
          <xdr:col>2</xdr:col>
          <xdr:colOff>482600</xdr:colOff>
          <xdr:row>7</xdr:row>
          <xdr:rowOff>146050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0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425450</xdr:colOff>
          <xdr:row>0</xdr:row>
          <xdr:rowOff>19050</xdr:rowOff>
        </xdr:from>
        <xdr:to>
          <xdr:col>15</xdr:col>
          <xdr:colOff>146050</xdr:colOff>
          <xdr:row>11</xdr:row>
          <xdr:rowOff>152400</xdr:rowOff>
        </xdr:to>
        <xdr:sp macro="" textlink="">
          <xdr:nvSpPr>
            <xdr:cNvPr id="17410" name="Object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10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155575</xdr:rowOff>
    </xdr:from>
    <xdr:to>
      <xdr:col>5</xdr:col>
      <xdr:colOff>333375</xdr:colOff>
      <xdr:row>18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705920</xdr:colOff>
      <xdr:row>2</xdr:row>
      <xdr:rowOff>82550</xdr:rowOff>
    </xdr:from>
    <xdr:to>
      <xdr:col>8</xdr:col>
      <xdr:colOff>349249</xdr:colOff>
      <xdr:row>15</xdr:row>
      <xdr:rowOff>39149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4320" y="450850"/>
          <a:ext cx="2399229" cy="23505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180975</xdr:rowOff>
    </xdr:from>
    <xdr:to>
      <xdr:col>12</xdr:col>
      <xdr:colOff>146050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92075</xdr:colOff>
      <xdr:row>1</xdr:row>
      <xdr:rowOff>41275</xdr:rowOff>
    </xdr:from>
    <xdr:to>
      <xdr:col>13</xdr:col>
      <xdr:colOff>361950</xdr:colOff>
      <xdr:row>12</xdr:row>
      <xdr:rowOff>222250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woake\OneDrive\Documents\Health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MacroEnabled.12">
    <oleItems>
      <oleItem name="'" icon="1" preferPic="1"/>
    </oleItems>
  </oleLin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C0B1A8-DF8D-4EB8-B9EF-2AAE9E81091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Name" tableColumnId="2"/>
      <queryTableField id="3" name="Author" tableColumnId="3"/>
      <queryTableField id="4" name="UserRating" tableColumnId="4"/>
      <queryTableField id="5" name="Reviews" tableColumnId="5"/>
      <queryTableField id="6" name="Price" tableColumnId="6"/>
      <queryTableField id="7" name="Year" tableColumnId="7"/>
      <queryTableField id="8" name="Genre" tableColumnId="8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8D34F-A8FE-46BD-9F66-B9A70DBA3457}" name="Table1" displayName="Table1" ref="A1:F45" headerRowDxfId="48" headerRowBorderDxfId="47" tableBorderDxfId="46" totalsRowBorderDxfId="45">
  <autoFilter ref="A1:F45" xr:uid="{70E8D34F-A8FE-46BD-9F66-B9A70DBA3457}"/>
  <tableColumns count="6">
    <tableColumn id="1" xr3:uid="{722F850D-0022-4647-9AE7-4E606F0DD8C1}" name="Product Code" totalsRowLabel="Total" dataDxfId="44" totalsRowDxfId="43"/>
    <tableColumn id="2" xr3:uid="{603ABC60-8684-46CE-8CCD-E5684D5931F5}" name="Product Name" dataDxfId="42" totalsRowDxfId="41"/>
    <tableColumn id="3" xr3:uid="{BB8C2FE1-0DCC-4061-A597-F692745DE797}" name="Category" dataDxfId="40" totalsRowDxfId="39"/>
    <tableColumn id="4" xr3:uid="{9F258810-EEE3-4E11-B3A6-B23B8916E50D}" name="Price" dataDxfId="38" totalsRowDxfId="37"/>
    <tableColumn id="5" xr3:uid="{F83FFCD2-53CD-4140-BC56-C14884DA5F9A}" name="Stock" dataDxfId="36" totalsRowDxfId="35"/>
    <tableColumn id="6" xr3:uid="{FC8BF8AA-C964-4EAD-A515-2120E89D1B20}" name="Profit" totalsRowFunction="sum" dataDxfId="34" totalsRow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427AA-2E2E-47C4-9BAC-A58BF431710C}" name="Table2" displayName="Table2" ref="A1:E8" totalsRowShown="0" headerRowDxfId="32" dataDxfId="31" headerRowCellStyle="Normal 2" dataCellStyle="Normal 2">
  <autoFilter ref="A1:E8" xr:uid="{3B4427AA-2E2E-47C4-9BAC-A58BF431710C}"/>
  <tableColumns count="5">
    <tableColumn id="1" xr3:uid="{9C23C825-A230-430D-B267-D9EF30E5A62C}" name="Country" dataDxfId="30" dataCellStyle="Normal 2"/>
    <tableColumn id="2" xr3:uid="{46D1F85E-A246-48F9-9367-06EA6F69CDCB}" name="Gender" dataDxfId="29" dataCellStyle="Normal 2"/>
    <tableColumn id="3" xr3:uid="{6F34B627-DE99-4847-84FA-5FC8EC408B3F}" name="Medal" dataDxfId="28" dataCellStyle="Normal 2"/>
    <tableColumn id="4" xr3:uid="{AAB746C4-9C67-4295-9B12-1B337B0502AE}" name="Prize Money" dataDxfId="27" dataCellStyle="Currency 2"/>
    <tableColumn id="5" xr3:uid="{031E6AA5-A249-49E4-B6BA-266D2843E9BC}" name="Ran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A30BE6-E1DA-43AF-81C6-12585F4F78B9}" name="Table4" displayName="Table4" ref="A1:D13" totalsRowShown="0" headerRowCellStyle="Normal 2">
  <autoFilter ref="A1:D13" xr:uid="{4FA30BE6-E1DA-43AF-81C6-12585F4F78B9}"/>
  <tableColumns count="4">
    <tableColumn id="1" xr3:uid="{75D31DB6-E6F6-4AF6-A02B-DEF50EDFB121}" name="Month"/>
    <tableColumn id="2" xr3:uid="{0ADC2784-311A-4384-91C8-8C01D4CD2636}" name="Sales"/>
    <tableColumn id="3" xr3:uid="{092832AE-9B70-43BB-959E-AF03DB96F8E5}" name="Profit"/>
    <tableColumn id="4" xr3:uid="{84033404-972A-4C3F-9AE8-15D7B1F2B5BC}" name="Depart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1DD308-22DD-4634-9EAA-99E0736B0084}" name="Table46" displayName="Table46" ref="A1:D13" totalsRowShown="0" headerRowCellStyle="Normal" dataCellStyle="Normal">
  <autoFilter ref="A1:D13" xr:uid="{DF1DD308-22DD-4634-9EAA-99E0736B0084}"/>
  <tableColumns count="4">
    <tableColumn id="1" xr3:uid="{BD59DF61-4A5C-46D5-B52F-68691528DDA8}" name="Month" dataCellStyle="Normal"/>
    <tableColumn id="2" xr3:uid="{50CFD926-4C40-4902-B33D-879DA73E70FF}" name="Sales" dataCellStyle="Normal"/>
    <tableColumn id="3" xr3:uid="{01ED416A-621C-470A-BD23-0DF4B6AA1D65}" name="Profit" dataCellStyle="Normal"/>
    <tableColumn id="4" xr3:uid="{51670119-2C0A-4B6E-A350-A34D81AD76C1}" name="Department" dataCellStyle="Normal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A05FDC-C734-4533-AB72-201F0C595C17}" name="Books_Unique_Dataset" displayName="Books_Unique_Dataset" ref="A1:H352" tableType="queryTable" totalsRowShown="0">
  <autoFilter ref="A1:H352" xr:uid="{CBA05FDC-C734-4533-AB72-201F0C595C17}"/>
  <tableColumns count="8">
    <tableColumn id="1" xr3:uid="{B04319AA-8BF6-47F4-A517-90D416E7DC70}" uniqueName="1" name="Column1" queryTableFieldId="1"/>
    <tableColumn id="2" xr3:uid="{81BC7B6E-BA5D-4B16-8ED7-18B1BAC44820}" uniqueName="2" name="Name" queryTableFieldId="2" dataDxfId="26"/>
    <tableColumn id="3" xr3:uid="{7FBE8232-3DDF-4C45-9370-281541F63B81}" uniqueName="3" name="Author" queryTableFieldId="3" dataDxfId="25"/>
    <tableColumn id="4" xr3:uid="{74EDFB9E-CCA9-4821-B33A-ADD1E5A7A4FC}" uniqueName="4" name="UserRating" queryTableFieldId="4"/>
    <tableColumn id="5" xr3:uid="{F46F0329-90E6-4275-A0BC-2CDF2E068C40}" uniqueName="5" name="Reviews" queryTableFieldId="5"/>
    <tableColumn id="6" xr3:uid="{44BFCCA1-CE3C-4410-AB22-3CCA2607D026}" uniqueName="6" name="Price" queryTableFieldId="6"/>
    <tableColumn id="7" xr3:uid="{58F8FBD3-43B7-47DC-944C-9CD78CF9778C}" uniqueName="7" name="Year" queryTableFieldId="7"/>
    <tableColumn id="8" xr3:uid="{9F7A8A78-7F66-4FE4-B262-5B4F1CA8C04F}" uniqueName="8" name="Genre" queryTableFieldId="8" dataDxfId="2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B96EA9-8601-4E96-A73B-C056C428DB16}" name="Table3" displayName="Table3" ref="B1:H24" totalsRowShown="0" headerRowDxfId="21" dataDxfId="19" headerRowBorderDxfId="20" tableBorderDxfId="18" totalsRowBorderDxfId="17">
  <autoFilter ref="B1:H24" xr:uid="{B8B96EA9-8601-4E96-A73B-C056C428DB16}"/>
  <tableColumns count="7">
    <tableColumn id="1" xr3:uid="{24777B39-3139-41DD-96AF-E6A14A0F6263}" name="gender" dataDxfId="16"/>
    <tableColumn id="2" xr3:uid="{FE9A95AA-3EA3-4FEB-B2DA-8DAFC107B626}" name="age" dataDxfId="15"/>
    <tableColumn id="3" xr3:uid="{2B0265AA-6144-4F2D-A1E6-4FD43601007B}" name="Region" dataDxfId="14"/>
    <tableColumn id="4" xr3:uid="{EAB82C78-FF3F-42FB-B3FE-FF10C1BF4A57}" name="Category" dataDxfId="13"/>
    <tableColumn id="5" xr3:uid="{8A0034E0-B2A5-44AE-A0E2-06C28D294EF4}" name="Profit" dataDxfId="12"/>
    <tableColumn id="6" xr3:uid="{68C71424-D3B2-4655-AA50-DA4018900588}" name="Sales Date" dataDxfId="11"/>
    <tableColumn id="7" xr3:uid="{395F4D9D-8639-4B63-A3DC-9164AF2F6063}" name="payment_method" dataDxfId="1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B2768F-0118-4A7E-8F12-E6F0FB864340}" name="Table10" displayName="Table10" ref="A1:F16" totalsRowShown="0">
  <autoFilter ref="A1:F16" xr:uid="{2AB2768F-0118-4A7E-8F12-E6F0FB864340}"/>
  <tableColumns count="6">
    <tableColumn id="1" xr3:uid="{8EA1D670-774E-4304-894B-EC4ADE8E52B9}" name="Name"/>
    <tableColumn id="2" xr3:uid="{9DD63CDB-247A-40DF-92F1-1B5912D47163}" name="gender"/>
    <tableColumn id="3" xr3:uid="{29E10818-F7A8-40FC-9A39-D64C7686BC15}" name="age"/>
    <tableColumn id="4" xr3:uid="{0DB7DB2B-75EF-48A0-B29B-A472F7C08C7B}" name="Region"/>
    <tableColumn id="5" xr3:uid="{254E5F73-CE3D-4742-86E5-9C65EF0B7598}" name="Category"/>
    <tableColumn id="6" xr3:uid="{E3492E1C-A761-468B-AF8B-28926ABC647B}" name="Prof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80158C-4C21-4934-9E88-E94D9AFE7DE1}" name="Sales" displayName="Sales" ref="A1:G19" totalsRowShown="0" dataDxfId="9" tableBorderDxfId="8">
  <autoFilter ref="A1:G19" xr:uid="{7580158C-4C21-4934-9E88-E94D9AFE7DE1}"/>
  <tableColumns count="7">
    <tableColumn id="1" xr3:uid="{251B84E1-8765-4672-B20C-E1D21D4AA5F3}" name="SL-NO" dataDxfId="7"/>
    <tableColumn id="2" xr3:uid="{D9320696-52D1-496F-9CF1-8C2B538C3E7B}" name="Name" dataDxfId="6"/>
    <tableColumn id="3" xr3:uid="{197C4829-EEA8-43C9-8484-4AA15370C725}" name="gender" dataDxfId="5"/>
    <tableColumn id="4" xr3:uid="{1A030F6D-4DAA-4E20-8F44-25707E676F3A}" name="age" dataDxfId="4"/>
    <tableColumn id="5" xr3:uid="{E0A65D21-DAEB-4C80-9C04-76FF9F4B0CF9}" name="Region" dataDxfId="3"/>
    <tableColumn id="6" xr3:uid="{2F9C12DD-E5FA-44DC-B280-8E9DCAD4CD12}" name="Category" dataDxfId="2"/>
    <tableColumn id="7" xr3:uid="{3E73C403-B2BC-4F05-81A8-57ACAED7A452}" name="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8.emf"/><Relationship Id="rId5" Type="http://schemas.openxmlformats.org/officeDocument/2006/relationships/package" Target="../embeddings/Microsoft_Excel_Worksheet.xlsx"/><Relationship Id="rId4" Type="http://schemas.openxmlformats.org/officeDocument/2006/relationships/image" Target="../media/image7.emf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file:///C:\Users\woake\OneDrive\Desktop\Madhu\Madhu%20Profile.pdf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AB09-14CC-43E0-B9C1-D7B37F1D1DE8}">
  <sheetPr codeName="Sheet11"/>
  <dimension ref="A1:T34"/>
  <sheetViews>
    <sheetView tabSelected="1" topLeftCell="A13" zoomScale="80" zoomScaleNormal="80" workbookViewId="0">
      <selection activeCell="H22" sqref="H22"/>
    </sheetView>
  </sheetViews>
  <sheetFormatPr defaultRowHeight="14.5"/>
  <cols>
    <col min="1" max="1" width="11" customWidth="1"/>
    <col min="13" max="13" width="6.81640625" customWidth="1"/>
    <col min="14" max="14" width="20.08984375" customWidth="1"/>
    <col min="15" max="15" width="13.81640625" customWidth="1"/>
    <col min="16" max="16" width="12.1796875" customWidth="1"/>
    <col min="17" max="17" width="13.26953125" customWidth="1"/>
    <col min="20" max="20" width="8.7265625" style="229"/>
  </cols>
  <sheetData>
    <row r="1" spans="1:17" ht="19.5" thickTop="1" thickBot="1">
      <c r="A1" s="2" t="s">
        <v>38</v>
      </c>
      <c r="N1" s="4" t="s">
        <v>4</v>
      </c>
      <c r="O1" s="5" t="s">
        <v>5</v>
      </c>
      <c r="P1" s="11" t="s">
        <v>6</v>
      </c>
      <c r="Q1" s="6" t="s">
        <v>7</v>
      </c>
    </row>
    <row r="2" spans="1:17" ht="19.5" thickTop="1" thickBot="1">
      <c r="A2" s="2" t="s">
        <v>36</v>
      </c>
      <c r="N2" s="7" t="s">
        <v>8</v>
      </c>
      <c r="O2" s="7" t="s">
        <v>9</v>
      </c>
      <c r="P2" s="12">
        <v>49</v>
      </c>
      <c r="Q2" s="7">
        <v>339</v>
      </c>
    </row>
    <row r="3" spans="1:17" ht="19.5" thickTop="1" thickBot="1">
      <c r="A3" s="2" t="s">
        <v>37</v>
      </c>
      <c r="N3" s="7" t="s">
        <v>10</v>
      </c>
      <c r="O3" s="7" t="s">
        <v>11</v>
      </c>
      <c r="P3" s="12">
        <v>44</v>
      </c>
      <c r="Q3" s="7">
        <v>239</v>
      </c>
    </row>
    <row r="4" spans="1:17" ht="19.5" thickTop="1" thickBot="1">
      <c r="A4" s="2"/>
      <c r="N4" s="7" t="s">
        <v>12</v>
      </c>
      <c r="O4" s="7" t="s">
        <v>13</v>
      </c>
      <c r="P4" s="12">
        <v>45</v>
      </c>
      <c r="Q4" s="7">
        <v>379</v>
      </c>
    </row>
    <row r="5" spans="1:17" ht="19.5" thickTop="1" thickBot="1">
      <c r="A5" s="2" t="s">
        <v>0</v>
      </c>
      <c r="N5" s="7" t="s">
        <v>14</v>
      </c>
      <c r="O5" s="7" t="s">
        <v>15</v>
      </c>
      <c r="P5" s="12">
        <v>52</v>
      </c>
      <c r="Q5" s="7">
        <v>288</v>
      </c>
    </row>
    <row r="6" spans="1:17" ht="19.5" thickTop="1" thickBot="1">
      <c r="A6" s="2"/>
      <c r="N6" s="7" t="s">
        <v>16</v>
      </c>
      <c r="O6" s="7" t="s">
        <v>17</v>
      </c>
      <c r="P6" s="12">
        <v>35</v>
      </c>
      <c r="Q6" s="7">
        <v>213</v>
      </c>
    </row>
    <row r="7" spans="1:17" ht="19.5" thickTop="1" thickBot="1">
      <c r="A7" s="2" t="s">
        <v>1</v>
      </c>
      <c r="K7" s="8"/>
      <c r="L7" s="8"/>
      <c r="N7" s="7" t="s">
        <v>18</v>
      </c>
      <c r="O7" s="7" t="s">
        <v>19</v>
      </c>
      <c r="P7" s="12">
        <v>86</v>
      </c>
      <c r="Q7" s="7">
        <v>265</v>
      </c>
    </row>
    <row r="8" spans="1:17" ht="19.5" thickTop="1" thickBot="1">
      <c r="A8" s="2" t="s">
        <v>2</v>
      </c>
      <c r="K8" s="8"/>
      <c r="L8" s="8"/>
      <c r="N8" s="7" t="s">
        <v>20</v>
      </c>
      <c r="O8" s="7" t="s">
        <v>21</v>
      </c>
      <c r="P8" s="12">
        <v>84</v>
      </c>
      <c r="Q8" s="7">
        <v>369</v>
      </c>
    </row>
    <row r="9" spans="1:17" ht="19.5" thickTop="1" thickBot="1">
      <c r="A9" s="2" t="s">
        <v>3</v>
      </c>
      <c r="K9" s="8"/>
      <c r="L9" s="8"/>
      <c r="N9" s="7" t="s">
        <v>22</v>
      </c>
      <c r="O9" s="7" t="s">
        <v>23</v>
      </c>
      <c r="P9" s="12">
        <v>73</v>
      </c>
      <c r="Q9" s="7">
        <v>285</v>
      </c>
    </row>
    <row r="10" spans="1:17" ht="15.5" thickTop="1" thickBot="1">
      <c r="K10" s="8"/>
      <c r="L10" s="8"/>
      <c r="N10" s="7" t="s">
        <v>24</v>
      </c>
      <c r="O10" s="7" t="s">
        <v>9</v>
      </c>
      <c r="P10" s="12">
        <v>54</v>
      </c>
      <c r="Q10" s="7">
        <v>189</v>
      </c>
    </row>
    <row r="11" spans="1:17" ht="22" thickTop="1" thickBot="1">
      <c r="A11" s="10" t="s">
        <v>32</v>
      </c>
      <c r="B11" s="9"/>
      <c r="C11" s="9"/>
      <c r="D11" s="9"/>
      <c r="E11" s="9"/>
      <c r="K11" s="8"/>
      <c r="L11" s="8"/>
      <c r="N11" s="7" t="s">
        <v>25</v>
      </c>
      <c r="O11" s="7" t="s">
        <v>11</v>
      </c>
      <c r="P11" s="12">
        <v>52</v>
      </c>
      <c r="Q11" s="7">
        <v>213</v>
      </c>
    </row>
    <row r="12" spans="1:17" ht="19.5" thickTop="1" thickBot="1">
      <c r="A12" s="2"/>
      <c r="N12" s="7" t="s">
        <v>26</v>
      </c>
      <c r="O12" s="7" t="s">
        <v>13</v>
      </c>
      <c r="P12" s="12">
        <v>63</v>
      </c>
      <c r="Q12" s="7">
        <v>219</v>
      </c>
    </row>
    <row r="13" spans="1:17" ht="19.5" thickTop="1" thickBot="1">
      <c r="A13" s="2" t="s">
        <v>33</v>
      </c>
      <c r="N13" s="7" t="s">
        <v>27</v>
      </c>
      <c r="O13" s="7" t="s">
        <v>15</v>
      </c>
      <c r="P13" s="12">
        <v>79</v>
      </c>
      <c r="Q13" s="7">
        <v>376</v>
      </c>
    </row>
    <row r="14" spans="1:17" ht="19.5" thickTop="1" thickBot="1">
      <c r="A14" s="2" t="s">
        <v>34</v>
      </c>
      <c r="N14" s="7" t="s">
        <v>28</v>
      </c>
      <c r="O14" s="7" t="s">
        <v>17</v>
      </c>
      <c r="P14" s="12">
        <v>95</v>
      </c>
      <c r="Q14" s="7">
        <v>332</v>
      </c>
    </row>
    <row r="15" spans="1:17" ht="19.5" thickTop="1" thickBot="1">
      <c r="A15" s="2" t="s">
        <v>35</v>
      </c>
      <c r="N15" s="7" t="s">
        <v>29</v>
      </c>
      <c r="O15" s="7" t="s">
        <v>19</v>
      </c>
      <c r="P15" s="12">
        <v>83</v>
      </c>
      <c r="Q15" s="7">
        <v>288</v>
      </c>
    </row>
    <row r="16" spans="1:17" ht="15.5" thickTop="1" thickBot="1">
      <c r="N16" s="7" t="s">
        <v>30</v>
      </c>
      <c r="O16" s="7" t="s">
        <v>21</v>
      </c>
      <c r="P16" s="12">
        <v>78</v>
      </c>
      <c r="Q16" s="7">
        <v>285</v>
      </c>
    </row>
    <row r="17" spans="2:17" ht="15.5" thickTop="1" thickBot="1">
      <c r="N17" s="7" t="s">
        <v>31</v>
      </c>
      <c r="O17" s="7" t="s">
        <v>23</v>
      </c>
      <c r="P17" s="12">
        <v>14</v>
      </c>
      <c r="Q17" s="7">
        <v>199</v>
      </c>
    </row>
    <row r="18" spans="2:17" ht="15" thickTop="1">
      <c r="B18" s="13" t="s">
        <v>4</v>
      </c>
      <c r="C18" s="13" t="s">
        <v>5</v>
      </c>
      <c r="D18" s="13" t="s">
        <v>6</v>
      </c>
      <c r="E18" s="13" t="s">
        <v>7</v>
      </c>
    </row>
    <row r="19" spans="2:17">
      <c r="B19" s="13" t="s">
        <v>8</v>
      </c>
      <c r="C19" s="13" t="s">
        <v>9</v>
      </c>
      <c r="D19" s="13">
        <v>49</v>
      </c>
      <c r="E19" s="13">
        <v>339</v>
      </c>
    </row>
    <row r="20" spans="2:17">
      <c r="B20" s="13" t="s">
        <v>10</v>
      </c>
      <c r="C20" s="13" t="s">
        <v>11</v>
      </c>
      <c r="D20" s="13">
        <v>44</v>
      </c>
      <c r="E20" s="13">
        <v>239</v>
      </c>
    </row>
    <row r="21" spans="2:17">
      <c r="B21" s="13" t="s">
        <v>12</v>
      </c>
      <c r="C21" s="13" t="s">
        <v>13</v>
      </c>
      <c r="D21" s="13">
        <v>45</v>
      </c>
      <c r="E21" s="13">
        <v>379</v>
      </c>
    </row>
    <row r="22" spans="2:17">
      <c r="B22" s="13" t="s">
        <v>14</v>
      </c>
      <c r="C22" s="13" t="s">
        <v>15</v>
      </c>
      <c r="D22" s="13">
        <v>52</v>
      </c>
      <c r="E22" s="13">
        <v>288</v>
      </c>
    </row>
    <row r="23" spans="2:17">
      <c r="B23" s="13" t="s">
        <v>16</v>
      </c>
      <c r="C23" s="13" t="s">
        <v>17</v>
      </c>
      <c r="D23" s="13">
        <v>35</v>
      </c>
      <c r="E23" s="13">
        <v>213</v>
      </c>
    </row>
    <row r="24" spans="2:17">
      <c r="B24" s="13" t="s">
        <v>18</v>
      </c>
      <c r="C24" s="13" t="s">
        <v>19</v>
      </c>
      <c r="D24" s="13">
        <v>86</v>
      </c>
      <c r="E24" s="13">
        <v>265</v>
      </c>
    </row>
    <row r="25" spans="2:17">
      <c r="B25" s="13" t="s">
        <v>20</v>
      </c>
      <c r="C25" s="13" t="s">
        <v>21</v>
      </c>
      <c r="D25" s="13">
        <v>84</v>
      </c>
      <c r="E25" s="13">
        <v>369</v>
      </c>
    </row>
    <row r="26" spans="2:17">
      <c r="B26" s="13" t="s">
        <v>22</v>
      </c>
      <c r="C26" s="13" t="s">
        <v>23</v>
      </c>
      <c r="D26" s="13">
        <v>73</v>
      </c>
      <c r="E26" s="13">
        <v>285</v>
      </c>
    </row>
    <row r="27" spans="2:17">
      <c r="B27" s="13" t="s">
        <v>24</v>
      </c>
      <c r="C27" s="13" t="s">
        <v>9</v>
      </c>
      <c r="D27" s="13">
        <v>54</v>
      </c>
      <c r="E27" s="13">
        <v>189</v>
      </c>
    </row>
    <row r="28" spans="2:17">
      <c r="B28" s="13" t="s">
        <v>25</v>
      </c>
      <c r="C28" s="13" t="s">
        <v>11</v>
      </c>
      <c r="D28" s="13">
        <v>52</v>
      </c>
      <c r="E28" s="13">
        <v>213</v>
      </c>
    </row>
    <row r="29" spans="2:17">
      <c r="B29" s="13" t="s">
        <v>26</v>
      </c>
      <c r="C29" s="13" t="s">
        <v>13</v>
      </c>
      <c r="D29" s="13">
        <v>63</v>
      </c>
      <c r="E29" s="13">
        <v>219</v>
      </c>
    </row>
    <row r="30" spans="2:17">
      <c r="B30" s="13" t="s">
        <v>27</v>
      </c>
      <c r="C30" s="13" t="s">
        <v>15</v>
      </c>
      <c r="D30" s="13">
        <v>79</v>
      </c>
      <c r="E30" s="13">
        <v>376</v>
      </c>
    </row>
    <row r="31" spans="2:17">
      <c r="B31" s="13" t="s">
        <v>28</v>
      </c>
      <c r="C31" s="13" t="s">
        <v>17</v>
      </c>
      <c r="D31" s="13">
        <v>95</v>
      </c>
      <c r="E31" s="13">
        <v>332</v>
      </c>
    </row>
    <row r="32" spans="2:17">
      <c r="B32" s="13" t="s">
        <v>29</v>
      </c>
      <c r="C32" s="13" t="s">
        <v>19</v>
      </c>
      <c r="D32" s="13">
        <v>83</v>
      </c>
      <c r="E32" s="13">
        <v>288</v>
      </c>
    </row>
    <row r="33" spans="2:5">
      <c r="B33" s="13" t="s">
        <v>30</v>
      </c>
      <c r="C33" s="13" t="s">
        <v>21</v>
      </c>
      <c r="D33" s="13">
        <v>78</v>
      </c>
      <c r="E33" s="13">
        <v>285</v>
      </c>
    </row>
    <row r="34" spans="2:5">
      <c r="B34" s="13" t="s">
        <v>31</v>
      </c>
      <c r="C34" s="13" t="s">
        <v>23</v>
      </c>
      <c r="D34" s="13">
        <v>14</v>
      </c>
      <c r="E34" s="13">
        <v>199</v>
      </c>
    </row>
  </sheetData>
  <mergeCells count="1">
    <mergeCell ref="T1:T1048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C8D8-00ED-4865-9595-D2ABFBB27ED4}">
  <sheetPr codeName="Sheet2"/>
  <dimension ref="A1:G18"/>
  <sheetViews>
    <sheetView topLeftCell="A4" workbookViewId="0">
      <selection activeCell="F4" sqref="F4"/>
    </sheetView>
  </sheetViews>
  <sheetFormatPr defaultRowHeight="14.5"/>
  <cols>
    <col min="1" max="1" width="18.7265625" bestFit="1" customWidth="1"/>
    <col min="2" max="2" width="7.81640625" bestFit="1" customWidth="1"/>
    <col min="3" max="3" width="5.26953125" bestFit="1" customWidth="1"/>
    <col min="4" max="4" width="9.7265625" bestFit="1" customWidth="1"/>
  </cols>
  <sheetData>
    <row r="1" spans="1:7" ht="15" thickTop="1">
      <c r="A1" s="20" t="s">
        <v>4</v>
      </c>
      <c r="B1" s="21" t="s">
        <v>5</v>
      </c>
      <c r="C1" s="21" t="s">
        <v>6</v>
      </c>
      <c r="D1" s="22" t="s">
        <v>7</v>
      </c>
    </row>
    <row r="2" spans="1:7">
      <c r="A2" s="14" t="s">
        <v>8</v>
      </c>
      <c r="B2" s="15" t="s">
        <v>9</v>
      </c>
      <c r="C2" s="15">
        <v>49</v>
      </c>
      <c r="D2" s="16">
        <v>339</v>
      </c>
    </row>
    <row r="3" spans="1:7">
      <c r="A3" s="14" t="s">
        <v>10</v>
      </c>
      <c r="B3" s="15" t="s">
        <v>11</v>
      </c>
      <c r="C3" s="15">
        <v>44</v>
      </c>
      <c r="D3" s="16">
        <v>239</v>
      </c>
    </row>
    <row r="4" spans="1:7">
      <c r="A4" s="14" t="s">
        <v>12</v>
      </c>
      <c r="B4" s="15" t="s">
        <v>13</v>
      </c>
      <c r="C4" s="15">
        <v>45</v>
      </c>
      <c r="D4" s="16">
        <v>379</v>
      </c>
    </row>
    <row r="5" spans="1:7">
      <c r="A5" s="14" t="s">
        <v>14</v>
      </c>
      <c r="B5" s="15" t="s">
        <v>15</v>
      </c>
      <c r="C5" s="15">
        <v>52</v>
      </c>
      <c r="D5" s="16">
        <v>288</v>
      </c>
    </row>
    <row r="6" spans="1:7">
      <c r="A6" s="14" t="s">
        <v>16</v>
      </c>
      <c r="B6" s="15" t="s">
        <v>17</v>
      </c>
      <c r="C6" s="15">
        <v>35</v>
      </c>
      <c r="D6" s="16">
        <v>213</v>
      </c>
    </row>
    <row r="7" spans="1:7">
      <c r="A7" s="14" t="s">
        <v>18</v>
      </c>
      <c r="B7" s="15" t="s">
        <v>19</v>
      </c>
      <c r="C7" s="15">
        <v>86</v>
      </c>
      <c r="D7" s="16">
        <v>265</v>
      </c>
    </row>
    <row r="8" spans="1:7" ht="15.5">
      <c r="A8" s="14" t="s">
        <v>20</v>
      </c>
      <c r="B8" s="15" t="s">
        <v>21</v>
      </c>
      <c r="C8" s="15">
        <v>84</v>
      </c>
      <c r="D8" s="16">
        <v>369</v>
      </c>
      <c r="G8" s="1" t="s">
        <v>39</v>
      </c>
    </row>
    <row r="9" spans="1:7" ht="15.5">
      <c r="A9" s="14" t="s">
        <v>22</v>
      </c>
      <c r="B9" s="15" t="s">
        <v>23</v>
      </c>
      <c r="C9" s="15">
        <v>73</v>
      </c>
      <c r="D9" s="16">
        <v>285</v>
      </c>
      <c r="G9" s="1" t="s">
        <v>40</v>
      </c>
    </row>
    <row r="10" spans="1:7">
      <c r="A10" s="14" t="s">
        <v>24</v>
      </c>
      <c r="B10" s="15" t="s">
        <v>9</v>
      </c>
      <c r="C10" s="15">
        <v>54</v>
      </c>
      <c r="D10" s="16">
        <v>189</v>
      </c>
    </row>
    <row r="11" spans="1:7">
      <c r="A11" s="14" t="s">
        <v>25</v>
      </c>
      <c r="B11" s="15" t="s">
        <v>11</v>
      </c>
      <c r="C11" s="15">
        <v>52</v>
      </c>
      <c r="D11" s="16">
        <v>213</v>
      </c>
    </row>
    <row r="12" spans="1:7">
      <c r="A12" s="14" t="s">
        <v>26</v>
      </c>
      <c r="B12" s="15" t="s">
        <v>13</v>
      </c>
      <c r="C12" s="15">
        <v>63</v>
      </c>
      <c r="D12" s="16">
        <v>219</v>
      </c>
    </row>
    <row r="13" spans="1:7">
      <c r="A13" s="14" t="s">
        <v>27</v>
      </c>
      <c r="B13" s="15" t="s">
        <v>15</v>
      </c>
      <c r="C13" s="15">
        <v>79</v>
      </c>
      <c r="D13" s="16">
        <v>376</v>
      </c>
    </row>
    <row r="14" spans="1:7">
      <c r="A14" s="14" t="s">
        <v>28</v>
      </c>
      <c r="B14" s="15" t="s">
        <v>17</v>
      </c>
      <c r="C14" s="15">
        <v>95</v>
      </c>
      <c r="D14" s="16">
        <v>332</v>
      </c>
    </row>
    <row r="15" spans="1:7">
      <c r="A15" s="14" t="s">
        <v>29</v>
      </c>
      <c r="B15" s="15" t="s">
        <v>19</v>
      </c>
      <c r="C15" s="15">
        <v>83</v>
      </c>
      <c r="D15" s="16">
        <v>288</v>
      </c>
    </row>
    <row r="16" spans="1:7">
      <c r="A16" s="14" t="s">
        <v>30</v>
      </c>
      <c r="B16" s="15" t="s">
        <v>21</v>
      </c>
      <c r="C16" s="15">
        <v>78</v>
      </c>
      <c r="D16" s="16">
        <v>285</v>
      </c>
    </row>
    <row r="17" spans="1:4" ht="15" thickBot="1">
      <c r="A17" s="17" t="s">
        <v>31</v>
      </c>
      <c r="B17" s="18" t="s">
        <v>23</v>
      </c>
      <c r="C17" s="18">
        <v>14</v>
      </c>
      <c r="D17" s="19">
        <v>199</v>
      </c>
    </row>
    <row r="18" spans="1:4" ht="1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3874-330B-40BB-9990-0C8BB0C9D0E5}">
  <sheetPr codeName="Sheet3"/>
  <dimension ref="A1:M18"/>
  <sheetViews>
    <sheetView zoomScale="80" zoomScaleNormal="80" workbookViewId="0">
      <selection activeCell="J14" sqref="J14"/>
    </sheetView>
  </sheetViews>
  <sheetFormatPr defaultRowHeight="14.5"/>
  <cols>
    <col min="5" max="5" width="15.453125" customWidth="1"/>
  </cols>
  <sheetData>
    <row r="1" spans="1:13" ht="15.5">
      <c r="A1" s="230" t="s">
        <v>41</v>
      </c>
      <c r="B1" s="230"/>
      <c r="C1" s="230"/>
      <c r="D1" s="230"/>
      <c r="E1" s="230"/>
    </row>
    <row r="3" spans="1:13" ht="15.5">
      <c r="A3" s="23" t="s">
        <v>42</v>
      </c>
      <c r="B3" s="23" t="s">
        <v>43</v>
      </c>
      <c r="C3" s="23" t="s">
        <v>44</v>
      </c>
      <c r="D3" s="23" t="s">
        <v>45</v>
      </c>
      <c r="E3" s="23" t="s">
        <v>46</v>
      </c>
      <c r="G3" s="1" t="s">
        <v>47</v>
      </c>
    </row>
    <row r="4" spans="1:13" ht="15.5">
      <c r="A4" t="s">
        <v>48</v>
      </c>
      <c r="B4">
        <v>65</v>
      </c>
      <c r="C4">
        <v>76</v>
      </c>
      <c r="D4">
        <v>11</v>
      </c>
      <c r="E4">
        <v>11</v>
      </c>
      <c r="G4" s="1" t="s">
        <v>49</v>
      </c>
    </row>
    <row r="5" spans="1:13" ht="15.5">
      <c r="A5" t="s">
        <v>50</v>
      </c>
      <c r="B5">
        <v>66</v>
      </c>
      <c r="C5">
        <v>87</v>
      </c>
      <c r="D5">
        <v>21</v>
      </c>
      <c r="E5">
        <v>21</v>
      </c>
      <c r="G5" s="1"/>
    </row>
    <row r="6" spans="1:13" ht="15.5">
      <c r="A6" t="s">
        <v>51</v>
      </c>
      <c r="B6">
        <v>76</v>
      </c>
      <c r="C6">
        <v>98</v>
      </c>
      <c r="D6">
        <v>22</v>
      </c>
      <c r="E6">
        <v>22</v>
      </c>
      <c r="G6" s="1" t="s">
        <v>52</v>
      </c>
    </row>
    <row r="7" spans="1:13" ht="15.5">
      <c r="A7" t="s">
        <v>53</v>
      </c>
      <c r="B7">
        <v>87</v>
      </c>
      <c r="C7">
        <v>87</v>
      </c>
      <c r="D7">
        <v>0</v>
      </c>
      <c r="E7">
        <v>0</v>
      </c>
      <c r="G7" s="1"/>
    </row>
    <row r="8" spans="1:13" ht="15.5">
      <c r="A8" t="s">
        <v>54</v>
      </c>
      <c r="B8">
        <v>98</v>
      </c>
      <c r="C8">
        <v>98</v>
      </c>
      <c r="D8">
        <v>0</v>
      </c>
      <c r="E8">
        <v>0</v>
      </c>
      <c r="G8" s="1" t="s">
        <v>55</v>
      </c>
    </row>
    <row r="9" spans="1:13" ht="15.5">
      <c r="A9" t="s">
        <v>56</v>
      </c>
      <c r="B9">
        <v>87</v>
      </c>
      <c r="C9">
        <v>76</v>
      </c>
      <c r="D9">
        <v>-11</v>
      </c>
      <c r="E9">
        <v>-11</v>
      </c>
      <c r="G9" s="1" t="s">
        <v>57</v>
      </c>
    </row>
    <row r="10" spans="1:13" ht="15.5">
      <c r="A10" t="s">
        <v>58</v>
      </c>
      <c r="B10">
        <v>55</v>
      </c>
      <c r="C10">
        <v>64</v>
      </c>
      <c r="D10">
        <v>9</v>
      </c>
      <c r="E10">
        <v>9</v>
      </c>
      <c r="G10" s="1"/>
    </row>
    <row r="11" spans="1:13" ht="15.5">
      <c r="A11" t="s">
        <v>59</v>
      </c>
      <c r="B11">
        <v>55</v>
      </c>
      <c r="C11">
        <v>78</v>
      </c>
      <c r="D11">
        <v>23</v>
      </c>
      <c r="E11">
        <v>23</v>
      </c>
      <c r="G11" s="1" t="s">
        <v>60</v>
      </c>
      <c r="M11" s="3" t="s">
        <v>61</v>
      </c>
    </row>
    <row r="12" spans="1:13">
      <c r="A12" t="s">
        <v>62</v>
      </c>
      <c r="B12">
        <v>76</v>
      </c>
      <c r="C12">
        <v>89</v>
      </c>
      <c r="D12">
        <v>13</v>
      </c>
      <c r="E12">
        <v>13</v>
      </c>
      <c r="M12" s="3" t="s">
        <v>63</v>
      </c>
    </row>
    <row r="13" spans="1:13">
      <c r="A13" t="s">
        <v>64</v>
      </c>
      <c r="B13">
        <v>65</v>
      </c>
      <c r="C13">
        <v>56</v>
      </c>
      <c r="D13">
        <v>-9</v>
      </c>
      <c r="E13">
        <v>-9</v>
      </c>
    </row>
    <row r="14" spans="1:13">
      <c r="A14" t="s">
        <v>65</v>
      </c>
      <c r="B14">
        <v>87</v>
      </c>
      <c r="C14">
        <v>45</v>
      </c>
      <c r="D14">
        <v>-42</v>
      </c>
      <c r="E14">
        <v>-42</v>
      </c>
    </row>
    <row r="15" spans="1:13">
      <c r="A15" t="s">
        <v>66</v>
      </c>
      <c r="B15">
        <v>98</v>
      </c>
      <c r="C15">
        <v>76</v>
      </c>
      <c r="D15">
        <v>-22</v>
      </c>
      <c r="E15">
        <v>-22</v>
      </c>
    </row>
    <row r="16" spans="1:13">
      <c r="A16" t="s">
        <v>67</v>
      </c>
      <c r="B16">
        <v>45</v>
      </c>
      <c r="C16">
        <v>87</v>
      </c>
      <c r="D16">
        <v>42</v>
      </c>
      <c r="E16">
        <v>42</v>
      </c>
    </row>
    <row r="17" spans="1:5">
      <c r="A17" t="s">
        <v>68</v>
      </c>
      <c r="B17">
        <v>43</v>
      </c>
      <c r="C17">
        <v>82</v>
      </c>
      <c r="D17">
        <v>39</v>
      </c>
      <c r="E17">
        <v>39</v>
      </c>
    </row>
    <row r="18" spans="1:5">
      <c r="A18" t="s">
        <v>69</v>
      </c>
      <c r="B18">
        <v>76</v>
      </c>
      <c r="C18">
        <v>81</v>
      </c>
      <c r="D18">
        <v>5</v>
      </c>
      <c r="E18">
        <v>5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A9C2-3FCD-4E2E-85C0-ED0CD70DCB94}">
  <sheetPr codeName="Sheet4"/>
  <dimension ref="A1:H15"/>
  <sheetViews>
    <sheetView workbookViewId="0">
      <selection activeCell="H6" sqref="H6"/>
    </sheetView>
  </sheetViews>
  <sheetFormatPr defaultRowHeight="14.5"/>
  <cols>
    <col min="1" max="1" width="9.54296875" customWidth="1"/>
    <col min="2" max="2" width="20.1796875" customWidth="1"/>
    <col min="3" max="3" width="10.81640625" customWidth="1"/>
    <col min="4" max="4" width="14.453125" customWidth="1"/>
    <col min="5" max="5" width="12" customWidth="1"/>
    <col min="7" max="7" width="20.26953125" bestFit="1" customWidth="1"/>
    <col min="8" max="8" width="9.81640625" bestFit="1" customWidth="1"/>
  </cols>
  <sheetData>
    <row r="1" spans="1:8">
      <c r="A1" s="24" t="s">
        <v>70</v>
      </c>
      <c r="B1" s="25" t="s">
        <v>71</v>
      </c>
      <c r="C1" s="25" t="s">
        <v>72</v>
      </c>
      <c r="D1" s="26" t="s">
        <v>73</v>
      </c>
      <c r="E1" s="26" t="s">
        <v>74</v>
      </c>
    </row>
    <row r="2" spans="1:8">
      <c r="A2" s="25">
        <v>3211</v>
      </c>
      <c r="B2" s="27" t="s">
        <v>75</v>
      </c>
      <c r="C2" s="28">
        <v>27095</v>
      </c>
      <c r="D2" s="29">
        <v>0.2</v>
      </c>
      <c r="E2" s="30">
        <v>5419</v>
      </c>
    </row>
    <row r="3" spans="1:8">
      <c r="A3" s="25">
        <v>2955</v>
      </c>
      <c r="B3" s="27" t="s">
        <v>76</v>
      </c>
      <c r="C3" s="28">
        <v>48696</v>
      </c>
      <c r="D3" s="29">
        <v>0.15</v>
      </c>
      <c r="E3" s="30">
        <v>7304.4</v>
      </c>
    </row>
    <row r="4" spans="1:8">
      <c r="A4" s="25">
        <v>3159</v>
      </c>
      <c r="B4" s="27" t="s">
        <v>77</v>
      </c>
      <c r="C4" s="28">
        <v>29970</v>
      </c>
      <c r="D4" s="29">
        <v>0.25</v>
      </c>
      <c r="E4" s="30">
        <v>7492.5</v>
      </c>
    </row>
    <row r="5" spans="1:8">
      <c r="A5" s="25">
        <v>3004</v>
      </c>
      <c r="B5" s="27" t="s">
        <v>78</v>
      </c>
      <c r="C5" s="28">
        <v>15667</v>
      </c>
      <c r="D5" s="29">
        <v>0.2</v>
      </c>
      <c r="E5" s="30">
        <v>3133.4</v>
      </c>
      <c r="G5" s="31" t="s">
        <v>79</v>
      </c>
      <c r="H5" s="33">
        <f>AVERAGE(C2:C15)</f>
        <v>35460.714285714283</v>
      </c>
    </row>
    <row r="6" spans="1:8">
      <c r="A6" s="25">
        <v>4534</v>
      </c>
      <c r="B6" s="27" t="s">
        <v>80</v>
      </c>
      <c r="C6" s="28">
        <v>46321</v>
      </c>
      <c r="D6" s="29">
        <v>0.2</v>
      </c>
      <c r="E6" s="30">
        <v>9264.2000000000007</v>
      </c>
      <c r="G6" s="31" t="s">
        <v>81</v>
      </c>
      <c r="H6">
        <f>COUNT(A2:A15)</f>
        <v>14</v>
      </c>
    </row>
    <row r="7" spans="1:8">
      <c r="A7" s="25">
        <v>2220</v>
      </c>
      <c r="B7" s="27" t="s">
        <v>82</v>
      </c>
      <c r="C7" s="28">
        <v>47003</v>
      </c>
      <c r="D7" s="29">
        <v>0.2</v>
      </c>
      <c r="E7" s="30">
        <v>9400.6</v>
      </c>
      <c r="G7" s="32" t="s">
        <v>83</v>
      </c>
      <c r="H7">
        <f>COUNTA(B2:B15)</f>
        <v>14</v>
      </c>
    </row>
    <row r="8" spans="1:8">
      <c r="A8" s="25">
        <v>1796</v>
      </c>
      <c r="B8" s="27" t="s">
        <v>84</v>
      </c>
      <c r="C8" s="28">
        <v>41595</v>
      </c>
      <c r="D8" s="29">
        <v>0.2</v>
      </c>
      <c r="E8" s="30">
        <v>8319</v>
      </c>
      <c r="G8" s="31" t="s">
        <v>85</v>
      </c>
      <c r="H8" s="34">
        <f>MIN(E2:E15)</f>
        <v>3133.4</v>
      </c>
    </row>
    <row r="9" spans="1:8">
      <c r="A9" s="25">
        <v>3558</v>
      </c>
      <c r="B9" s="27" t="s">
        <v>86</v>
      </c>
      <c r="C9" s="28">
        <v>41552</v>
      </c>
      <c r="D9" s="29">
        <v>0.2</v>
      </c>
      <c r="E9" s="30">
        <v>8310.4</v>
      </c>
      <c r="G9" s="31" t="s">
        <v>87</v>
      </c>
      <c r="H9" s="34">
        <f>MAX(E2:E15)</f>
        <v>9400.6</v>
      </c>
    </row>
    <row r="10" spans="1:8">
      <c r="A10" s="25">
        <v>1437</v>
      </c>
      <c r="B10" s="27" t="s">
        <v>88</v>
      </c>
      <c r="C10" s="28">
        <v>23299</v>
      </c>
      <c r="D10" s="29">
        <v>0.3</v>
      </c>
      <c r="E10" s="30">
        <v>6989.7</v>
      </c>
      <c r="G10" s="31" t="s">
        <v>7</v>
      </c>
      <c r="H10" s="34">
        <f>SUM(E2:E15)</f>
        <v>95405.300000000032</v>
      </c>
    </row>
    <row r="11" spans="1:8">
      <c r="A11" s="25">
        <v>1336</v>
      </c>
      <c r="B11" s="27" t="s">
        <v>89</v>
      </c>
      <c r="C11" s="28">
        <v>34014</v>
      </c>
      <c r="D11" s="29">
        <v>0.15</v>
      </c>
      <c r="E11" s="30">
        <v>5102.0999999999995</v>
      </c>
    </row>
    <row r="12" spans="1:8">
      <c r="A12" s="25">
        <v>2044</v>
      </c>
      <c r="B12" s="27" t="s">
        <v>90</v>
      </c>
      <c r="C12" s="28">
        <v>43247</v>
      </c>
      <c r="D12" s="29">
        <v>0.15</v>
      </c>
      <c r="E12" s="30">
        <v>6487.05</v>
      </c>
    </row>
    <row r="13" spans="1:8">
      <c r="A13" s="25">
        <v>3320</v>
      </c>
      <c r="B13" s="27" t="s">
        <v>91</v>
      </c>
      <c r="C13" s="28">
        <v>28305</v>
      </c>
      <c r="D13" s="29">
        <v>0.15</v>
      </c>
      <c r="E13" s="30">
        <v>4245.75</v>
      </c>
    </row>
    <row r="14" spans="1:8">
      <c r="A14" s="25">
        <v>1534</v>
      </c>
      <c r="B14" s="27" t="s">
        <v>92</v>
      </c>
      <c r="C14" s="28">
        <v>39218</v>
      </c>
      <c r="D14" s="29">
        <v>0.2</v>
      </c>
      <c r="E14" s="30">
        <v>7843.6</v>
      </c>
      <c r="G14" s="3" t="s">
        <v>93</v>
      </c>
      <c r="H14">
        <f>SUM(Quantity1)</f>
        <v>629955.04999999993</v>
      </c>
    </row>
    <row r="15" spans="1:8">
      <c r="A15" s="25">
        <v>3989</v>
      </c>
      <c r="B15" s="27" t="s">
        <v>94</v>
      </c>
      <c r="C15" s="28">
        <v>30468</v>
      </c>
      <c r="D15" s="29">
        <v>0.2</v>
      </c>
      <c r="E15" s="30">
        <v>6093.6</v>
      </c>
      <c r="G15" s="3" t="s">
        <v>95</v>
      </c>
      <c r="H15">
        <f>COUNTA(customer_name)</f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A2EE-1AB0-4550-8FE7-A73F4A03668F}">
  <sheetPr codeName="Sheet5"/>
  <dimension ref="A1:J23"/>
  <sheetViews>
    <sheetView workbookViewId="0">
      <selection activeCell="M15" sqref="M15"/>
    </sheetView>
  </sheetViews>
  <sheetFormatPr defaultRowHeight="14.5"/>
  <cols>
    <col min="1" max="1" width="20.7265625" customWidth="1"/>
    <col min="2" max="2" width="10" customWidth="1"/>
    <col min="4" max="4" width="10.08984375" customWidth="1"/>
    <col min="5" max="5" width="10" customWidth="1"/>
    <col min="6" max="6" width="11" customWidth="1"/>
    <col min="7" max="7" width="15.6328125" customWidth="1"/>
    <col min="8" max="8" width="18.36328125" customWidth="1"/>
  </cols>
  <sheetData>
    <row r="1" spans="1:10" ht="15.5">
      <c r="A1" s="35" t="s">
        <v>96</v>
      </c>
      <c r="B1" s="35" t="s">
        <v>97</v>
      </c>
      <c r="C1" s="35" t="s">
        <v>98</v>
      </c>
      <c r="D1" s="36" t="s">
        <v>5</v>
      </c>
      <c r="E1" s="36" t="s">
        <v>99</v>
      </c>
      <c r="F1" s="37" t="s">
        <v>100</v>
      </c>
      <c r="G1" s="36" t="s">
        <v>101</v>
      </c>
      <c r="H1" s="38" t="s">
        <v>102</v>
      </c>
    </row>
    <row r="2" spans="1:10">
      <c r="A2" s="39" t="s">
        <v>103</v>
      </c>
      <c r="B2" s="39" t="s">
        <v>104</v>
      </c>
      <c r="C2" s="39">
        <v>67</v>
      </c>
      <c r="D2" s="39" t="s">
        <v>105</v>
      </c>
      <c r="E2" s="39" t="s">
        <v>106</v>
      </c>
      <c r="F2" s="39">
        <v>2848</v>
      </c>
      <c r="G2" s="40">
        <v>44927</v>
      </c>
      <c r="H2" s="39" t="s">
        <v>107</v>
      </c>
      <c r="J2" t="s">
        <v>140</v>
      </c>
    </row>
    <row r="3" spans="1:10">
      <c r="A3" s="39" t="s">
        <v>108</v>
      </c>
      <c r="B3" s="39" t="s">
        <v>104</v>
      </c>
      <c r="C3" s="39">
        <v>28</v>
      </c>
      <c r="D3" s="39" t="s">
        <v>105</v>
      </c>
      <c r="E3" s="39" t="s">
        <v>109</v>
      </c>
      <c r="F3" s="39">
        <v>1742</v>
      </c>
      <c r="G3" s="40">
        <v>44959</v>
      </c>
      <c r="H3" s="39" t="s">
        <v>107</v>
      </c>
    </row>
    <row r="4" spans="1:10">
      <c r="A4" s="39" t="s">
        <v>110</v>
      </c>
      <c r="B4" s="39" t="s">
        <v>111</v>
      </c>
      <c r="C4" s="39">
        <v>21</v>
      </c>
      <c r="D4" s="39" t="s">
        <v>112</v>
      </c>
      <c r="E4" s="39" t="s">
        <v>109</v>
      </c>
      <c r="F4" s="39">
        <v>6968</v>
      </c>
      <c r="G4" s="40">
        <v>44991</v>
      </c>
      <c r="H4" s="39" t="s">
        <v>113</v>
      </c>
      <c r="J4" t="s">
        <v>141</v>
      </c>
    </row>
    <row r="5" spans="1:10">
      <c r="A5" s="39" t="s">
        <v>114</v>
      </c>
      <c r="B5" s="39" t="s">
        <v>111</v>
      </c>
      <c r="C5" s="39">
        <v>20</v>
      </c>
      <c r="D5" s="39" t="s">
        <v>112</v>
      </c>
      <c r="E5" s="39" t="s">
        <v>106</v>
      </c>
      <c r="F5" s="39">
        <v>2114</v>
      </c>
      <c r="G5" s="40">
        <v>45023</v>
      </c>
      <c r="H5" s="39" t="s">
        <v>115</v>
      </c>
    </row>
    <row r="6" spans="1:10">
      <c r="A6" s="39" t="s">
        <v>116</v>
      </c>
      <c r="B6" s="39" t="s">
        <v>104</v>
      </c>
      <c r="C6" s="39">
        <v>66</v>
      </c>
      <c r="D6" s="39" t="s">
        <v>112</v>
      </c>
      <c r="E6" s="39" t="s">
        <v>117</v>
      </c>
      <c r="F6" s="39">
        <v>7917</v>
      </c>
      <c r="G6" s="40">
        <v>45055</v>
      </c>
      <c r="H6" s="39" t="s">
        <v>107</v>
      </c>
      <c r="J6" s="41" t="s">
        <v>142</v>
      </c>
    </row>
    <row r="7" spans="1:10">
      <c r="A7" s="39" t="s">
        <v>118</v>
      </c>
      <c r="B7" s="39" t="s">
        <v>119</v>
      </c>
      <c r="C7" s="39">
        <v>53</v>
      </c>
      <c r="D7" s="39" t="s">
        <v>120</v>
      </c>
      <c r="E7" s="39" t="s">
        <v>106</v>
      </c>
      <c r="F7" s="39">
        <v>3865</v>
      </c>
      <c r="G7" s="40">
        <v>45087</v>
      </c>
      <c r="H7" s="39" t="s">
        <v>115</v>
      </c>
    </row>
    <row r="8" spans="1:10">
      <c r="A8" s="39" t="s">
        <v>121</v>
      </c>
      <c r="B8" s="39" t="s">
        <v>104</v>
      </c>
      <c r="C8" s="39">
        <v>28</v>
      </c>
      <c r="D8" s="39" t="s">
        <v>120</v>
      </c>
      <c r="E8" s="39" t="s">
        <v>122</v>
      </c>
      <c r="F8" s="39">
        <v>4083</v>
      </c>
      <c r="G8" s="40">
        <v>45119</v>
      </c>
      <c r="H8" s="39" t="s">
        <v>107</v>
      </c>
    </row>
    <row r="9" spans="1:10">
      <c r="A9" s="39" t="s">
        <v>123</v>
      </c>
      <c r="B9" s="39" t="s">
        <v>104</v>
      </c>
      <c r="C9" s="39">
        <v>32</v>
      </c>
      <c r="D9" s="39" t="s">
        <v>105</v>
      </c>
      <c r="E9" s="39" t="s">
        <v>122</v>
      </c>
      <c r="F9" s="39">
        <v>6836</v>
      </c>
      <c r="G9" s="40">
        <v>45151</v>
      </c>
      <c r="H9" s="39" t="s">
        <v>107</v>
      </c>
    </row>
    <row r="10" spans="1:10">
      <c r="A10" s="39" t="s">
        <v>124</v>
      </c>
      <c r="B10" s="39" t="s">
        <v>111</v>
      </c>
      <c r="C10" s="39">
        <v>69</v>
      </c>
      <c r="D10" s="39" t="s">
        <v>105</v>
      </c>
      <c r="E10" s="39" t="s">
        <v>122</v>
      </c>
      <c r="F10" s="39">
        <v>9470</v>
      </c>
      <c r="G10" s="40">
        <v>45183</v>
      </c>
      <c r="H10" s="39" t="s">
        <v>107</v>
      </c>
    </row>
    <row r="11" spans="1:10">
      <c r="A11" s="39" t="s">
        <v>125</v>
      </c>
      <c r="B11" s="39" t="s">
        <v>104</v>
      </c>
      <c r="C11" s="39">
        <v>60</v>
      </c>
      <c r="D11" s="39" t="s">
        <v>105</v>
      </c>
      <c r="E11" s="39" t="s">
        <v>106</v>
      </c>
      <c r="F11" s="39">
        <v>7559</v>
      </c>
      <c r="G11" s="40">
        <v>45215</v>
      </c>
      <c r="H11" s="39" t="s">
        <v>107</v>
      </c>
    </row>
    <row r="12" spans="1:10">
      <c r="A12" s="39" t="s">
        <v>126</v>
      </c>
      <c r="B12" s="39" t="s">
        <v>104</v>
      </c>
      <c r="C12" s="39">
        <v>36</v>
      </c>
      <c r="D12" s="39" t="s">
        <v>120</v>
      </c>
      <c r="E12" s="39" t="s">
        <v>117</v>
      </c>
      <c r="F12" s="39">
        <v>6540</v>
      </c>
      <c r="G12" s="40">
        <v>45247</v>
      </c>
      <c r="H12" s="39" t="s">
        <v>115</v>
      </c>
    </row>
    <row r="13" spans="1:10">
      <c r="A13" s="39" t="s">
        <v>127</v>
      </c>
      <c r="B13" s="39" t="s">
        <v>104</v>
      </c>
      <c r="C13" s="39">
        <v>29</v>
      </c>
      <c r="D13" s="39" t="s">
        <v>105</v>
      </c>
      <c r="E13" s="39" t="s">
        <v>106</v>
      </c>
      <c r="F13" s="39">
        <v>1465</v>
      </c>
      <c r="G13" s="40">
        <v>45279</v>
      </c>
      <c r="H13" s="39" t="s">
        <v>107</v>
      </c>
    </row>
    <row r="14" spans="1:10">
      <c r="A14" s="39" t="s">
        <v>128</v>
      </c>
      <c r="B14" s="39" t="s">
        <v>104</v>
      </c>
      <c r="C14" s="39">
        <v>67</v>
      </c>
      <c r="D14" s="39" t="s">
        <v>129</v>
      </c>
      <c r="E14" s="39" t="s">
        <v>106</v>
      </c>
      <c r="F14" s="39">
        <v>9634</v>
      </c>
      <c r="G14" s="40">
        <v>45311</v>
      </c>
      <c r="H14" s="39" t="s">
        <v>113</v>
      </c>
    </row>
    <row r="15" spans="1:10">
      <c r="A15" s="39" t="s">
        <v>130</v>
      </c>
      <c r="B15" s="39" t="s">
        <v>111</v>
      </c>
      <c r="C15" s="39">
        <v>25</v>
      </c>
      <c r="D15" s="39" t="s">
        <v>105</v>
      </c>
      <c r="E15" s="39" t="s">
        <v>122</v>
      </c>
      <c r="F15" s="39">
        <v>6354</v>
      </c>
      <c r="G15" s="40">
        <v>45343</v>
      </c>
      <c r="H15" s="39" t="s">
        <v>115</v>
      </c>
    </row>
    <row r="16" spans="1:10">
      <c r="A16" s="39" t="s">
        <v>131</v>
      </c>
      <c r="B16" s="39" t="s">
        <v>111</v>
      </c>
      <c r="C16" s="39">
        <v>24</v>
      </c>
      <c r="D16" s="39" t="s">
        <v>120</v>
      </c>
      <c r="E16" s="39" t="s">
        <v>117</v>
      </c>
      <c r="F16" s="39">
        <v>5255</v>
      </c>
      <c r="G16" s="40">
        <v>45375</v>
      </c>
      <c r="H16" s="39" t="s">
        <v>107</v>
      </c>
    </row>
    <row r="17" spans="1:8">
      <c r="A17" s="39" t="s">
        <v>132</v>
      </c>
      <c r="B17" s="39" t="s">
        <v>111</v>
      </c>
      <c r="C17" s="39">
        <v>65</v>
      </c>
      <c r="D17" s="39" t="s">
        <v>120</v>
      </c>
      <c r="E17" s="39" t="s">
        <v>133</v>
      </c>
      <c r="F17" s="39">
        <v>1806</v>
      </c>
      <c r="G17" s="40">
        <v>45407</v>
      </c>
      <c r="H17" s="39" t="s">
        <v>113</v>
      </c>
    </row>
    <row r="18" spans="1:8">
      <c r="A18" s="39" t="s">
        <v>134</v>
      </c>
      <c r="B18" s="39" t="s">
        <v>119</v>
      </c>
      <c r="C18" s="39">
        <v>42</v>
      </c>
      <c r="D18" s="39" t="s">
        <v>120</v>
      </c>
      <c r="E18" s="39" t="s">
        <v>133</v>
      </c>
      <c r="F18" s="39">
        <v>8843</v>
      </c>
      <c r="G18" s="40">
        <v>45439</v>
      </c>
      <c r="H18" s="39" t="s">
        <v>107</v>
      </c>
    </row>
    <row r="19" spans="1:8">
      <c r="A19" s="39" t="s">
        <v>135</v>
      </c>
      <c r="B19" s="39" t="s">
        <v>104</v>
      </c>
      <c r="C19" s="39">
        <v>46</v>
      </c>
      <c r="D19" s="39" t="s">
        <v>105</v>
      </c>
      <c r="E19" s="39" t="s">
        <v>133</v>
      </c>
      <c r="F19" s="39">
        <v>1248</v>
      </c>
      <c r="G19" s="40">
        <v>45471</v>
      </c>
      <c r="H19" s="39" t="s">
        <v>115</v>
      </c>
    </row>
    <row r="20" spans="1:8">
      <c r="A20" s="39" t="s">
        <v>136</v>
      </c>
      <c r="B20" s="39" t="s">
        <v>111</v>
      </c>
      <c r="C20" s="39">
        <v>24</v>
      </c>
      <c r="D20" s="39" t="s">
        <v>120</v>
      </c>
      <c r="E20" s="39" t="s">
        <v>106</v>
      </c>
      <c r="F20" s="39">
        <v>9259</v>
      </c>
      <c r="G20" s="40">
        <v>45503</v>
      </c>
      <c r="H20" s="39" t="s">
        <v>115</v>
      </c>
    </row>
    <row r="21" spans="1:8">
      <c r="A21" s="39" t="s">
        <v>137</v>
      </c>
      <c r="B21" s="39" t="s">
        <v>111</v>
      </c>
      <c r="C21" s="39">
        <v>23</v>
      </c>
      <c r="D21" s="39" t="s">
        <v>120</v>
      </c>
      <c r="E21" s="39" t="s">
        <v>122</v>
      </c>
      <c r="F21" s="39">
        <v>6819</v>
      </c>
      <c r="G21" s="40">
        <v>45535</v>
      </c>
      <c r="H21" s="39" t="s">
        <v>107</v>
      </c>
    </row>
    <row r="22" spans="1:8">
      <c r="A22" s="39" t="s">
        <v>138</v>
      </c>
      <c r="B22" s="39" t="s">
        <v>111</v>
      </c>
      <c r="C22" s="39">
        <v>52</v>
      </c>
      <c r="D22" s="39" t="s">
        <v>105</v>
      </c>
      <c r="E22" s="39" t="s">
        <v>109</v>
      </c>
      <c r="F22" s="39">
        <v>5387</v>
      </c>
      <c r="G22" s="40">
        <v>45567</v>
      </c>
      <c r="H22" s="39" t="s">
        <v>107</v>
      </c>
    </row>
    <row r="23" spans="1:8">
      <c r="A23" s="39" t="s">
        <v>139</v>
      </c>
      <c r="B23" s="39" t="s">
        <v>111</v>
      </c>
      <c r="C23" s="39">
        <v>44</v>
      </c>
      <c r="D23" s="39" t="s">
        <v>105</v>
      </c>
      <c r="E23" s="39" t="s">
        <v>133</v>
      </c>
      <c r="F23" s="39">
        <v>1184</v>
      </c>
      <c r="G23" s="40">
        <v>45599</v>
      </c>
      <c r="H23" s="39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9A04-ABBE-4F9D-A774-4A35E6E1BB33}">
  <sheetPr codeName="Sheet6"/>
  <dimension ref="A1:H23"/>
  <sheetViews>
    <sheetView zoomScale="80" zoomScaleNormal="80" workbookViewId="0">
      <selection activeCell="G1" sqref="G1:G1048576"/>
    </sheetView>
  </sheetViews>
  <sheetFormatPr defaultRowHeight="14.5"/>
  <cols>
    <col min="1" max="1" width="14.453125" customWidth="1"/>
    <col min="2" max="2" width="11.90625" customWidth="1"/>
    <col min="3" max="3" width="10.08984375" customWidth="1"/>
    <col min="5" max="5" width="14.453125" customWidth="1"/>
    <col min="7" max="7" width="14.453125" customWidth="1"/>
    <col min="8" max="8" width="15" customWidth="1"/>
  </cols>
  <sheetData>
    <row r="1" spans="1:8" ht="15.5">
      <c r="A1" s="35" t="s">
        <v>96</v>
      </c>
      <c r="B1" s="35" t="s">
        <v>97</v>
      </c>
      <c r="C1" s="35" t="s">
        <v>98</v>
      </c>
      <c r="D1" s="36" t="s">
        <v>5</v>
      </c>
      <c r="E1" s="36" t="s">
        <v>99</v>
      </c>
      <c r="F1" s="37" t="s">
        <v>100</v>
      </c>
      <c r="G1" s="36" t="s">
        <v>101</v>
      </c>
      <c r="H1" s="38" t="s">
        <v>143</v>
      </c>
    </row>
    <row r="2" spans="1:8">
      <c r="A2" s="39" t="s">
        <v>103</v>
      </c>
      <c r="B2" s="39" t="s">
        <v>104</v>
      </c>
      <c r="C2" s="39">
        <v>67</v>
      </c>
      <c r="D2" s="39" t="s">
        <v>105</v>
      </c>
      <c r="E2" s="39" t="s">
        <v>106</v>
      </c>
      <c r="F2" s="39">
        <v>2848</v>
      </c>
      <c r="G2" s="40">
        <v>44927</v>
      </c>
      <c r="H2" s="39" t="s">
        <v>107</v>
      </c>
    </row>
    <row r="3" spans="1:8">
      <c r="A3" s="39" t="s">
        <v>108</v>
      </c>
      <c r="B3" s="39" t="s">
        <v>104</v>
      </c>
      <c r="C3" s="39">
        <v>28</v>
      </c>
      <c r="D3" s="39" t="s">
        <v>105</v>
      </c>
      <c r="E3" s="39" t="s">
        <v>109</v>
      </c>
      <c r="F3" s="39">
        <v>1742</v>
      </c>
      <c r="G3" s="40">
        <v>44959</v>
      </c>
      <c r="H3" s="39" t="s">
        <v>107</v>
      </c>
    </row>
    <row r="4" spans="1:8">
      <c r="A4" s="39" t="s">
        <v>110</v>
      </c>
      <c r="B4" s="39" t="s">
        <v>111</v>
      </c>
      <c r="C4" s="39">
        <v>21</v>
      </c>
      <c r="D4" s="39" t="s">
        <v>112</v>
      </c>
      <c r="E4" s="39" t="s">
        <v>109</v>
      </c>
      <c r="F4" s="39">
        <v>6968</v>
      </c>
      <c r="G4" s="40">
        <v>44991</v>
      </c>
      <c r="H4" s="39" t="s">
        <v>113</v>
      </c>
    </row>
    <row r="5" spans="1:8">
      <c r="A5" s="39" t="s">
        <v>114</v>
      </c>
      <c r="B5" s="39" t="s">
        <v>111</v>
      </c>
      <c r="C5" s="39">
        <v>20</v>
      </c>
      <c r="D5" s="39" t="s">
        <v>112</v>
      </c>
      <c r="E5" s="39" t="s">
        <v>106</v>
      </c>
      <c r="F5" s="39">
        <v>2114</v>
      </c>
      <c r="G5" s="40">
        <v>45023</v>
      </c>
      <c r="H5" s="39" t="s">
        <v>115</v>
      </c>
    </row>
    <row r="6" spans="1:8">
      <c r="A6" s="39" t="s">
        <v>116</v>
      </c>
      <c r="B6" s="39" t="s">
        <v>104</v>
      </c>
      <c r="C6" s="39">
        <v>66</v>
      </c>
      <c r="D6" s="39" t="s">
        <v>112</v>
      </c>
      <c r="E6" s="39" t="s">
        <v>117</v>
      </c>
      <c r="F6" s="39">
        <v>7917</v>
      </c>
      <c r="G6" s="40">
        <v>45055</v>
      </c>
      <c r="H6" s="39" t="s">
        <v>107</v>
      </c>
    </row>
    <row r="7" spans="1:8">
      <c r="A7" s="39" t="s">
        <v>118</v>
      </c>
      <c r="B7" s="39" t="s">
        <v>119</v>
      </c>
      <c r="C7" s="39">
        <v>53</v>
      </c>
      <c r="D7" s="39" t="s">
        <v>120</v>
      </c>
      <c r="E7" s="39" t="s">
        <v>106</v>
      </c>
      <c r="F7" s="39">
        <v>3865</v>
      </c>
      <c r="G7" s="40">
        <v>45087</v>
      </c>
      <c r="H7" s="39" t="s">
        <v>115</v>
      </c>
    </row>
    <row r="8" spans="1:8">
      <c r="A8" s="39" t="s">
        <v>121</v>
      </c>
      <c r="B8" s="39" t="s">
        <v>104</v>
      </c>
      <c r="C8" s="39">
        <v>28</v>
      </c>
      <c r="D8" s="39" t="s">
        <v>120</v>
      </c>
      <c r="E8" s="39" t="s">
        <v>122</v>
      </c>
      <c r="F8" s="39">
        <v>4083</v>
      </c>
      <c r="G8" s="40">
        <v>45119</v>
      </c>
      <c r="H8" s="39" t="s">
        <v>107</v>
      </c>
    </row>
    <row r="9" spans="1:8">
      <c r="A9" s="39" t="s">
        <v>123</v>
      </c>
      <c r="B9" s="39" t="s">
        <v>104</v>
      </c>
      <c r="C9" s="39">
        <v>32</v>
      </c>
      <c r="D9" s="39" t="s">
        <v>105</v>
      </c>
      <c r="E9" s="39" t="s">
        <v>122</v>
      </c>
      <c r="F9" s="39">
        <v>6836</v>
      </c>
      <c r="G9" s="40">
        <v>45151</v>
      </c>
      <c r="H9" s="39" t="s">
        <v>107</v>
      </c>
    </row>
    <row r="10" spans="1:8">
      <c r="A10" s="39" t="s">
        <v>124</v>
      </c>
      <c r="B10" s="39" t="s">
        <v>111</v>
      </c>
      <c r="C10" s="39">
        <v>69</v>
      </c>
      <c r="D10" s="39" t="s">
        <v>105</v>
      </c>
      <c r="E10" s="39" t="s">
        <v>122</v>
      </c>
      <c r="F10" s="39">
        <v>9470</v>
      </c>
      <c r="G10" s="40">
        <v>45183</v>
      </c>
      <c r="H10" s="39" t="s">
        <v>107</v>
      </c>
    </row>
    <row r="11" spans="1:8">
      <c r="A11" s="39" t="s">
        <v>125</v>
      </c>
      <c r="B11" s="39" t="s">
        <v>104</v>
      </c>
      <c r="C11" s="39">
        <v>60</v>
      </c>
      <c r="D11" s="39" t="s">
        <v>105</v>
      </c>
      <c r="E11" s="39" t="s">
        <v>106</v>
      </c>
      <c r="F11" s="39">
        <v>7559</v>
      </c>
      <c r="G11" s="40">
        <v>45215</v>
      </c>
      <c r="H11" s="39" t="s">
        <v>107</v>
      </c>
    </row>
    <row r="12" spans="1:8">
      <c r="A12" s="39" t="s">
        <v>126</v>
      </c>
      <c r="B12" s="39" t="s">
        <v>104</v>
      </c>
      <c r="C12" s="39">
        <v>36</v>
      </c>
      <c r="D12" s="39" t="s">
        <v>120</v>
      </c>
      <c r="E12" s="39" t="s">
        <v>117</v>
      </c>
      <c r="F12" s="39">
        <v>6540</v>
      </c>
      <c r="G12" s="40">
        <v>45247</v>
      </c>
      <c r="H12" s="39" t="s">
        <v>115</v>
      </c>
    </row>
    <row r="13" spans="1:8">
      <c r="A13" s="39" t="s">
        <v>127</v>
      </c>
      <c r="B13" s="39" t="s">
        <v>104</v>
      </c>
      <c r="C13" s="39">
        <v>29</v>
      </c>
      <c r="D13" s="39" t="s">
        <v>105</v>
      </c>
      <c r="E13" s="39" t="s">
        <v>106</v>
      </c>
      <c r="F13" s="39">
        <v>1465</v>
      </c>
      <c r="G13" s="40">
        <v>45279</v>
      </c>
      <c r="H13" s="39" t="s">
        <v>107</v>
      </c>
    </row>
    <row r="14" spans="1:8">
      <c r="A14" s="39" t="s">
        <v>128</v>
      </c>
      <c r="B14" s="39" t="s">
        <v>104</v>
      </c>
      <c r="C14" s="39">
        <v>67</v>
      </c>
      <c r="D14" s="39" t="s">
        <v>129</v>
      </c>
      <c r="E14" s="39" t="s">
        <v>106</v>
      </c>
      <c r="F14" s="39">
        <v>9634</v>
      </c>
      <c r="G14" s="40">
        <v>45311</v>
      </c>
      <c r="H14" s="39" t="s">
        <v>113</v>
      </c>
    </row>
    <row r="15" spans="1:8">
      <c r="A15" s="39" t="s">
        <v>130</v>
      </c>
      <c r="B15" s="39" t="s">
        <v>111</v>
      </c>
      <c r="C15" s="39">
        <v>25</v>
      </c>
      <c r="D15" s="39" t="s">
        <v>105</v>
      </c>
      <c r="E15" s="39" t="s">
        <v>122</v>
      </c>
      <c r="F15" s="39">
        <v>6354</v>
      </c>
      <c r="G15" s="40">
        <v>45343</v>
      </c>
      <c r="H15" s="39" t="s">
        <v>115</v>
      </c>
    </row>
    <row r="16" spans="1:8">
      <c r="A16" s="39" t="s">
        <v>131</v>
      </c>
      <c r="B16" s="39" t="s">
        <v>111</v>
      </c>
      <c r="C16" s="39">
        <v>24</v>
      </c>
      <c r="D16" s="39" t="s">
        <v>120</v>
      </c>
      <c r="E16" s="39" t="s">
        <v>117</v>
      </c>
      <c r="F16" s="39">
        <v>5255</v>
      </c>
      <c r="G16" s="40">
        <v>45375</v>
      </c>
      <c r="H16" s="39" t="s">
        <v>107</v>
      </c>
    </row>
    <row r="17" spans="1:8">
      <c r="A17" s="39" t="s">
        <v>132</v>
      </c>
      <c r="B17" s="39" t="s">
        <v>111</v>
      </c>
      <c r="C17" s="39">
        <v>65</v>
      </c>
      <c r="D17" s="39" t="s">
        <v>120</v>
      </c>
      <c r="E17" s="39" t="s">
        <v>133</v>
      </c>
      <c r="F17" s="39">
        <v>1806</v>
      </c>
      <c r="G17" s="40">
        <v>45407</v>
      </c>
      <c r="H17" s="39" t="s">
        <v>113</v>
      </c>
    </row>
    <row r="18" spans="1:8">
      <c r="A18" s="39" t="s">
        <v>134</v>
      </c>
      <c r="B18" s="39" t="s">
        <v>119</v>
      </c>
      <c r="C18" s="39">
        <v>42</v>
      </c>
      <c r="D18" s="39" t="s">
        <v>120</v>
      </c>
      <c r="E18" s="39" t="s">
        <v>133</v>
      </c>
      <c r="F18" s="39">
        <v>8843</v>
      </c>
      <c r="G18" s="40">
        <v>45439</v>
      </c>
      <c r="H18" s="39" t="s">
        <v>107</v>
      </c>
    </row>
    <row r="19" spans="1:8">
      <c r="A19" s="39" t="s">
        <v>135</v>
      </c>
      <c r="B19" s="39" t="s">
        <v>104</v>
      </c>
      <c r="C19" s="39">
        <v>46</v>
      </c>
      <c r="D19" s="39" t="s">
        <v>105</v>
      </c>
      <c r="E19" s="39" t="s">
        <v>133</v>
      </c>
      <c r="F19" s="39">
        <v>1248</v>
      </c>
      <c r="G19" s="40">
        <v>45471</v>
      </c>
      <c r="H19" s="39" t="s">
        <v>115</v>
      </c>
    </row>
    <row r="20" spans="1:8">
      <c r="A20" s="39" t="s">
        <v>136</v>
      </c>
      <c r="B20" s="39" t="s">
        <v>111</v>
      </c>
      <c r="C20" s="39">
        <v>24</v>
      </c>
      <c r="D20" s="39" t="s">
        <v>120</v>
      </c>
      <c r="E20" s="39" t="s">
        <v>106</v>
      </c>
      <c r="F20" s="39">
        <v>9259</v>
      </c>
      <c r="G20" s="40">
        <v>45503</v>
      </c>
      <c r="H20" s="39" t="s">
        <v>115</v>
      </c>
    </row>
    <row r="21" spans="1:8">
      <c r="A21" s="39" t="s">
        <v>137</v>
      </c>
      <c r="B21" s="39" t="s">
        <v>111</v>
      </c>
      <c r="C21" s="39">
        <v>23</v>
      </c>
      <c r="D21" s="39" t="s">
        <v>120</v>
      </c>
      <c r="E21" s="39" t="s">
        <v>122</v>
      </c>
      <c r="F21" s="39">
        <v>6819</v>
      </c>
      <c r="G21" s="40">
        <v>45535</v>
      </c>
      <c r="H21" s="39" t="s">
        <v>107</v>
      </c>
    </row>
    <row r="22" spans="1:8">
      <c r="A22" s="39" t="s">
        <v>138</v>
      </c>
      <c r="B22" s="39" t="s">
        <v>111</v>
      </c>
      <c r="C22" s="39">
        <v>52</v>
      </c>
      <c r="D22" s="39" t="s">
        <v>105</v>
      </c>
      <c r="E22" s="39" t="s">
        <v>109</v>
      </c>
      <c r="F22" s="39">
        <v>5387</v>
      </c>
      <c r="G22" s="40">
        <v>45567</v>
      </c>
      <c r="H22" s="39" t="s">
        <v>107</v>
      </c>
    </row>
    <row r="23" spans="1:8">
      <c r="A23" s="39" t="s">
        <v>139</v>
      </c>
      <c r="B23" s="39" t="s">
        <v>111</v>
      </c>
      <c r="C23" s="39">
        <v>44</v>
      </c>
      <c r="D23" s="39" t="s">
        <v>105</v>
      </c>
      <c r="E23" s="39" t="s">
        <v>133</v>
      </c>
      <c r="F23" s="39">
        <v>1184</v>
      </c>
      <c r="G23" s="40">
        <v>45599</v>
      </c>
      <c r="H23" s="39" t="s">
        <v>115</v>
      </c>
    </row>
  </sheetData>
  <conditionalFormatting sqref="F2:F23">
    <cfRule type="cellIs" dxfId="58" priority="1" operator="greaterThan">
      <formula>5000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ACF1-E565-47D0-9935-C24A49386C6B}">
  <sheetPr codeName="Sheet7"/>
  <dimension ref="A1:P18"/>
  <sheetViews>
    <sheetView topLeftCell="F1" zoomScale="80" zoomScaleNormal="80" workbookViewId="0">
      <selection sqref="A1:R32"/>
    </sheetView>
  </sheetViews>
  <sheetFormatPr defaultRowHeight="14.5"/>
  <cols>
    <col min="1" max="1" width="23.6328125" customWidth="1"/>
    <col min="2" max="2" width="17.90625" customWidth="1"/>
    <col min="6" max="6" width="13.7265625" customWidth="1"/>
    <col min="12" max="12" width="12.453125" customWidth="1"/>
    <col min="13" max="13" width="7.81640625" bestFit="1" customWidth="1"/>
    <col min="15" max="15" width="7.1796875" customWidth="1"/>
    <col min="16" max="16" width="15.1796875" customWidth="1"/>
    <col min="17" max="17" width="10.6328125" customWidth="1"/>
  </cols>
  <sheetData>
    <row r="1" spans="1:16" ht="21">
      <c r="A1" s="42" t="s">
        <v>144</v>
      </c>
      <c r="B1" s="42" t="s">
        <v>145</v>
      </c>
      <c r="N1" s="44" t="s">
        <v>182</v>
      </c>
      <c r="O1" s="44" t="s">
        <v>96</v>
      </c>
      <c r="P1" s="44" t="s">
        <v>97</v>
      </c>
    </row>
    <row r="2" spans="1:16" ht="21">
      <c r="B2" s="42" t="s">
        <v>146</v>
      </c>
      <c r="N2" s="45" t="s">
        <v>183</v>
      </c>
      <c r="O2" s="45" t="s">
        <v>167</v>
      </c>
      <c r="P2" s="45" t="s">
        <v>104</v>
      </c>
    </row>
    <row r="3" spans="1:16" ht="21">
      <c r="B3" s="42" t="s">
        <v>155</v>
      </c>
      <c r="N3" s="45" t="s">
        <v>184</v>
      </c>
      <c r="O3" s="45" t="s">
        <v>168</v>
      </c>
      <c r="P3" s="45" t="s">
        <v>104</v>
      </c>
    </row>
    <row r="4" spans="1:16" ht="21">
      <c r="B4" s="42" t="s">
        <v>163</v>
      </c>
      <c r="N4" s="45" t="s">
        <v>185</v>
      </c>
      <c r="O4" s="45" t="s">
        <v>169</v>
      </c>
      <c r="P4" s="45" t="s">
        <v>111</v>
      </c>
    </row>
    <row r="5" spans="1:16">
      <c r="N5" s="45" t="s">
        <v>186</v>
      </c>
      <c r="O5" s="45" t="s">
        <v>170</v>
      </c>
      <c r="P5" s="45" t="s">
        <v>111</v>
      </c>
    </row>
    <row r="6" spans="1:16" ht="17.5" customHeight="1">
      <c r="A6" s="42" t="s">
        <v>147</v>
      </c>
      <c r="B6" s="43" t="s">
        <v>148</v>
      </c>
      <c r="N6" s="45" t="s">
        <v>187</v>
      </c>
      <c r="O6" s="45" t="s">
        <v>171</v>
      </c>
      <c r="P6" s="45" t="s">
        <v>104</v>
      </c>
    </row>
    <row r="7" spans="1:16">
      <c r="N7" s="45" t="s">
        <v>188</v>
      </c>
      <c r="O7" s="45" t="s">
        <v>172</v>
      </c>
      <c r="P7" s="45" t="s">
        <v>119</v>
      </c>
    </row>
    <row r="8" spans="1:16">
      <c r="N8" s="45" t="s">
        <v>189</v>
      </c>
      <c r="O8" s="45" t="s">
        <v>173</v>
      </c>
      <c r="P8" s="45" t="s">
        <v>104</v>
      </c>
    </row>
    <row r="9" spans="1:16" ht="21">
      <c r="A9" s="42" t="s">
        <v>153</v>
      </c>
      <c r="B9" s="46" t="s">
        <v>157</v>
      </c>
      <c r="D9" t="s">
        <v>151</v>
      </c>
      <c r="F9" s="47" t="s">
        <v>152</v>
      </c>
      <c r="I9" s="48">
        <v>12</v>
      </c>
      <c r="N9" s="45" t="s">
        <v>190</v>
      </c>
      <c r="O9" s="45" t="s">
        <v>174</v>
      </c>
      <c r="P9" s="45" t="s">
        <v>104</v>
      </c>
    </row>
    <row r="10" spans="1:16">
      <c r="B10" s="46" t="s">
        <v>158</v>
      </c>
      <c r="D10" t="s">
        <v>152</v>
      </c>
      <c r="F10" s="47" t="s">
        <v>150</v>
      </c>
      <c r="N10" s="45" t="s">
        <v>191</v>
      </c>
      <c r="O10" s="45" t="s">
        <v>175</v>
      </c>
      <c r="P10" s="45" t="s">
        <v>111</v>
      </c>
    </row>
    <row r="11" spans="1:16">
      <c r="B11" s="46" t="s">
        <v>156</v>
      </c>
      <c r="D11" t="s">
        <v>149</v>
      </c>
      <c r="F11" s="47" t="s">
        <v>149</v>
      </c>
      <c r="I11" t="s">
        <v>198</v>
      </c>
      <c r="N11" s="45" t="s">
        <v>192</v>
      </c>
      <c r="O11" s="45" t="s">
        <v>176</v>
      </c>
      <c r="P11" s="45" t="s">
        <v>104</v>
      </c>
    </row>
    <row r="12" spans="1:16">
      <c r="B12" s="46" t="s">
        <v>159</v>
      </c>
      <c r="D12" t="s">
        <v>150</v>
      </c>
      <c r="I12" t="s">
        <v>201</v>
      </c>
      <c r="N12" s="45" t="s">
        <v>193</v>
      </c>
      <c r="O12" s="45" t="s">
        <v>177</v>
      </c>
      <c r="P12" s="45" t="s">
        <v>104</v>
      </c>
    </row>
    <row r="13" spans="1:16">
      <c r="B13" s="46"/>
      <c r="D13" t="s">
        <v>154</v>
      </c>
      <c r="N13" s="45" t="s">
        <v>194</v>
      </c>
      <c r="O13" s="45" t="s">
        <v>178</v>
      </c>
      <c r="P13" s="45" t="s">
        <v>104</v>
      </c>
    </row>
    <row r="14" spans="1:16">
      <c r="D14" t="s">
        <v>150</v>
      </c>
      <c r="N14" s="45" t="s">
        <v>195</v>
      </c>
      <c r="O14" s="45" t="s">
        <v>179</v>
      </c>
      <c r="P14" s="45" t="s">
        <v>104</v>
      </c>
    </row>
    <row r="15" spans="1:16">
      <c r="I15" s="49">
        <v>0.45833333333333331</v>
      </c>
      <c r="N15" s="45" t="s">
        <v>196</v>
      </c>
      <c r="O15" s="45" t="s">
        <v>180</v>
      </c>
      <c r="P15" s="45" t="s">
        <v>111</v>
      </c>
    </row>
    <row r="16" spans="1:16">
      <c r="B16" t="s">
        <v>161</v>
      </c>
      <c r="F16" t="s">
        <v>164</v>
      </c>
      <c r="N16" s="45" t="s">
        <v>197</v>
      </c>
      <c r="O16" s="45" t="s">
        <v>181</v>
      </c>
      <c r="P16" s="45" t="s">
        <v>111</v>
      </c>
    </row>
    <row r="17" spans="2:9">
      <c r="B17" t="s">
        <v>162</v>
      </c>
      <c r="F17" t="s">
        <v>165</v>
      </c>
      <c r="I17" t="s">
        <v>199</v>
      </c>
    </row>
    <row r="18" spans="2:9">
      <c r="B18" t="s">
        <v>160</v>
      </c>
      <c r="F18" t="s">
        <v>166</v>
      </c>
      <c r="I18" t="s">
        <v>200</v>
      </c>
    </row>
  </sheetData>
  <phoneticPr fontId="20" type="noConversion"/>
  <dataValidations count="7">
    <dataValidation type="textLength" allowBlank="1" showInputMessage="1" showErrorMessage="1" errorTitle="Data" error="Out of Range" promptTitle="New Input" prompt="Enter Something" sqref="B9:B13" xr:uid="{DEC4DE51-ADBF-45B2-A124-DBE03085BDB9}">
      <formula1>5</formula1>
      <formula2>12</formula2>
    </dataValidation>
    <dataValidation type="list" errorStyle="information" allowBlank="1" showInputMessage="1" showErrorMessage="1" errorTitle="Data" error="Give right Entry" promptTitle="input" prompt="enter something" sqref="F10:F11" xr:uid="{80EE9E2B-029B-4206-B1C1-A316A3A2E00A}">
      <formula1>$D$9:$D$14</formula1>
    </dataValidation>
    <dataValidation type="list" errorStyle="information" allowBlank="1" showInputMessage="1" showErrorMessage="1" errorTitle="Data" error="Give right Entry" promptTitle="input" prompt="select county_x000a_" sqref="F9" xr:uid="{DCCCB162-09B0-4F23-AD33-131F2880AD4B}">
      <formula1>$D$9:$D$14</formula1>
    </dataValidation>
    <dataValidation type="textLength" allowBlank="1" showInputMessage="1" showErrorMessage="1" promptTitle="Entry" prompt="Enter Ids" sqref="N1" xr:uid="{B6105C1C-6FC6-48DD-80C0-822463170FDF}">
      <formula1>4</formula1>
      <formula2>6</formula2>
    </dataValidation>
    <dataValidation errorStyle="warning" allowBlank="1" showInputMessage="1" showErrorMessage="1" promptTitle="Names" prompt="Enter the Name" sqref="O1" xr:uid="{C18A4027-ED7D-4308-AA87-3AB2E12D785E}"/>
    <dataValidation type="whole" allowBlank="1" showInputMessage="1" showErrorMessage="1" errorTitle="Error" error="wrong entry" promptTitle="Wholenumber" sqref="I9" xr:uid="{A36E00F8-A377-463F-91D3-0C3F0A4F4EDA}">
      <formula1>5</formula1>
      <formula2>20</formula2>
    </dataValidation>
    <dataValidation type="time" allowBlank="1" showInputMessage="1" showErrorMessage="1" promptTitle="Time" sqref="I15" xr:uid="{9C8CD976-0AD3-4E3D-A537-616438FE14C6}">
      <formula1>0.416666666666667</formula1>
      <formula2>0.75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B562-F50E-461F-B84B-D1739FD555D2}">
  <sheetPr codeName="Sheet8"/>
  <dimension ref="A1:G13"/>
  <sheetViews>
    <sheetView workbookViewId="0">
      <selection activeCell="K12" sqref="K12"/>
    </sheetView>
  </sheetViews>
  <sheetFormatPr defaultRowHeight="14.5"/>
  <cols>
    <col min="2" max="3" width="10.26953125" customWidth="1"/>
  </cols>
  <sheetData>
    <row r="1" spans="1:7" ht="18.5">
      <c r="A1" s="231" t="s">
        <v>202</v>
      </c>
      <c r="B1" s="232"/>
      <c r="D1" s="2" t="s">
        <v>203</v>
      </c>
    </row>
    <row r="2" spans="1:7" ht="18.5">
      <c r="A2" s="50" t="s">
        <v>204</v>
      </c>
      <c r="B2" s="51">
        <v>32</v>
      </c>
      <c r="D2" s="2" t="s">
        <v>205</v>
      </c>
    </row>
    <row r="3" spans="1:7">
      <c r="A3" s="50" t="s">
        <v>206</v>
      </c>
      <c r="B3" s="52">
        <v>1000</v>
      </c>
      <c r="F3" s="53"/>
    </row>
    <row r="4" spans="1:7">
      <c r="A4" s="54" t="s">
        <v>207</v>
      </c>
      <c r="B4" s="55">
        <f>B2*B3</f>
        <v>32000</v>
      </c>
      <c r="F4" s="53"/>
    </row>
    <row r="5" spans="1:7">
      <c r="A5" s="50" t="s">
        <v>208</v>
      </c>
      <c r="B5" s="51">
        <f>B4*10%</f>
        <v>3200</v>
      </c>
    </row>
    <row r="6" spans="1:7">
      <c r="A6" s="50" t="s">
        <v>209</v>
      </c>
      <c r="B6" s="51">
        <f>20*B3</f>
        <v>20000</v>
      </c>
      <c r="D6" s="3" t="s">
        <v>210</v>
      </c>
      <c r="E6" s="3" t="s">
        <v>211</v>
      </c>
    </row>
    <row r="7" spans="1:7">
      <c r="A7" s="54" t="s">
        <v>212</v>
      </c>
      <c r="B7" s="55">
        <f>B5+B6</f>
        <v>23200</v>
      </c>
      <c r="D7">
        <v>100</v>
      </c>
      <c r="E7" s="56">
        <v>8700</v>
      </c>
      <c r="G7" t="s">
        <v>213</v>
      </c>
    </row>
    <row r="8" spans="1:7" ht="15" thickBot="1">
      <c r="A8" s="57" t="s">
        <v>100</v>
      </c>
      <c r="B8" s="58">
        <v>8700</v>
      </c>
      <c r="D8">
        <v>200</v>
      </c>
      <c r="E8">
        <v>1760</v>
      </c>
    </row>
    <row r="9" spans="1:7">
      <c r="D9">
        <v>300</v>
      </c>
      <c r="E9">
        <v>2640</v>
      </c>
    </row>
    <row r="10" spans="1:7">
      <c r="D10">
        <v>400</v>
      </c>
      <c r="E10">
        <v>3520</v>
      </c>
    </row>
    <row r="11" spans="1:7">
      <c r="B11" t="s">
        <v>214</v>
      </c>
      <c r="D11">
        <v>500</v>
      </c>
      <c r="E11">
        <v>4400</v>
      </c>
    </row>
    <row r="12" spans="1:7">
      <c r="D12">
        <v>600</v>
      </c>
      <c r="E12">
        <v>5280</v>
      </c>
    </row>
    <row r="13" spans="1:7">
      <c r="C13" t="s">
        <v>215</v>
      </c>
    </row>
  </sheetData>
  <scenarios current="0" show="0">
    <scenario name="Analysis" locked="1" count="6" user="Ranvijay Chauhan" comment="Created by Ranvijay Chauhan on 02-08-2025">
      <inputCells r="D7" val="100"/>
      <inputCells r="D8" val="200"/>
      <inputCells r="D9" val="300"/>
      <inputCells r="D10" val="400"/>
      <inputCells r="D11" val="500"/>
      <inputCells r="D12" val="600"/>
    </scenario>
    <scenario name="profit" locked="1" count="6" user="Ranvijay Chauhan" comment="Created by Ranvijay Chauhan on 02-08-2025">
      <inputCells r="E7" val="8700"/>
      <inputCells r="E8" val="1760"/>
      <inputCells r="E9" val="2640"/>
      <inputCells r="E10" val="3520"/>
      <inputCells r="E11" val="4400"/>
      <inputCells r="E12" val="5280"/>
    </scenario>
  </scenarios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18FE-C3F5-45C4-9497-F02FD3AE0FCD}">
  <sheetPr codeName="Sheet9"/>
  <dimension ref="A1:K19"/>
  <sheetViews>
    <sheetView workbookViewId="0">
      <selection activeCell="N10" sqref="N10"/>
    </sheetView>
  </sheetViews>
  <sheetFormatPr defaultRowHeight="14.5"/>
  <cols>
    <col min="1" max="1" width="15.7265625" customWidth="1"/>
    <col min="2" max="2" width="18.1796875" customWidth="1"/>
    <col min="7" max="8" width="11.6328125" bestFit="1" customWidth="1"/>
    <col min="10" max="10" width="16.26953125" customWidth="1"/>
    <col min="11" max="11" width="14.90625" customWidth="1"/>
  </cols>
  <sheetData>
    <row r="1" spans="1:11" ht="18.5">
      <c r="A1" s="59" t="s">
        <v>216</v>
      </c>
      <c r="B1" s="59" t="s">
        <v>217</v>
      </c>
      <c r="J1" s="59" t="s">
        <v>216</v>
      </c>
      <c r="K1" s="59" t="s">
        <v>217</v>
      </c>
    </row>
    <row r="2" spans="1:11">
      <c r="A2" s="45" t="s">
        <v>218</v>
      </c>
      <c r="B2" s="45" t="s">
        <v>219</v>
      </c>
      <c r="C2" t="b">
        <f>A2=B2</f>
        <v>0</v>
      </c>
      <c r="D2" t="str">
        <f>IF(A2=B2,"Found","Not Found")</f>
        <v>Not Found</v>
      </c>
      <c r="J2" t="s">
        <v>218</v>
      </c>
      <c r="K2" t="s">
        <v>219</v>
      </c>
    </row>
    <row r="3" spans="1:11">
      <c r="A3" s="45" t="s">
        <v>219</v>
      </c>
      <c r="B3" s="45" t="s">
        <v>219</v>
      </c>
      <c r="C3" t="b">
        <f t="shared" ref="C3:C16" si="0">A3=B3</f>
        <v>1</v>
      </c>
      <c r="D3" t="str">
        <f t="shared" ref="D3:D16" si="1">IF(A3=B3,"Found","Not Found")</f>
        <v>Found</v>
      </c>
      <c r="J3" t="s">
        <v>219</v>
      </c>
      <c r="K3" t="s">
        <v>219</v>
      </c>
    </row>
    <row r="4" spans="1:11">
      <c r="A4" s="45" t="s">
        <v>218</v>
      </c>
      <c r="B4" s="45" t="s">
        <v>218</v>
      </c>
      <c r="C4" t="b">
        <f t="shared" si="0"/>
        <v>1</v>
      </c>
      <c r="D4" t="str">
        <f t="shared" si="1"/>
        <v>Found</v>
      </c>
      <c r="J4" t="s">
        <v>218</v>
      </c>
      <c r="K4" t="s">
        <v>218</v>
      </c>
    </row>
    <row r="5" spans="1:11">
      <c r="A5" s="45" t="s">
        <v>220</v>
      </c>
      <c r="B5" s="45" t="s">
        <v>219</v>
      </c>
      <c r="C5" t="b">
        <f t="shared" si="0"/>
        <v>0</v>
      </c>
      <c r="D5" t="str">
        <f t="shared" si="1"/>
        <v>Not Found</v>
      </c>
      <c r="J5" t="s">
        <v>220</v>
      </c>
      <c r="K5" t="s">
        <v>219</v>
      </c>
    </row>
    <row r="6" spans="1:11">
      <c r="A6" s="45" t="s">
        <v>219</v>
      </c>
      <c r="B6" s="45" t="s">
        <v>219</v>
      </c>
      <c r="C6" t="b">
        <f t="shared" si="0"/>
        <v>1</v>
      </c>
      <c r="D6" t="str">
        <f t="shared" si="1"/>
        <v>Found</v>
      </c>
      <c r="J6" t="s">
        <v>219</v>
      </c>
      <c r="K6" t="s">
        <v>219</v>
      </c>
    </row>
    <row r="7" spans="1:11">
      <c r="A7" s="45" t="s">
        <v>11</v>
      </c>
      <c r="B7" s="45" t="s">
        <v>11</v>
      </c>
      <c r="C7" t="b">
        <f t="shared" si="0"/>
        <v>1</v>
      </c>
      <c r="D7" t="str">
        <f t="shared" si="1"/>
        <v>Found</v>
      </c>
      <c r="J7" t="s">
        <v>11</v>
      </c>
      <c r="K7" t="s">
        <v>11</v>
      </c>
    </row>
    <row r="8" spans="1:11">
      <c r="A8" s="45" t="s">
        <v>219</v>
      </c>
      <c r="B8" s="45" t="s">
        <v>221</v>
      </c>
      <c r="C8" t="b">
        <f t="shared" si="0"/>
        <v>0</v>
      </c>
      <c r="D8" t="str">
        <f t="shared" si="1"/>
        <v>Not Found</v>
      </c>
      <c r="J8" t="s">
        <v>219</v>
      </c>
      <c r="K8" t="s">
        <v>221</v>
      </c>
    </row>
    <row r="9" spans="1:11">
      <c r="A9" s="45" t="s">
        <v>222</v>
      </c>
      <c r="B9" s="45" t="s">
        <v>218</v>
      </c>
      <c r="C9" t="b">
        <f t="shared" si="0"/>
        <v>0</v>
      </c>
      <c r="D9" t="str">
        <f t="shared" si="1"/>
        <v>Not Found</v>
      </c>
      <c r="J9" t="s">
        <v>222</v>
      </c>
      <c r="K9" t="s">
        <v>218</v>
      </c>
    </row>
    <row r="10" spans="1:11">
      <c r="A10" s="45" t="s">
        <v>221</v>
      </c>
      <c r="B10" s="45" t="s">
        <v>221</v>
      </c>
      <c r="C10" t="b">
        <f t="shared" si="0"/>
        <v>1</v>
      </c>
      <c r="D10" t="str">
        <f t="shared" si="1"/>
        <v>Found</v>
      </c>
      <c r="J10" t="s">
        <v>221</v>
      </c>
      <c r="K10" t="s">
        <v>221</v>
      </c>
    </row>
    <row r="11" spans="1:11">
      <c r="A11" s="45" t="s">
        <v>221</v>
      </c>
      <c r="B11" s="45" t="s">
        <v>220</v>
      </c>
      <c r="C11" t="b">
        <f t="shared" si="0"/>
        <v>0</v>
      </c>
      <c r="D11" t="str">
        <f t="shared" si="1"/>
        <v>Not Found</v>
      </c>
      <c r="J11" t="s">
        <v>221</v>
      </c>
      <c r="K11" t="s">
        <v>220</v>
      </c>
    </row>
    <row r="12" spans="1:11">
      <c r="A12" s="45" t="s">
        <v>218</v>
      </c>
      <c r="B12" s="45" t="s">
        <v>218</v>
      </c>
      <c r="C12" t="b">
        <f t="shared" si="0"/>
        <v>1</v>
      </c>
      <c r="D12" t="str">
        <f t="shared" si="1"/>
        <v>Found</v>
      </c>
      <c r="J12" t="s">
        <v>218</v>
      </c>
      <c r="K12" t="s">
        <v>218</v>
      </c>
    </row>
    <row r="13" spans="1:11">
      <c r="A13" s="45" t="s">
        <v>223</v>
      </c>
      <c r="B13" s="45" t="s">
        <v>219</v>
      </c>
      <c r="C13" t="b">
        <f t="shared" si="0"/>
        <v>0</v>
      </c>
      <c r="D13" t="str">
        <f t="shared" si="1"/>
        <v>Not Found</v>
      </c>
      <c r="J13" t="s">
        <v>223</v>
      </c>
      <c r="K13" t="s">
        <v>219</v>
      </c>
    </row>
    <row r="14" spans="1:11">
      <c r="A14" s="45" t="s">
        <v>219</v>
      </c>
      <c r="B14" s="45" t="s">
        <v>219</v>
      </c>
      <c r="C14" t="b">
        <f t="shared" si="0"/>
        <v>1</v>
      </c>
      <c r="D14" t="str">
        <f t="shared" si="1"/>
        <v>Found</v>
      </c>
      <c r="J14" t="s">
        <v>219</v>
      </c>
      <c r="K14" t="s">
        <v>219</v>
      </c>
    </row>
    <row r="15" spans="1:11">
      <c r="A15" s="45" t="s">
        <v>218</v>
      </c>
      <c r="B15" s="45"/>
      <c r="C15" t="b">
        <f t="shared" si="0"/>
        <v>0</v>
      </c>
      <c r="D15" t="str">
        <f t="shared" si="1"/>
        <v>Not Found</v>
      </c>
      <c r="J15" t="s">
        <v>218</v>
      </c>
    </row>
    <row r="16" spans="1:11">
      <c r="A16" s="45" t="s">
        <v>11</v>
      </c>
      <c r="B16" s="45"/>
      <c r="C16" t="b">
        <f t="shared" si="0"/>
        <v>0</v>
      </c>
      <c r="D16" t="str">
        <f t="shared" si="1"/>
        <v>Not Found</v>
      </c>
      <c r="J16" t="s">
        <v>11</v>
      </c>
    </row>
    <row r="19" spans="2:10">
      <c r="B19" t="s">
        <v>224</v>
      </c>
      <c r="J19" t="s">
        <v>225</v>
      </c>
    </row>
  </sheetData>
  <conditionalFormatting sqref="J1">
    <cfRule type="duplicateValues" dxfId="57" priority="8"/>
  </conditionalFormatting>
  <conditionalFormatting sqref="J19">
    <cfRule type="duplicateValues" dxfId="56" priority="5"/>
  </conditionalFormatting>
  <conditionalFormatting sqref="J2:K16">
    <cfRule type="uniqueValues" dxfId="55" priority="3"/>
  </conditionalFormatting>
  <conditionalFormatting sqref="J2:J16">
    <cfRule type="uniqueValues" dxfId="54" priority="2"/>
  </conditionalFormatting>
  <conditionalFormatting sqref="K2:K14">
    <cfRule type="uniqueValues" dxfId="53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AE93-799A-44D5-8D9D-E8A170134014}">
  <sheetPr codeName="Sheet10"/>
  <dimension ref="A1:S20"/>
  <sheetViews>
    <sheetView workbookViewId="0">
      <selection activeCell="B16" sqref="B16"/>
    </sheetView>
  </sheetViews>
  <sheetFormatPr defaultRowHeight="14.5"/>
  <cols>
    <col min="2" max="2" width="13.6328125" customWidth="1"/>
    <col min="3" max="3" width="16" customWidth="1"/>
    <col min="5" max="5" width="12.6328125" customWidth="1"/>
    <col min="6" max="6" width="5.6328125" customWidth="1"/>
    <col min="7" max="7" width="13" customWidth="1"/>
  </cols>
  <sheetData>
    <row r="1" spans="1:19">
      <c r="A1" s="60" t="s">
        <v>226</v>
      </c>
      <c r="B1" s="60" t="s">
        <v>100</v>
      </c>
      <c r="C1" s="61" t="s">
        <v>227</v>
      </c>
      <c r="D1" s="62" t="s">
        <v>228</v>
      </c>
    </row>
    <row r="2" spans="1:19">
      <c r="A2" s="45">
        <v>155777</v>
      </c>
      <c r="B2" s="45">
        <v>20149</v>
      </c>
      <c r="C2" s="45" t="s">
        <v>229</v>
      </c>
      <c r="D2" s="63" t="s">
        <v>230</v>
      </c>
    </row>
    <row r="3" spans="1:19">
      <c r="A3" s="45">
        <v>98614</v>
      </c>
      <c r="B3" s="45">
        <v>15265</v>
      </c>
      <c r="C3" s="45" t="s">
        <v>231</v>
      </c>
      <c r="D3" s="63" t="s">
        <v>232</v>
      </c>
      <c r="G3" s="60" t="s">
        <v>226</v>
      </c>
      <c r="H3" s="45">
        <v>155777</v>
      </c>
      <c r="I3" s="45">
        <v>98614</v>
      </c>
      <c r="J3" s="45">
        <v>175102</v>
      </c>
      <c r="K3" s="45">
        <v>96567</v>
      </c>
      <c r="L3" s="45">
        <v>83906</v>
      </c>
      <c r="M3" s="45">
        <v>71579</v>
      </c>
      <c r="N3" s="45">
        <v>177862</v>
      </c>
      <c r="O3" s="45">
        <v>74526</v>
      </c>
      <c r="P3" s="45">
        <v>79724</v>
      </c>
      <c r="Q3" s="45">
        <v>165987</v>
      </c>
      <c r="R3" s="45">
        <v>189584</v>
      </c>
      <c r="S3" s="45">
        <v>197065</v>
      </c>
    </row>
    <row r="4" spans="1:19">
      <c r="A4" s="45">
        <v>175102</v>
      </c>
      <c r="B4" s="45">
        <v>45775</v>
      </c>
      <c r="C4" s="45" t="s">
        <v>226</v>
      </c>
      <c r="D4" s="63" t="s">
        <v>233</v>
      </c>
      <c r="G4" s="60" t="s">
        <v>100</v>
      </c>
      <c r="H4" s="45">
        <v>20149</v>
      </c>
      <c r="I4" s="45">
        <v>15265</v>
      </c>
      <c r="J4" s="45">
        <v>45775</v>
      </c>
      <c r="K4" s="45">
        <v>30329</v>
      </c>
      <c r="L4" s="45">
        <v>25346</v>
      </c>
      <c r="M4" s="45">
        <v>33530</v>
      </c>
      <c r="N4" s="45">
        <v>31420</v>
      </c>
      <c r="O4" s="45">
        <v>33264</v>
      </c>
      <c r="P4" s="45">
        <v>44308</v>
      </c>
      <c r="Q4" s="45">
        <v>30961</v>
      </c>
      <c r="R4" s="45">
        <v>12764</v>
      </c>
      <c r="S4" s="45">
        <v>19935</v>
      </c>
    </row>
    <row r="5" spans="1:19">
      <c r="A5" s="45">
        <v>96567</v>
      </c>
      <c r="B5" s="45">
        <v>30329</v>
      </c>
      <c r="C5" s="45" t="s">
        <v>229</v>
      </c>
      <c r="D5" s="63" t="s">
        <v>234</v>
      </c>
      <c r="G5" s="61" t="s">
        <v>227</v>
      </c>
      <c r="H5" s="45" t="s">
        <v>229</v>
      </c>
      <c r="I5" s="45" t="s">
        <v>231</v>
      </c>
      <c r="J5" s="45" t="s">
        <v>226</v>
      </c>
      <c r="K5" s="45" t="s">
        <v>229</v>
      </c>
      <c r="L5" s="45" t="s">
        <v>231</v>
      </c>
      <c r="M5" s="45" t="s">
        <v>231</v>
      </c>
      <c r="N5" s="45" t="s">
        <v>226</v>
      </c>
      <c r="O5" s="45" t="s">
        <v>229</v>
      </c>
      <c r="P5" s="45" t="s">
        <v>231</v>
      </c>
      <c r="Q5" s="45" t="s">
        <v>226</v>
      </c>
      <c r="R5" s="45" t="s">
        <v>226</v>
      </c>
      <c r="S5" s="45" t="s">
        <v>242</v>
      </c>
    </row>
    <row r="6" spans="1:19">
      <c r="A6" s="45">
        <v>83906</v>
      </c>
      <c r="B6" s="45">
        <v>25346</v>
      </c>
      <c r="C6" s="45" t="s">
        <v>231</v>
      </c>
      <c r="D6" s="63" t="s">
        <v>235</v>
      </c>
      <c r="G6" s="62" t="s">
        <v>228</v>
      </c>
      <c r="H6" s="63" t="s">
        <v>230</v>
      </c>
      <c r="I6" s="63" t="s">
        <v>232</v>
      </c>
      <c r="J6" s="63" t="s">
        <v>233</v>
      </c>
      <c r="K6" s="63" t="s">
        <v>234</v>
      </c>
      <c r="L6" s="63" t="s">
        <v>235</v>
      </c>
      <c r="M6" s="63" t="s">
        <v>236</v>
      </c>
      <c r="N6" s="63" t="s">
        <v>237</v>
      </c>
      <c r="O6" s="63" t="s">
        <v>238</v>
      </c>
      <c r="P6" s="63" t="s">
        <v>239</v>
      </c>
      <c r="Q6" s="63" t="s">
        <v>240</v>
      </c>
      <c r="R6" s="63" t="s">
        <v>241</v>
      </c>
      <c r="S6" s="63" t="s">
        <v>243</v>
      </c>
    </row>
    <row r="7" spans="1:19">
      <c r="A7" s="45">
        <v>71579</v>
      </c>
      <c r="B7" s="45">
        <v>33530</v>
      </c>
      <c r="C7" s="45" t="s">
        <v>231</v>
      </c>
      <c r="D7" s="63" t="s">
        <v>236</v>
      </c>
    </row>
    <row r="8" spans="1:19">
      <c r="A8" s="45">
        <v>177862</v>
      </c>
      <c r="B8" s="45">
        <v>31420</v>
      </c>
      <c r="C8" s="45" t="s">
        <v>226</v>
      </c>
      <c r="D8" s="63" t="s">
        <v>237</v>
      </c>
    </row>
    <row r="9" spans="1:19">
      <c r="A9" s="45">
        <v>74526</v>
      </c>
      <c r="B9" s="45">
        <v>33264</v>
      </c>
      <c r="C9" s="45" t="s">
        <v>229</v>
      </c>
      <c r="D9" s="63" t="s">
        <v>238</v>
      </c>
    </row>
    <row r="10" spans="1:19">
      <c r="A10" s="45">
        <v>79724</v>
      </c>
      <c r="B10" s="45">
        <v>44308</v>
      </c>
      <c r="C10" s="45" t="s">
        <v>231</v>
      </c>
      <c r="D10" s="63" t="s">
        <v>239</v>
      </c>
      <c r="G10" s="60" t="s">
        <v>226</v>
      </c>
      <c r="H10" s="45">
        <v>155777</v>
      </c>
      <c r="I10" s="45">
        <v>98614</v>
      </c>
      <c r="J10" s="45">
        <v>175102</v>
      </c>
      <c r="K10" s="45">
        <v>96567</v>
      </c>
      <c r="L10" s="45">
        <v>83906</v>
      </c>
      <c r="M10" s="45">
        <v>71579</v>
      </c>
      <c r="N10" s="45">
        <v>177862</v>
      </c>
      <c r="O10" s="45">
        <v>74526</v>
      </c>
      <c r="P10" s="45">
        <v>79724</v>
      </c>
      <c r="Q10" s="45">
        <v>165987</v>
      </c>
      <c r="R10" s="45">
        <v>189584</v>
      </c>
      <c r="S10" s="45">
        <v>197065</v>
      </c>
    </row>
    <row r="11" spans="1:19">
      <c r="A11" s="45">
        <v>165987</v>
      </c>
      <c r="B11" s="45">
        <v>30961</v>
      </c>
      <c r="C11" s="45" t="s">
        <v>226</v>
      </c>
      <c r="D11" s="63" t="s">
        <v>240</v>
      </c>
      <c r="G11" s="60" t="s">
        <v>100</v>
      </c>
      <c r="H11" s="45">
        <v>20149</v>
      </c>
      <c r="I11" s="45">
        <v>15265</v>
      </c>
      <c r="J11" s="45">
        <v>45775</v>
      </c>
      <c r="K11" s="45">
        <v>30329</v>
      </c>
      <c r="L11" s="45">
        <v>25346</v>
      </c>
      <c r="M11" s="45">
        <v>33530</v>
      </c>
      <c r="N11" s="45">
        <v>31420</v>
      </c>
      <c r="O11" s="45">
        <v>33264</v>
      </c>
      <c r="P11" s="45">
        <v>44308</v>
      </c>
      <c r="Q11" s="45">
        <v>30961</v>
      </c>
      <c r="R11" s="45">
        <v>12764</v>
      </c>
      <c r="S11" s="45">
        <v>19935</v>
      </c>
    </row>
    <row r="12" spans="1:19">
      <c r="A12" s="45">
        <v>189584</v>
      </c>
      <c r="B12" s="45">
        <v>12764</v>
      </c>
      <c r="C12" s="45" t="s">
        <v>226</v>
      </c>
      <c r="D12" s="63" t="s">
        <v>241</v>
      </c>
      <c r="G12" s="61" t="s">
        <v>227</v>
      </c>
      <c r="H12" s="45" t="s">
        <v>229</v>
      </c>
      <c r="I12" s="45" t="s">
        <v>231</v>
      </c>
      <c r="J12" s="45" t="s">
        <v>226</v>
      </c>
      <c r="K12" s="45" t="s">
        <v>229</v>
      </c>
      <c r="L12" s="45" t="s">
        <v>231</v>
      </c>
      <c r="M12" s="45" t="s">
        <v>231</v>
      </c>
      <c r="N12" s="45" t="s">
        <v>226</v>
      </c>
      <c r="O12" s="45" t="s">
        <v>229</v>
      </c>
      <c r="P12" s="45" t="s">
        <v>231</v>
      </c>
      <c r="Q12" s="45" t="s">
        <v>226</v>
      </c>
      <c r="R12" s="45" t="s">
        <v>226</v>
      </c>
      <c r="S12" s="45" t="s">
        <v>242</v>
      </c>
    </row>
    <row r="13" spans="1:19">
      <c r="A13" s="45">
        <v>197065</v>
      </c>
      <c r="B13" s="45">
        <v>19935</v>
      </c>
      <c r="C13" s="45" t="s">
        <v>242</v>
      </c>
      <c r="D13" s="63" t="s">
        <v>243</v>
      </c>
      <c r="G13" s="62" t="s">
        <v>228</v>
      </c>
      <c r="H13" s="63" t="s">
        <v>230</v>
      </c>
      <c r="I13" s="63" t="s">
        <v>232</v>
      </c>
      <c r="J13" s="63" t="s">
        <v>233</v>
      </c>
      <c r="K13" s="63" t="s">
        <v>234</v>
      </c>
      <c r="L13" s="63" t="s">
        <v>235</v>
      </c>
      <c r="M13" s="63" t="s">
        <v>236</v>
      </c>
      <c r="N13" s="63" t="s">
        <v>237</v>
      </c>
      <c r="O13" s="63" t="s">
        <v>238</v>
      </c>
      <c r="P13" s="63" t="s">
        <v>239</v>
      </c>
      <c r="Q13" s="63" t="s">
        <v>240</v>
      </c>
      <c r="R13" s="63" t="s">
        <v>241</v>
      </c>
      <c r="S13" s="63" t="s">
        <v>243</v>
      </c>
    </row>
    <row r="17" spans="3:15">
      <c r="C17" s="60" t="s">
        <v>226</v>
      </c>
      <c r="D17" s="45">
        <v>155777</v>
      </c>
      <c r="E17" s="45">
        <v>98614</v>
      </c>
      <c r="F17" s="45">
        <v>175102</v>
      </c>
      <c r="G17" s="45">
        <v>96567</v>
      </c>
      <c r="H17" s="45">
        <v>83906</v>
      </c>
      <c r="I17" s="45">
        <v>71579</v>
      </c>
      <c r="J17" s="45">
        <v>177862</v>
      </c>
      <c r="K17" s="45">
        <v>74526</v>
      </c>
      <c r="L17" s="45">
        <v>79724</v>
      </c>
      <c r="M17" s="45">
        <v>165987</v>
      </c>
      <c r="N17" s="45">
        <v>189584</v>
      </c>
      <c r="O17" s="45">
        <v>197065</v>
      </c>
    </row>
    <row r="18" spans="3:15">
      <c r="C18" s="60" t="s">
        <v>100</v>
      </c>
      <c r="D18" s="45">
        <v>20149</v>
      </c>
      <c r="E18" s="45">
        <v>15265</v>
      </c>
      <c r="F18" s="45">
        <v>45775</v>
      </c>
      <c r="G18" s="45">
        <v>30329</v>
      </c>
      <c r="H18" s="45">
        <v>25346</v>
      </c>
      <c r="I18" s="45">
        <v>33530</v>
      </c>
      <c r="J18" s="45">
        <v>31420</v>
      </c>
      <c r="K18" s="45">
        <v>33264</v>
      </c>
      <c r="L18" s="45">
        <v>44308</v>
      </c>
      <c r="M18" s="45">
        <v>30961</v>
      </c>
      <c r="N18" s="45">
        <v>12764</v>
      </c>
      <c r="O18" s="45">
        <v>19935</v>
      </c>
    </row>
    <row r="19" spans="3:15">
      <c r="C19" s="61" t="s">
        <v>227</v>
      </c>
      <c r="D19" s="45" t="s">
        <v>229</v>
      </c>
      <c r="E19" s="45" t="s">
        <v>231</v>
      </c>
      <c r="F19" s="45" t="s">
        <v>226</v>
      </c>
      <c r="G19" s="45" t="s">
        <v>229</v>
      </c>
      <c r="H19" s="45" t="s">
        <v>231</v>
      </c>
      <c r="I19" s="45" t="s">
        <v>231</v>
      </c>
      <c r="J19" s="45" t="s">
        <v>226</v>
      </c>
      <c r="K19" s="45" t="s">
        <v>229</v>
      </c>
      <c r="L19" s="45" t="s">
        <v>231</v>
      </c>
      <c r="M19" s="45" t="s">
        <v>226</v>
      </c>
      <c r="N19" s="45" t="s">
        <v>226</v>
      </c>
      <c r="O19" s="45" t="s">
        <v>242</v>
      </c>
    </row>
    <row r="20" spans="3:15">
      <c r="C20" s="62" t="s">
        <v>228</v>
      </c>
      <c r="D20" s="63" t="s">
        <v>230</v>
      </c>
      <c r="E20" s="63" t="s">
        <v>232</v>
      </c>
      <c r="F20" s="63" t="s">
        <v>233</v>
      </c>
      <c r="G20" s="63" t="s">
        <v>234</v>
      </c>
      <c r="H20" s="63" t="s">
        <v>235</v>
      </c>
      <c r="I20" s="63" t="s">
        <v>236</v>
      </c>
      <c r="J20" s="63" t="s">
        <v>237</v>
      </c>
      <c r="K20" s="63" t="s">
        <v>238</v>
      </c>
      <c r="L20" s="63" t="s">
        <v>239</v>
      </c>
      <c r="M20" s="63" t="s">
        <v>240</v>
      </c>
      <c r="N20" s="63" t="s">
        <v>241</v>
      </c>
      <c r="O20" s="63" t="s">
        <v>243</v>
      </c>
    </row>
  </sheetData>
  <conditionalFormatting sqref="C2:C13">
    <cfRule type="expression" dxfId="52" priority="4">
      <formula>$C2=$F$4</formula>
    </cfRule>
  </conditionalFormatting>
  <conditionalFormatting sqref="H5:S5">
    <cfRule type="expression" dxfId="51" priority="3">
      <formula>$C5=$F$4</formula>
    </cfRule>
  </conditionalFormatting>
  <conditionalFormatting sqref="H12:S12">
    <cfRule type="expression" dxfId="50" priority="2">
      <formula>$C12=$F$4</formula>
    </cfRule>
  </conditionalFormatting>
  <conditionalFormatting sqref="D19:O19">
    <cfRule type="expression" dxfId="49" priority="1">
      <formula>$C19=$F$4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56B2-70C8-47B6-834D-8D0F1EAEFEB2}">
  <sheetPr codeName="Sheet111"/>
  <dimension ref="A1:I45"/>
  <sheetViews>
    <sheetView topLeftCell="A2" zoomScale="90" zoomScaleNormal="90" workbookViewId="0">
      <selection activeCell="I12" sqref="I12"/>
    </sheetView>
  </sheetViews>
  <sheetFormatPr defaultRowHeight="14.5"/>
  <cols>
    <col min="1" max="1" width="14.1796875" customWidth="1"/>
    <col min="2" max="2" width="14.81640625" customWidth="1"/>
    <col min="3" max="3" width="12.08984375" customWidth="1"/>
    <col min="4" max="4" width="12.36328125" customWidth="1"/>
    <col min="5" max="5" width="10.453125" customWidth="1"/>
    <col min="6" max="6" width="11.90625" customWidth="1"/>
  </cols>
  <sheetData>
    <row r="1" spans="1:9">
      <c r="A1" s="66" t="s">
        <v>244</v>
      </c>
      <c r="B1" s="67" t="s">
        <v>245</v>
      </c>
      <c r="C1" s="67" t="s">
        <v>99</v>
      </c>
      <c r="D1" s="67" t="s">
        <v>204</v>
      </c>
      <c r="E1" s="67" t="s">
        <v>246</v>
      </c>
      <c r="F1" s="68" t="s">
        <v>100</v>
      </c>
    </row>
    <row r="2" spans="1:9">
      <c r="A2" s="64"/>
      <c r="B2" s="45" t="s">
        <v>247</v>
      </c>
      <c r="C2" s="45" t="s">
        <v>248</v>
      </c>
      <c r="D2" s="45">
        <v>363.54</v>
      </c>
      <c r="E2" s="45">
        <v>-3</v>
      </c>
      <c r="F2" s="65">
        <v>20149</v>
      </c>
    </row>
    <row r="3" spans="1:9">
      <c r="A3" s="64" t="s">
        <v>249</v>
      </c>
      <c r="B3" s="45" t="s">
        <v>250</v>
      </c>
      <c r="C3" s="45" t="s">
        <v>133</v>
      </c>
      <c r="D3" s="45">
        <v>906.15</v>
      </c>
      <c r="E3" s="45">
        <v>40</v>
      </c>
      <c r="F3" s="65">
        <v>15265</v>
      </c>
      <c r="H3">
        <f>COUNTA(Table1[#Headers])</f>
        <v>6</v>
      </c>
    </row>
    <row r="4" spans="1:9">
      <c r="A4" s="64"/>
      <c r="B4" s="45"/>
      <c r="C4" s="45"/>
      <c r="D4" s="45"/>
      <c r="E4" s="45"/>
      <c r="F4" s="65"/>
    </row>
    <row r="5" spans="1:9" ht="21">
      <c r="A5" s="64" t="s">
        <v>251</v>
      </c>
      <c r="B5" s="45" t="s">
        <v>252</v>
      </c>
      <c r="C5" s="45" t="s">
        <v>253</v>
      </c>
      <c r="D5" s="45">
        <v>234.14</v>
      </c>
      <c r="E5" s="45">
        <v>26</v>
      </c>
      <c r="F5" s="65">
        <v>30329</v>
      </c>
      <c r="I5" s="42" t="s">
        <v>310</v>
      </c>
    </row>
    <row r="6" spans="1:9" ht="18.5">
      <c r="A6" s="64" t="s">
        <v>254</v>
      </c>
      <c r="B6" s="45" t="s">
        <v>255</v>
      </c>
      <c r="C6" s="45" t="s">
        <v>106</v>
      </c>
      <c r="D6" s="45">
        <v>903.5</v>
      </c>
      <c r="E6" s="45">
        <v>69</v>
      </c>
      <c r="F6" s="65">
        <v>25346</v>
      </c>
      <c r="I6" s="2"/>
    </row>
    <row r="7" spans="1:9" ht="18.5">
      <c r="A7" s="64" t="s">
        <v>256</v>
      </c>
      <c r="B7" s="45"/>
      <c r="C7" s="45"/>
      <c r="D7" s="45"/>
      <c r="E7" s="45"/>
      <c r="F7" s="65"/>
      <c r="I7" s="2" t="s">
        <v>311</v>
      </c>
    </row>
    <row r="8" spans="1:9" ht="18.5">
      <c r="A8" s="64"/>
      <c r="B8" s="45"/>
      <c r="C8" s="45"/>
      <c r="D8" s="45"/>
      <c r="E8" s="45"/>
      <c r="F8" s="65"/>
      <c r="I8" s="2"/>
    </row>
    <row r="9" spans="1:9" ht="18.5">
      <c r="A9" s="64" t="s">
        <v>257</v>
      </c>
      <c r="B9" s="45" t="s">
        <v>258</v>
      </c>
      <c r="C9" s="45" t="s">
        <v>109</v>
      </c>
      <c r="D9" s="45">
        <v>352.9</v>
      </c>
      <c r="E9" s="45">
        <v>87</v>
      </c>
      <c r="F9" s="65">
        <v>33264</v>
      </c>
      <c r="I9" s="2" t="s">
        <v>312</v>
      </c>
    </row>
    <row r="10" spans="1:9" ht="18.5">
      <c r="A10" s="64" t="s">
        <v>259</v>
      </c>
      <c r="B10" s="45" t="s">
        <v>260</v>
      </c>
      <c r="C10" s="45" t="s">
        <v>248</v>
      </c>
      <c r="D10" s="45">
        <v>549.17999999999995</v>
      </c>
      <c r="E10" s="45">
        <v>31</v>
      </c>
      <c r="F10" s="65">
        <v>44308</v>
      </c>
      <c r="I10" s="2" t="s">
        <v>313</v>
      </c>
    </row>
    <row r="11" spans="1:9" ht="18.5">
      <c r="A11" s="64"/>
      <c r="B11" s="45"/>
      <c r="C11" s="45"/>
      <c r="D11" s="45"/>
      <c r="E11" s="45"/>
      <c r="F11" s="65"/>
      <c r="I11" s="2" t="s">
        <v>314</v>
      </c>
    </row>
    <row r="12" spans="1:9" ht="18.5">
      <c r="A12" s="64" t="s">
        <v>261</v>
      </c>
      <c r="B12" s="45" t="s">
        <v>262</v>
      </c>
      <c r="C12" s="45" t="s">
        <v>253</v>
      </c>
      <c r="D12" s="45">
        <v>222.56</v>
      </c>
      <c r="E12" s="45">
        <v>59</v>
      </c>
      <c r="F12" s="65">
        <v>12764</v>
      </c>
      <c r="I12" s="2" t="s">
        <v>315</v>
      </c>
    </row>
    <row r="13" spans="1:9">
      <c r="A13" s="64" t="s">
        <v>263</v>
      </c>
      <c r="B13" s="45" t="s">
        <v>264</v>
      </c>
      <c r="C13" s="45" t="s">
        <v>133</v>
      </c>
      <c r="D13" s="45">
        <v>969.7</v>
      </c>
      <c r="E13" s="45">
        <v>78</v>
      </c>
      <c r="F13" s="65">
        <v>19935</v>
      </c>
    </row>
    <row r="14" spans="1:9">
      <c r="A14" s="64" t="s">
        <v>265</v>
      </c>
      <c r="B14" s="45" t="s">
        <v>266</v>
      </c>
      <c r="C14" s="45" t="s">
        <v>117</v>
      </c>
      <c r="D14" s="45">
        <v>321.88</v>
      </c>
      <c r="E14" s="45">
        <v>92</v>
      </c>
      <c r="F14" s="65">
        <v>27745.757575757601</v>
      </c>
    </row>
    <row r="15" spans="1:9">
      <c r="A15" s="64"/>
      <c r="B15" s="45"/>
      <c r="C15" s="45"/>
      <c r="D15" s="45"/>
      <c r="E15" s="45"/>
      <c r="F15" s="65"/>
    </row>
    <row r="16" spans="1:9">
      <c r="A16" s="64"/>
      <c r="B16" s="45" t="s">
        <v>267</v>
      </c>
      <c r="C16" s="45"/>
      <c r="D16" s="45">
        <v>340.28</v>
      </c>
      <c r="E16" s="45"/>
      <c r="F16" s="65">
        <v>27486.862470862499</v>
      </c>
    </row>
    <row r="17" spans="1:6">
      <c r="A17" s="64" t="s">
        <v>268</v>
      </c>
      <c r="B17" s="45" t="s">
        <v>269</v>
      </c>
      <c r="C17" s="45" t="s">
        <v>253</v>
      </c>
      <c r="D17" s="45">
        <v>230.28</v>
      </c>
      <c r="E17" s="45">
        <v>-5</v>
      </c>
      <c r="F17" s="65"/>
    </row>
    <row r="18" spans="1:6">
      <c r="A18" s="64"/>
      <c r="B18" s="45"/>
      <c r="C18" s="45"/>
      <c r="D18" s="45"/>
      <c r="E18" s="45"/>
      <c r="F18" s="65"/>
    </row>
    <row r="19" spans="1:6">
      <c r="A19" s="64" t="s">
        <v>270</v>
      </c>
      <c r="B19" s="45" t="s">
        <v>271</v>
      </c>
      <c r="C19" s="45" t="s">
        <v>253</v>
      </c>
      <c r="D19" s="45">
        <v>763.66</v>
      </c>
      <c r="E19" s="45">
        <v>22</v>
      </c>
      <c r="F19" s="65">
        <v>27098.519813519801</v>
      </c>
    </row>
    <row r="20" spans="1:6">
      <c r="A20" s="64" t="s">
        <v>272</v>
      </c>
      <c r="B20" s="45" t="s">
        <v>273</v>
      </c>
      <c r="C20" s="45" t="s">
        <v>133</v>
      </c>
      <c r="D20" s="45">
        <v>368.76</v>
      </c>
      <c r="E20" s="45">
        <v>45</v>
      </c>
      <c r="F20" s="65">
        <v>26969.072261072299</v>
      </c>
    </row>
    <row r="21" spans="1:6">
      <c r="A21" s="64" t="s">
        <v>274</v>
      </c>
      <c r="B21" s="45" t="s">
        <v>275</v>
      </c>
      <c r="C21" s="45" t="s">
        <v>276</v>
      </c>
      <c r="D21" s="45">
        <v>669.92</v>
      </c>
      <c r="E21" s="45">
        <v>87</v>
      </c>
      <c r="F21" s="65">
        <v>26839.624708624699</v>
      </c>
    </row>
    <row r="22" spans="1:6">
      <c r="A22" s="64" t="s">
        <v>277</v>
      </c>
      <c r="B22" s="45" t="s">
        <v>278</v>
      </c>
      <c r="C22" s="45"/>
      <c r="D22" s="45"/>
      <c r="E22" s="45"/>
      <c r="F22" s="65"/>
    </row>
    <row r="23" spans="1:6">
      <c r="A23" s="64" t="s">
        <v>279</v>
      </c>
      <c r="B23" s="45" t="s">
        <v>280</v>
      </c>
      <c r="C23" s="45" t="s">
        <v>117</v>
      </c>
      <c r="D23" s="45">
        <v>137.79</v>
      </c>
      <c r="E23" s="45">
        <v>78</v>
      </c>
      <c r="F23" s="65">
        <v>26580.7296037296</v>
      </c>
    </row>
    <row r="24" spans="1:6">
      <c r="A24" s="64" t="s">
        <v>281</v>
      </c>
      <c r="B24" s="45" t="s">
        <v>282</v>
      </c>
      <c r="C24" s="45" t="s">
        <v>109</v>
      </c>
      <c r="D24" s="45">
        <v>840.84</v>
      </c>
      <c r="E24" s="45">
        <v>39</v>
      </c>
      <c r="F24" s="65">
        <v>26451.282051282102</v>
      </c>
    </row>
    <row r="25" spans="1:6">
      <c r="A25" s="64"/>
      <c r="B25" s="45"/>
      <c r="C25" s="45"/>
      <c r="D25" s="45"/>
      <c r="E25" s="45"/>
      <c r="F25" s="65"/>
    </row>
    <row r="26" spans="1:6">
      <c r="A26" s="64"/>
      <c r="B26" s="45"/>
      <c r="C26" s="45" t="s">
        <v>109</v>
      </c>
      <c r="D26" s="45"/>
      <c r="E26" s="45"/>
      <c r="F26" s="65"/>
    </row>
    <row r="27" spans="1:6">
      <c r="A27" s="64"/>
      <c r="B27" s="45"/>
      <c r="C27" s="45"/>
      <c r="D27" s="45"/>
      <c r="E27" s="45"/>
      <c r="F27" s="65"/>
    </row>
    <row r="28" spans="1:6">
      <c r="A28" s="64" t="s">
        <v>283</v>
      </c>
      <c r="B28" s="45" t="s">
        <v>284</v>
      </c>
      <c r="C28" s="45" t="s">
        <v>276</v>
      </c>
      <c r="D28" s="45">
        <v>784.71</v>
      </c>
      <c r="E28" s="45">
        <v>96</v>
      </c>
      <c r="F28" s="65">
        <v>25933.491841491799</v>
      </c>
    </row>
    <row r="29" spans="1:6">
      <c r="A29" s="64" t="s">
        <v>285</v>
      </c>
      <c r="B29" s="45" t="s">
        <v>286</v>
      </c>
      <c r="C29" s="45" t="s">
        <v>133</v>
      </c>
      <c r="D29" s="45">
        <v>588.75</v>
      </c>
      <c r="E29" s="45">
        <v>51</v>
      </c>
      <c r="F29" s="65">
        <v>25804.044289044301</v>
      </c>
    </row>
    <row r="30" spans="1:6">
      <c r="A30" s="64" t="s">
        <v>287</v>
      </c>
      <c r="B30" s="45" t="s">
        <v>288</v>
      </c>
      <c r="C30" s="45" t="s">
        <v>133</v>
      </c>
      <c r="D30" s="45">
        <v>227.05</v>
      </c>
      <c r="E30" s="45">
        <v>8</v>
      </c>
      <c r="F30" s="65">
        <v>25674.596736596701</v>
      </c>
    </row>
    <row r="31" spans="1:6">
      <c r="A31" s="64" t="s">
        <v>289</v>
      </c>
      <c r="B31" s="45" t="s">
        <v>290</v>
      </c>
      <c r="C31" s="45" t="s">
        <v>276</v>
      </c>
      <c r="D31" s="45">
        <v>944.43</v>
      </c>
      <c r="E31" s="45">
        <v>97</v>
      </c>
      <c r="F31" s="65">
        <v>25545.149184149199</v>
      </c>
    </row>
    <row r="32" spans="1:6">
      <c r="A32" s="64"/>
      <c r="B32" s="45"/>
      <c r="C32" s="45"/>
      <c r="D32" s="45"/>
      <c r="E32" s="45"/>
      <c r="F32" s="65"/>
    </row>
    <row r="33" spans="1:6">
      <c r="A33" s="64" t="s">
        <v>291</v>
      </c>
      <c r="B33" s="45" t="s">
        <v>292</v>
      </c>
      <c r="C33" s="45" t="s">
        <v>109</v>
      </c>
      <c r="D33" s="45">
        <v>763.27</v>
      </c>
      <c r="E33" s="45">
        <v>85</v>
      </c>
      <c r="F33" s="65">
        <v>25286.2540792541</v>
      </c>
    </row>
    <row r="34" spans="1:6">
      <c r="A34" s="64" t="s">
        <v>293</v>
      </c>
      <c r="B34" s="45" t="s">
        <v>294</v>
      </c>
      <c r="C34" s="45" t="s">
        <v>106</v>
      </c>
      <c r="D34" s="45">
        <v>262.69</v>
      </c>
      <c r="E34" s="45">
        <v>38</v>
      </c>
      <c r="F34" s="65">
        <v>25156.8065268065</v>
      </c>
    </row>
    <row r="35" spans="1:6">
      <c r="A35" s="64" t="s">
        <v>295</v>
      </c>
      <c r="B35" s="45" t="s">
        <v>296</v>
      </c>
      <c r="C35" s="45" t="s">
        <v>133</v>
      </c>
      <c r="D35" s="45">
        <v>705.49</v>
      </c>
      <c r="E35" s="45">
        <v>40</v>
      </c>
      <c r="F35" s="65">
        <v>25027.358974358998</v>
      </c>
    </row>
    <row r="36" spans="1:6">
      <c r="A36" s="64"/>
      <c r="B36" s="45"/>
      <c r="C36" s="45"/>
      <c r="D36" s="45"/>
      <c r="E36" s="45"/>
      <c r="F36" s="65"/>
    </row>
    <row r="37" spans="1:6">
      <c r="A37" s="64" t="s">
        <v>297</v>
      </c>
      <c r="B37" s="45" t="s">
        <v>298</v>
      </c>
      <c r="C37" s="45" t="s">
        <v>117</v>
      </c>
      <c r="D37" s="45">
        <v>531.58000000000004</v>
      </c>
      <c r="E37" s="45">
        <v>42</v>
      </c>
      <c r="F37" s="65"/>
    </row>
    <row r="38" spans="1:6">
      <c r="A38" s="64"/>
      <c r="B38" s="45"/>
      <c r="C38" s="45"/>
      <c r="D38" s="45"/>
      <c r="E38" s="45"/>
      <c r="F38" s="65">
        <v>24639.0163170163</v>
      </c>
    </row>
    <row r="39" spans="1:6">
      <c r="A39" s="64"/>
      <c r="B39" s="45"/>
      <c r="C39" s="45"/>
      <c r="D39" s="45"/>
      <c r="E39" s="45"/>
      <c r="F39" s="65">
        <v>24509.568764568801</v>
      </c>
    </row>
    <row r="40" spans="1:6">
      <c r="A40" s="64" t="s">
        <v>299</v>
      </c>
      <c r="B40" s="45" t="s">
        <v>300</v>
      </c>
      <c r="C40" s="45" t="s">
        <v>106</v>
      </c>
      <c r="D40" s="45">
        <v>187.08</v>
      </c>
      <c r="E40" s="45">
        <v>34</v>
      </c>
      <c r="F40" s="65"/>
    </row>
    <row r="41" spans="1:6">
      <c r="A41" s="64" t="s">
        <v>301</v>
      </c>
      <c r="B41" s="45" t="s">
        <v>302</v>
      </c>
      <c r="C41" s="45" t="s">
        <v>117</v>
      </c>
      <c r="D41" s="45">
        <v>843.67</v>
      </c>
      <c r="E41" s="45">
        <v>46</v>
      </c>
      <c r="F41" s="65">
        <v>24250.673659673699</v>
      </c>
    </row>
    <row r="42" spans="1:6">
      <c r="A42" s="64"/>
      <c r="B42" s="45"/>
      <c r="C42" s="45" t="s">
        <v>303</v>
      </c>
      <c r="D42" s="45"/>
      <c r="E42" s="45"/>
      <c r="F42" s="65"/>
    </row>
    <row r="43" spans="1:6">
      <c r="A43" s="64" t="s">
        <v>304</v>
      </c>
      <c r="B43" s="45" t="s">
        <v>305</v>
      </c>
      <c r="C43" s="45" t="s">
        <v>117</v>
      </c>
      <c r="D43" s="45">
        <v>832.86666666666702</v>
      </c>
      <c r="E43" s="45"/>
      <c r="F43" s="65">
        <v>23991.778554778601</v>
      </c>
    </row>
    <row r="44" spans="1:6">
      <c r="A44" s="64" t="s">
        <v>306</v>
      </c>
      <c r="B44" s="45" t="s">
        <v>307</v>
      </c>
      <c r="C44" s="45" t="s">
        <v>106</v>
      </c>
      <c r="D44" s="45">
        <v>988.91166666666697</v>
      </c>
      <c r="E44" s="45"/>
      <c r="F44" s="65"/>
    </row>
    <row r="45" spans="1:6">
      <c r="A45" s="69" t="s">
        <v>308</v>
      </c>
      <c r="B45" s="70" t="s">
        <v>309</v>
      </c>
      <c r="C45" s="70" t="s">
        <v>117</v>
      </c>
      <c r="D45" s="70">
        <v>1144.9566666666699</v>
      </c>
      <c r="E45" s="70"/>
      <c r="F45" s="71">
        <v>23732.883449883499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0E66-FB98-4950-9CB8-A628328CDB82}">
  <sheetPr codeName="Sheet12"/>
  <dimension ref="A1:K25"/>
  <sheetViews>
    <sheetView zoomScale="80" zoomScaleNormal="80" workbookViewId="0">
      <selection activeCell="H17" sqref="H17"/>
    </sheetView>
  </sheetViews>
  <sheetFormatPr defaultRowHeight="14.5"/>
  <cols>
    <col min="1" max="1" width="16.36328125" bestFit="1" customWidth="1"/>
    <col min="3" max="3" width="10.08984375" customWidth="1"/>
    <col min="4" max="4" width="9.26953125" customWidth="1"/>
    <col min="5" max="5" width="11.08984375" customWidth="1"/>
    <col min="7" max="7" width="50.08984375" customWidth="1"/>
    <col min="9" max="9" width="26.26953125" bestFit="1" customWidth="1"/>
    <col min="10" max="10" width="13.6328125" bestFit="1" customWidth="1"/>
    <col min="11" max="11" width="26.453125" bestFit="1" customWidth="1"/>
  </cols>
  <sheetData>
    <row r="1" spans="1:11" ht="15.5">
      <c r="A1" s="35" t="s">
        <v>96</v>
      </c>
      <c r="B1" s="35" t="s">
        <v>97</v>
      </c>
      <c r="C1" s="35" t="s">
        <v>98</v>
      </c>
      <c r="D1" s="36" t="s">
        <v>5</v>
      </c>
      <c r="E1" s="36" t="s">
        <v>99</v>
      </c>
      <c r="F1" s="37" t="s">
        <v>100</v>
      </c>
      <c r="G1" s="36" t="s">
        <v>101</v>
      </c>
      <c r="I1" s="72" t="s">
        <v>316</v>
      </c>
    </row>
    <row r="2" spans="1:11">
      <c r="A2" s="39" t="s">
        <v>103</v>
      </c>
      <c r="B2" s="39" t="s">
        <v>104</v>
      </c>
      <c r="C2" s="39">
        <v>67</v>
      </c>
      <c r="D2" s="39" t="s">
        <v>105</v>
      </c>
      <c r="E2" s="39" t="s">
        <v>106</v>
      </c>
      <c r="F2" s="39">
        <v>2848</v>
      </c>
      <c r="G2" s="40">
        <v>44927</v>
      </c>
      <c r="I2" t="str">
        <f>A2&amp;":"&amp;D2&amp;"=="&amp;E2</f>
        <v>Mary Harris:West==Clothing</v>
      </c>
      <c r="K2" t="str">
        <f>A2&amp;" " &amp;D2&amp;"|"&amp;F2</f>
        <v>Mary Harris West|2848</v>
      </c>
    </row>
    <row r="3" spans="1:11">
      <c r="A3" s="39" t="s">
        <v>108</v>
      </c>
      <c r="B3" s="39" t="s">
        <v>104</v>
      </c>
      <c r="C3" s="39">
        <v>28</v>
      </c>
      <c r="D3" s="39" t="s">
        <v>105</v>
      </c>
      <c r="E3" s="39" t="s">
        <v>109</v>
      </c>
      <c r="F3" s="39">
        <v>1742</v>
      </c>
      <c r="G3" s="40">
        <v>44959</v>
      </c>
      <c r="I3" t="str">
        <f t="shared" ref="I3:I25" si="0">A3&amp;":"&amp;D3&amp;"=="&amp;E3</f>
        <v>Pamela Hans:West==Furniture</v>
      </c>
      <c r="K3" t="str">
        <f t="shared" ref="K3:K25" si="1">A3&amp;" " &amp;D3&amp;"|"&amp;F3</f>
        <v>Pamela Hans West|1742</v>
      </c>
    </row>
    <row r="4" spans="1:11">
      <c r="A4" s="39" t="s">
        <v>110</v>
      </c>
      <c r="B4" s="39" t="s">
        <v>111</v>
      </c>
      <c r="C4" s="39">
        <v>21</v>
      </c>
      <c r="D4" s="39" t="s">
        <v>112</v>
      </c>
      <c r="E4" s="39" t="s">
        <v>109</v>
      </c>
      <c r="F4" s="39">
        <v>6968</v>
      </c>
      <c r="G4" s="40">
        <v>44991</v>
      </c>
      <c r="I4" t="str">
        <f t="shared" si="0"/>
        <v>Peter Herman:East==Furniture</v>
      </c>
      <c r="K4" t="str">
        <f t="shared" si="1"/>
        <v>Peter Herman East|6968</v>
      </c>
    </row>
    <row r="5" spans="1:11">
      <c r="A5" s="39" t="s">
        <v>114</v>
      </c>
      <c r="B5" s="39" t="s">
        <v>111</v>
      </c>
      <c r="C5" s="39">
        <v>20</v>
      </c>
      <c r="D5" s="39" t="s">
        <v>112</v>
      </c>
      <c r="E5" s="39" t="s">
        <v>106</v>
      </c>
      <c r="F5" s="39">
        <v>2114</v>
      </c>
      <c r="G5" s="40">
        <v>45023</v>
      </c>
      <c r="I5" t="str">
        <f t="shared" si="0"/>
        <v>Jose Perkins:East==Clothing</v>
      </c>
      <c r="K5" t="str">
        <f t="shared" si="1"/>
        <v>Jose Perkins East|2114</v>
      </c>
    </row>
    <row r="6" spans="1:11">
      <c r="A6" s="39" t="s">
        <v>116</v>
      </c>
      <c r="B6" s="39" t="s">
        <v>104</v>
      </c>
      <c r="C6" s="39">
        <v>66</v>
      </c>
      <c r="D6" s="39" t="s">
        <v>112</v>
      </c>
      <c r="E6" s="39" t="s">
        <v>117</v>
      </c>
      <c r="F6" s="39">
        <v>7917</v>
      </c>
      <c r="G6" s="40">
        <v>45055</v>
      </c>
      <c r="I6" t="str">
        <f t="shared" si="0"/>
        <v>Minnie Marquis:East==Stationery</v>
      </c>
      <c r="K6" t="str">
        <f t="shared" si="1"/>
        <v>Minnie Marquis East|7917</v>
      </c>
    </row>
    <row r="7" spans="1:11">
      <c r="A7" s="39" t="s">
        <v>118</v>
      </c>
      <c r="B7" s="39" t="s">
        <v>119</v>
      </c>
      <c r="C7" s="39">
        <v>53</v>
      </c>
      <c r="D7" s="39" t="s">
        <v>120</v>
      </c>
      <c r="E7" s="39" t="s">
        <v>106</v>
      </c>
      <c r="F7" s="39">
        <v>3865</v>
      </c>
      <c r="G7" s="40">
        <v>45087</v>
      </c>
      <c r="I7" t="str">
        <f t="shared" si="0"/>
        <v>Ellen Wild:South==Clothing</v>
      </c>
      <c r="K7" t="str">
        <f t="shared" si="1"/>
        <v>Ellen Wild South|3865</v>
      </c>
    </row>
    <row r="8" spans="1:11">
      <c r="A8" s="39" t="s">
        <v>121</v>
      </c>
      <c r="B8" s="39" t="s">
        <v>104</v>
      </c>
      <c r="C8" s="39">
        <v>28</v>
      </c>
      <c r="D8" s="39" t="s">
        <v>120</v>
      </c>
      <c r="E8" s="39" t="s">
        <v>122</v>
      </c>
      <c r="F8" s="39">
        <v>4083</v>
      </c>
      <c r="G8" s="40">
        <v>45119</v>
      </c>
      <c r="I8" t="str">
        <f t="shared" si="0"/>
        <v>Sarah Brown:South==Food</v>
      </c>
      <c r="K8" t="str">
        <f t="shared" si="1"/>
        <v>Sarah Brown South|4083</v>
      </c>
    </row>
    <row r="9" spans="1:11">
      <c r="A9" s="39" t="s">
        <v>123</v>
      </c>
      <c r="B9" s="39" t="s">
        <v>104</v>
      </c>
      <c r="C9" s="39">
        <v>32</v>
      </c>
      <c r="D9" s="39" t="s">
        <v>105</v>
      </c>
      <c r="E9" s="39" t="s">
        <v>122</v>
      </c>
      <c r="F9" s="39">
        <v>6836</v>
      </c>
      <c r="G9" s="40">
        <v>45151</v>
      </c>
      <c r="I9" t="str">
        <f t="shared" si="0"/>
        <v>Olivia Brown:West==Food</v>
      </c>
      <c r="K9" t="str">
        <f t="shared" si="1"/>
        <v>Olivia Brown West|6836</v>
      </c>
    </row>
    <row r="10" spans="1:11">
      <c r="A10" s="39" t="s">
        <v>124</v>
      </c>
      <c r="B10" s="39" t="s">
        <v>111</v>
      </c>
      <c r="C10" s="39">
        <v>69</v>
      </c>
      <c r="D10" s="39" t="s">
        <v>105</v>
      </c>
      <c r="E10" s="39" t="s">
        <v>122</v>
      </c>
      <c r="F10" s="39">
        <v>9470</v>
      </c>
      <c r="G10" s="40">
        <v>45183</v>
      </c>
      <c r="I10" t="str">
        <f t="shared" si="0"/>
        <v>Michael Smith:West==Food</v>
      </c>
      <c r="K10" t="str">
        <f t="shared" si="1"/>
        <v>Michael Smith West|9470</v>
      </c>
    </row>
    <row r="11" spans="1:11">
      <c r="A11" s="39" t="s">
        <v>125</v>
      </c>
      <c r="B11" s="39" t="s">
        <v>104</v>
      </c>
      <c r="C11" s="39">
        <v>60</v>
      </c>
      <c r="D11" s="39" t="s">
        <v>105</v>
      </c>
      <c r="E11" s="39" t="s">
        <v>106</v>
      </c>
      <c r="F11" s="39">
        <v>7559</v>
      </c>
      <c r="G11" s="40">
        <v>45215</v>
      </c>
      <c r="I11" t="str">
        <f t="shared" si="0"/>
        <v>Ashley Lopez:West==Clothing</v>
      </c>
      <c r="K11" t="str">
        <f t="shared" si="1"/>
        <v>Ashley Lopez West|7559</v>
      </c>
    </row>
    <row r="12" spans="1:11">
      <c r="A12" s="39" t="s">
        <v>126</v>
      </c>
      <c r="B12" s="39" t="s">
        <v>104</v>
      </c>
      <c r="C12" s="39">
        <v>36</v>
      </c>
      <c r="D12" s="39" t="s">
        <v>120</v>
      </c>
      <c r="E12" s="39" t="s">
        <v>117</v>
      </c>
      <c r="F12" s="39">
        <v>6540</v>
      </c>
      <c r="G12" s="40">
        <v>45247</v>
      </c>
      <c r="I12" t="str">
        <f t="shared" si="0"/>
        <v>mily Clark:South==Stationery</v>
      </c>
      <c r="K12" t="str">
        <f t="shared" si="1"/>
        <v>mily Clark South|6540</v>
      </c>
    </row>
    <row r="13" spans="1:11">
      <c r="A13" s="39" t="s">
        <v>127</v>
      </c>
      <c r="B13" s="39" t="s">
        <v>104</v>
      </c>
      <c r="C13" s="39">
        <v>29</v>
      </c>
      <c r="D13" s="39" t="s">
        <v>105</v>
      </c>
      <c r="E13" s="39" t="s">
        <v>106</v>
      </c>
      <c r="F13" s="39">
        <v>1465</v>
      </c>
      <c r="G13" s="40">
        <v>45279</v>
      </c>
      <c r="I13" t="str">
        <f t="shared" si="0"/>
        <v>Hannah Wilson:West==Clothing</v>
      </c>
      <c r="K13" t="str">
        <f t="shared" si="1"/>
        <v>Hannah Wilson West|1465</v>
      </c>
    </row>
    <row r="14" spans="1:11">
      <c r="A14" s="39" t="s">
        <v>128</v>
      </c>
      <c r="B14" s="39" t="s">
        <v>104</v>
      </c>
      <c r="C14" s="39">
        <v>67</v>
      </c>
      <c r="D14" s="39" t="s">
        <v>129</v>
      </c>
      <c r="E14" s="39" t="s">
        <v>106</v>
      </c>
      <c r="F14" s="39">
        <v>9634</v>
      </c>
      <c r="G14" s="40">
        <v>45311</v>
      </c>
      <c r="I14" t="str">
        <f t="shared" si="0"/>
        <v>Haley Perez:North==Clothing</v>
      </c>
      <c r="K14" t="str">
        <f t="shared" si="1"/>
        <v>Haley Perez North|9634</v>
      </c>
    </row>
    <row r="15" spans="1:11">
      <c r="A15" s="39" t="s">
        <v>130</v>
      </c>
      <c r="B15" s="39" t="s">
        <v>111</v>
      </c>
      <c r="C15" s="39">
        <v>25</v>
      </c>
      <c r="D15" s="39" t="s">
        <v>105</v>
      </c>
      <c r="E15" s="39" t="s">
        <v>122</v>
      </c>
      <c r="F15" s="39">
        <v>6354</v>
      </c>
      <c r="G15" s="40">
        <v>45343</v>
      </c>
      <c r="I15" t="str">
        <f t="shared" si="0"/>
        <v>Samuel Timothy:West==Food</v>
      </c>
      <c r="K15" t="str">
        <f t="shared" si="1"/>
        <v>Samuel Timothy West|6354</v>
      </c>
    </row>
    <row r="16" spans="1:11">
      <c r="A16" s="39" t="s">
        <v>131</v>
      </c>
      <c r="B16" s="39" t="s">
        <v>111</v>
      </c>
      <c r="C16" s="39">
        <v>24</v>
      </c>
      <c r="D16" s="39" t="s">
        <v>120</v>
      </c>
      <c r="E16" s="39" t="s">
        <v>117</v>
      </c>
      <c r="F16" s="39">
        <v>5255</v>
      </c>
      <c r="G16" s="40">
        <v>45375</v>
      </c>
      <c r="I16" t="str">
        <f t="shared" si="0"/>
        <v>Matthew Lewis:South==Stationery</v>
      </c>
      <c r="K16" t="str">
        <f t="shared" si="1"/>
        <v>Matthew Lewis South|5255</v>
      </c>
    </row>
    <row r="17" spans="1:11">
      <c r="A17" s="39" t="s">
        <v>132</v>
      </c>
      <c r="B17" s="39" t="s">
        <v>111</v>
      </c>
      <c r="C17" s="39">
        <v>65</v>
      </c>
      <c r="D17" s="39" t="s">
        <v>120</v>
      </c>
      <c r="E17" s="39" t="s">
        <v>133</v>
      </c>
      <c r="F17" s="39">
        <v>1806</v>
      </c>
      <c r="G17" s="40">
        <v>45407</v>
      </c>
      <c r="I17" t="str">
        <f t="shared" si="0"/>
        <v>Ryan Harris:South==Electronics</v>
      </c>
      <c r="K17" t="str">
        <f t="shared" si="1"/>
        <v>Ryan Harris South|1806</v>
      </c>
    </row>
    <row r="18" spans="1:11">
      <c r="A18" s="39" t="s">
        <v>134</v>
      </c>
      <c r="B18" s="39" t="s">
        <v>119</v>
      </c>
      <c r="C18" s="39">
        <v>42</v>
      </c>
      <c r="D18" s="39" t="s">
        <v>120</v>
      </c>
      <c r="E18" s="39" t="s">
        <v>133</v>
      </c>
      <c r="F18" s="39">
        <v>8843</v>
      </c>
      <c r="G18" s="40">
        <v>45439</v>
      </c>
      <c r="I18" t="str">
        <f t="shared" si="0"/>
        <v>Alexis Flores:South==Electronics</v>
      </c>
      <c r="K18" t="str">
        <f t="shared" si="1"/>
        <v>Alexis Flores South|8843</v>
      </c>
    </row>
    <row r="19" spans="1:11">
      <c r="A19" s="39" t="s">
        <v>135</v>
      </c>
      <c r="B19" s="39" t="s">
        <v>104</v>
      </c>
      <c r="C19" s="39">
        <v>46</v>
      </c>
      <c r="D19" s="39" t="s">
        <v>105</v>
      </c>
      <c r="E19" s="39" t="s">
        <v>133</v>
      </c>
      <c r="F19" s="39">
        <v>1248</v>
      </c>
      <c r="G19" s="40">
        <v>45471</v>
      </c>
      <c r="I19" t="str">
        <f t="shared" si="0"/>
        <v>Alyssa Green:West==Electronics</v>
      </c>
      <c r="K19" t="str">
        <f t="shared" si="1"/>
        <v>Alyssa Green West|1248</v>
      </c>
    </row>
    <row r="20" spans="1:11">
      <c r="A20" s="39" t="s">
        <v>136</v>
      </c>
      <c r="B20" s="39" t="s">
        <v>111</v>
      </c>
      <c r="C20" s="39">
        <v>24</v>
      </c>
      <c r="D20" s="39" t="s">
        <v>120</v>
      </c>
      <c r="E20" s="39" t="s">
        <v>106</v>
      </c>
      <c r="F20" s="39">
        <v>9259</v>
      </c>
      <c r="G20" s="40">
        <v>45503</v>
      </c>
      <c r="I20" t="str">
        <f t="shared" si="0"/>
        <v>James Carter:South==Clothing</v>
      </c>
      <c r="K20" t="str">
        <f t="shared" si="1"/>
        <v>James Carter South|9259</v>
      </c>
    </row>
    <row r="21" spans="1:11">
      <c r="A21" s="39" t="s">
        <v>137</v>
      </c>
      <c r="B21" s="39" t="s">
        <v>111</v>
      </c>
      <c r="C21" s="39">
        <v>23</v>
      </c>
      <c r="D21" s="39" t="s">
        <v>120</v>
      </c>
      <c r="E21" s="39" t="s">
        <v>122</v>
      </c>
      <c r="F21" s="39">
        <v>6819</v>
      </c>
      <c r="G21" s="40">
        <v>45535</v>
      </c>
      <c r="I21" t="str">
        <f t="shared" si="0"/>
        <v>Benjamin Hall:South==Food</v>
      </c>
      <c r="K21" t="str">
        <f t="shared" si="1"/>
        <v>Benjamin Hall South|6819</v>
      </c>
    </row>
    <row r="22" spans="1:11">
      <c r="A22" s="39" t="s">
        <v>138</v>
      </c>
      <c r="B22" s="39" t="s">
        <v>111</v>
      </c>
      <c r="C22" s="39">
        <v>52</v>
      </c>
      <c r="D22" s="39" t="s">
        <v>105</v>
      </c>
      <c r="E22" s="39" t="s">
        <v>109</v>
      </c>
      <c r="F22" s="39">
        <v>5387</v>
      </c>
      <c r="G22" s="40">
        <v>45567</v>
      </c>
      <c r="I22" t="str">
        <f t="shared" si="0"/>
        <v>Nicholas Scott:West==Furniture</v>
      </c>
      <c r="K22" t="str">
        <f t="shared" si="1"/>
        <v>Nicholas Scott West|5387</v>
      </c>
    </row>
    <row r="23" spans="1:11">
      <c r="A23" s="39" t="s">
        <v>139</v>
      </c>
      <c r="B23" s="39" t="s">
        <v>111</v>
      </c>
      <c r="C23" s="39">
        <v>44</v>
      </c>
      <c r="D23" s="39" t="s">
        <v>105</v>
      </c>
      <c r="E23" s="39" t="s">
        <v>133</v>
      </c>
      <c r="F23" s="39">
        <v>1184</v>
      </c>
      <c r="G23" s="40">
        <v>45599</v>
      </c>
      <c r="I23" t="str">
        <f t="shared" si="0"/>
        <v>Daniel Baker:West==Electronics</v>
      </c>
      <c r="K23" t="str">
        <f t="shared" si="1"/>
        <v>Daniel Baker West|1184</v>
      </c>
    </row>
    <row r="24" spans="1:11">
      <c r="A24" s="39" t="s">
        <v>317</v>
      </c>
      <c r="B24" s="39" t="s">
        <v>104</v>
      </c>
      <c r="C24" s="39">
        <v>42</v>
      </c>
      <c r="D24" s="39" t="s">
        <v>105</v>
      </c>
      <c r="E24" s="39" t="s">
        <v>109</v>
      </c>
      <c r="F24" s="39">
        <v>3641</v>
      </c>
      <c r="G24" s="40">
        <v>45631</v>
      </c>
      <c r="I24" t="str">
        <f t="shared" si="0"/>
        <v>Julia Robert:West==Furniture</v>
      </c>
      <c r="K24" t="str">
        <f t="shared" si="1"/>
        <v>Julia Robert West|3641</v>
      </c>
    </row>
    <row r="25" spans="1:11">
      <c r="A25" s="39" t="s">
        <v>318</v>
      </c>
      <c r="B25" s="39" t="s">
        <v>111</v>
      </c>
      <c r="C25" s="39">
        <v>51</v>
      </c>
      <c r="D25" s="39" t="s">
        <v>105</v>
      </c>
      <c r="E25" s="39" t="s">
        <v>117</v>
      </c>
      <c r="F25" s="39">
        <v>1516</v>
      </c>
      <c r="G25" s="40">
        <v>45663</v>
      </c>
      <c r="I25" t="str">
        <f t="shared" si="0"/>
        <v>Brandon Campbell:West==Stationery</v>
      </c>
      <c r="K25" t="str">
        <f t="shared" si="1"/>
        <v>Brandon Campbell West|1516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C772-F7C2-49C5-884B-09F8C21508E5}">
  <sheetPr codeName="Sheet13"/>
  <dimension ref="A1:K13"/>
  <sheetViews>
    <sheetView topLeftCell="C1" workbookViewId="0">
      <selection activeCell="L6" sqref="L6"/>
    </sheetView>
  </sheetViews>
  <sheetFormatPr defaultRowHeight="14.5"/>
  <cols>
    <col min="2" max="2" width="15.08984375" customWidth="1"/>
    <col min="3" max="3" width="12.7265625" customWidth="1"/>
    <col min="4" max="4" width="14" customWidth="1"/>
    <col min="5" max="5" width="18.81640625" customWidth="1"/>
    <col min="6" max="6" width="19.7265625" customWidth="1"/>
    <col min="7" max="8" width="11" customWidth="1"/>
    <col min="9" max="9" width="14" customWidth="1"/>
  </cols>
  <sheetData>
    <row r="1" spans="1:11" ht="15.5">
      <c r="A1" t="s">
        <v>319</v>
      </c>
      <c r="B1" t="s">
        <v>320</v>
      </c>
      <c r="C1" t="s">
        <v>226</v>
      </c>
      <c r="D1" t="s">
        <v>100</v>
      </c>
      <c r="E1" t="s">
        <v>321</v>
      </c>
      <c r="F1" t="s">
        <v>228</v>
      </c>
      <c r="G1" s="73" t="s">
        <v>322</v>
      </c>
      <c r="H1" s="73" t="s">
        <v>323</v>
      </c>
      <c r="I1" s="73" t="s">
        <v>324</v>
      </c>
      <c r="J1" s="73" t="s">
        <v>337</v>
      </c>
    </row>
    <row r="2" spans="1:11">
      <c r="A2">
        <v>2</v>
      </c>
      <c r="B2" t="s">
        <v>325</v>
      </c>
      <c r="C2">
        <v>155777</v>
      </c>
      <c r="D2">
        <v>20149</v>
      </c>
      <c r="E2" t="s">
        <v>229</v>
      </c>
      <c r="F2" t="s">
        <v>230</v>
      </c>
      <c r="G2" t="s">
        <v>325</v>
      </c>
      <c r="H2">
        <v>155777</v>
      </c>
      <c r="I2" t="s">
        <v>229</v>
      </c>
      <c r="J2">
        <v>155777</v>
      </c>
      <c r="K2">
        <v>155777</v>
      </c>
    </row>
    <row r="3" spans="1:11">
      <c r="A3">
        <v>3</v>
      </c>
      <c r="B3" t="s">
        <v>326</v>
      </c>
      <c r="C3">
        <v>98614</v>
      </c>
      <c r="D3">
        <v>15265</v>
      </c>
      <c r="E3" t="s">
        <v>231</v>
      </c>
      <c r="F3" t="s">
        <v>232</v>
      </c>
      <c r="G3" t="s">
        <v>326</v>
      </c>
      <c r="H3">
        <v>98614</v>
      </c>
      <c r="I3" t="s">
        <v>231</v>
      </c>
      <c r="J3">
        <v>98614</v>
      </c>
      <c r="K3">
        <v>98614</v>
      </c>
    </row>
    <row r="4" spans="1:11">
      <c r="A4">
        <v>4</v>
      </c>
      <c r="B4" t="s">
        <v>327</v>
      </c>
      <c r="C4">
        <v>175102</v>
      </c>
      <c r="D4">
        <v>45775</v>
      </c>
      <c r="E4" t="s">
        <v>226</v>
      </c>
      <c r="F4" t="s">
        <v>233</v>
      </c>
      <c r="G4" t="s">
        <v>327</v>
      </c>
      <c r="H4">
        <v>175102</v>
      </c>
      <c r="I4" t="s">
        <v>226</v>
      </c>
      <c r="J4">
        <v>175102</v>
      </c>
      <c r="K4">
        <v>175102</v>
      </c>
    </row>
    <row r="5" spans="1:11">
      <c r="A5">
        <v>5</v>
      </c>
      <c r="B5" t="s">
        <v>328</v>
      </c>
      <c r="C5">
        <v>96567</v>
      </c>
      <c r="D5">
        <v>30329</v>
      </c>
      <c r="E5" t="s">
        <v>229</v>
      </c>
      <c r="F5" t="s">
        <v>234</v>
      </c>
      <c r="G5" t="s">
        <v>328</v>
      </c>
      <c r="H5">
        <v>96567</v>
      </c>
      <c r="I5" t="s">
        <v>229</v>
      </c>
      <c r="J5">
        <v>96567</v>
      </c>
      <c r="K5">
        <v>96567</v>
      </c>
    </row>
    <row r="6" spans="1:11">
      <c r="A6">
        <v>6</v>
      </c>
      <c r="B6" t="s">
        <v>329</v>
      </c>
      <c r="C6">
        <v>83906</v>
      </c>
      <c r="D6">
        <v>25346</v>
      </c>
      <c r="E6" t="s">
        <v>231</v>
      </c>
      <c r="F6" t="s">
        <v>235</v>
      </c>
      <c r="G6" t="s">
        <v>329</v>
      </c>
      <c r="H6">
        <v>83906</v>
      </c>
      <c r="I6" t="s">
        <v>231</v>
      </c>
      <c r="J6">
        <v>83906</v>
      </c>
      <c r="K6">
        <v>83906</v>
      </c>
    </row>
    <row r="7" spans="1:11">
      <c r="A7">
        <v>7</v>
      </c>
      <c r="B7" t="s">
        <v>330</v>
      </c>
      <c r="C7">
        <v>71579</v>
      </c>
      <c r="D7">
        <v>33530</v>
      </c>
      <c r="E7" t="s">
        <v>231</v>
      </c>
      <c r="F7" t="s">
        <v>236</v>
      </c>
      <c r="G7" t="s">
        <v>330</v>
      </c>
      <c r="H7">
        <v>71579</v>
      </c>
      <c r="I7" t="s">
        <v>231</v>
      </c>
      <c r="J7">
        <v>71579</v>
      </c>
      <c r="K7">
        <v>71579</v>
      </c>
    </row>
    <row r="8" spans="1:11">
      <c r="A8">
        <v>8</v>
      </c>
      <c r="B8" t="s">
        <v>331</v>
      </c>
      <c r="C8">
        <v>177862</v>
      </c>
      <c r="D8">
        <v>31420</v>
      </c>
      <c r="E8" t="s">
        <v>226</v>
      </c>
      <c r="F8" t="s">
        <v>237</v>
      </c>
      <c r="G8" t="s">
        <v>331</v>
      </c>
      <c r="H8">
        <v>177862</v>
      </c>
      <c r="I8" t="s">
        <v>226</v>
      </c>
      <c r="J8">
        <v>177862</v>
      </c>
      <c r="K8">
        <v>177862</v>
      </c>
    </row>
    <row r="9" spans="1:11">
      <c r="A9">
        <v>9</v>
      </c>
      <c r="B9" t="s">
        <v>332</v>
      </c>
      <c r="C9">
        <v>74526</v>
      </c>
      <c r="D9">
        <v>33264</v>
      </c>
      <c r="E9" t="s">
        <v>229</v>
      </c>
      <c r="F9" t="s">
        <v>238</v>
      </c>
      <c r="G9" t="s">
        <v>332</v>
      </c>
      <c r="H9">
        <v>74526</v>
      </c>
      <c r="I9" t="s">
        <v>229</v>
      </c>
      <c r="J9">
        <v>74526</v>
      </c>
      <c r="K9">
        <v>74526</v>
      </c>
    </row>
    <row r="10" spans="1:11">
      <c r="A10">
        <v>10</v>
      </c>
      <c r="B10" t="s">
        <v>333</v>
      </c>
      <c r="C10">
        <v>79724</v>
      </c>
      <c r="D10">
        <v>44308</v>
      </c>
      <c r="E10" t="s">
        <v>231</v>
      </c>
      <c r="F10" t="s">
        <v>239</v>
      </c>
      <c r="G10" t="s">
        <v>333</v>
      </c>
      <c r="H10">
        <v>79724</v>
      </c>
      <c r="I10" t="s">
        <v>231</v>
      </c>
      <c r="J10">
        <v>79724</v>
      </c>
      <c r="K10">
        <v>79724</v>
      </c>
    </row>
    <row r="11" spans="1:11">
      <c r="A11">
        <v>11</v>
      </c>
      <c r="B11" t="s">
        <v>334</v>
      </c>
      <c r="C11">
        <v>165987</v>
      </c>
      <c r="D11">
        <v>30961</v>
      </c>
      <c r="E11" t="s">
        <v>226</v>
      </c>
      <c r="F11" t="s">
        <v>240</v>
      </c>
      <c r="G11" t="s">
        <v>334</v>
      </c>
      <c r="H11">
        <v>165987</v>
      </c>
      <c r="I11" t="s">
        <v>226</v>
      </c>
      <c r="J11">
        <v>165987</v>
      </c>
      <c r="K11">
        <v>165987</v>
      </c>
    </row>
    <row r="12" spans="1:11">
      <c r="A12">
        <v>12</v>
      </c>
      <c r="B12" t="s">
        <v>335</v>
      </c>
      <c r="C12">
        <v>189584</v>
      </c>
      <c r="D12">
        <v>12764</v>
      </c>
      <c r="E12" t="s">
        <v>226</v>
      </c>
      <c r="F12" t="s">
        <v>241</v>
      </c>
      <c r="G12" t="s">
        <v>335</v>
      </c>
      <c r="H12">
        <v>189584</v>
      </c>
      <c r="I12" t="s">
        <v>226</v>
      </c>
      <c r="J12">
        <v>189584</v>
      </c>
      <c r="K12">
        <v>189584</v>
      </c>
    </row>
    <row r="13" spans="1:11">
      <c r="A13">
        <v>13</v>
      </c>
      <c r="B13" t="s">
        <v>336</v>
      </c>
      <c r="C13">
        <v>197065</v>
      </c>
      <c r="D13">
        <v>19935</v>
      </c>
      <c r="E13" t="s">
        <v>242</v>
      </c>
      <c r="F13" t="s">
        <v>243</v>
      </c>
      <c r="G13" t="s">
        <v>336</v>
      </c>
      <c r="H13">
        <v>197065</v>
      </c>
      <c r="I13" t="s">
        <v>242</v>
      </c>
      <c r="J13">
        <v>197065</v>
      </c>
      <c r="K13">
        <v>197065</v>
      </c>
    </row>
  </sheetData>
  <phoneticPr fontId="2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5698-8FD6-4C80-93F7-038583EEFC47}">
  <sheetPr codeName="Sheet14"/>
  <dimension ref="A1:E21"/>
  <sheetViews>
    <sheetView workbookViewId="0">
      <selection sqref="A1:E8"/>
    </sheetView>
  </sheetViews>
  <sheetFormatPr defaultRowHeight="14.5"/>
  <cols>
    <col min="1" max="1" width="20.1796875" customWidth="1"/>
    <col min="2" max="2" width="13.7265625" customWidth="1"/>
    <col min="3" max="3" width="12" customWidth="1"/>
    <col min="4" max="4" width="13.453125" customWidth="1"/>
    <col min="5" max="5" width="11.36328125" customWidth="1"/>
  </cols>
  <sheetData>
    <row r="1" spans="1:5">
      <c r="A1" s="74" t="s">
        <v>338</v>
      </c>
      <c r="B1" s="74" t="s">
        <v>339</v>
      </c>
      <c r="C1" s="74" t="s">
        <v>340</v>
      </c>
      <c r="D1" s="75" t="s">
        <v>341</v>
      </c>
      <c r="E1" s="74" t="s">
        <v>342</v>
      </c>
    </row>
    <row r="2" spans="1:5">
      <c r="A2" s="76" t="s">
        <v>343</v>
      </c>
      <c r="B2" s="76" t="s">
        <v>344</v>
      </c>
      <c r="C2" s="76" t="s">
        <v>345</v>
      </c>
      <c r="D2" s="76" t="s">
        <v>370</v>
      </c>
      <c r="E2" s="77">
        <v>100</v>
      </c>
    </row>
    <row r="3" spans="1:5">
      <c r="A3" s="76" t="s">
        <v>346</v>
      </c>
      <c r="B3" s="76" t="s">
        <v>344</v>
      </c>
      <c r="C3" s="76" t="s">
        <v>347</v>
      </c>
      <c r="D3" s="76" t="s">
        <v>348</v>
      </c>
      <c r="E3" s="77">
        <v>500</v>
      </c>
    </row>
    <row r="4" spans="1:5">
      <c r="A4" s="76" t="s">
        <v>349</v>
      </c>
      <c r="B4" s="76" t="s">
        <v>350</v>
      </c>
      <c r="C4" s="76" t="s">
        <v>347</v>
      </c>
      <c r="D4" s="76" t="s">
        <v>348</v>
      </c>
      <c r="E4" s="77">
        <v>500</v>
      </c>
    </row>
    <row r="5" spans="1:5">
      <c r="A5" s="76" t="s">
        <v>351</v>
      </c>
      <c r="B5" s="76" t="s">
        <v>344</v>
      </c>
      <c r="C5" s="76" t="s">
        <v>347</v>
      </c>
      <c r="D5" s="76" t="s">
        <v>352</v>
      </c>
      <c r="E5" s="77">
        <v>250</v>
      </c>
    </row>
    <row r="6" spans="1:5">
      <c r="A6" s="76" t="s">
        <v>353</v>
      </c>
      <c r="B6" s="76" t="s">
        <v>371</v>
      </c>
      <c r="C6" s="76" t="s">
        <v>347</v>
      </c>
      <c r="D6" s="76" t="s">
        <v>352</v>
      </c>
      <c r="E6" s="77">
        <v>250</v>
      </c>
    </row>
    <row r="7" spans="1:5">
      <c r="A7" s="76" t="s">
        <v>354</v>
      </c>
      <c r="B7" s="76" t="s">
        <v>371</v>
      </c>
      <c r="C7" s="76" t="s">
        <v>347</v>
      </c>
      <c r="D7" s="76" t="s">
        <v>370</v>
      </c>
      <c r="E7" s="77">
        <v>100</v>
      </c>
    </row>
    <row r="8" spans="1:5">
      <c r="A8" s="76" t="s">
        <v>355</v>
      </c>
      <c r="B8" s="76" t="s">
        <v>356</v>
      </c>
      <c r="C8" s="76" t="s">
        <v>347</v>
      </c>
      <c r="D8" s="76" t="s">
        <v>370</v>
      </c>
      <c r="E8" s="77">
        <v>100</v>
      </c>
    </row>
    <row r="9" spans="1:5">
      <c r="A9" s="76" t="s">
        <v>357</v>
      </c>
      <c r="B9" s="76" t="s">
        <v>154</v>
      </c>
      <c r="C9" s="76" t="s">
        <v>345</v>
      </c>
      <c r="D9" s="76" t="s">
        <v>348</v>
      </c>
      <c r="E9" s="77">
        <v>500</v>
      </c>
    </row>
    <row r="10" spans="1:5">
      <c r="A10" s="76" t="s">
        <v>358</v>
      </c>
      <c r="B10" s="76" t="s">
        <v>154</v>
      </c>
      <c r="C10" s="76" t="s">
        <v>347</v>
      </c>
      <c r="D10" s="76" t="s">
        <v>352</v>
      </c>
      <c r="E10" s="77">
        <v>250</v>
      </c>
    </row>
    <row r="11" spans="1:5">
      <c r="A11" s="76" t="s">
        <v>359</v>
      </c>
      <c r="B11" s="76" t="s">
        <v>154</v>
      </c>
      <c r="C11" s="76" t="s">
        <v>345</v>
      </c>
      <c r="D11" s="76" t="s">
        <v>348</v>
      </c>
      <c r="E11" s="77">
        <v>500</v>
      </c>
    </row>
    <row r="12" spans="1:5">
      <c r="A12" s="76" t="s">
        <v>360</v>
      </c>
      <c r="B12" s="76" t="s">
        <v>344</v>
      </c>
      <c r="C12" s="76" t="s">
        <v>347</v>
      </c>
      <c r="D12" s="76" t="s">
        <v>370</v>
      </c>
      <c r="E12" s="77">
        <v>100</v>
      </c>
    </row>
    <row r="13" spans="1:5">
      <c r="A13" s="76" t="s">
        <v>361</v>
      </c>
      <c r="B13" s="76" t="s">
        <v>371</v>
      </c>
      <c r="C13" s="76" t="s">
        <v>345</v>
      </c>
      <c r="D13" s="76" t="s">
        <v>370</v>
      </c>
      <c r="E13" s="77">
        <v>100</v>
      </c>
    </row>
    <row r="14" spans="1:5">
      <c r="A14" s="76" t="s">
        <v>362</v>
      </c>
      <c r="B14" s="76" t="s">
        <v>350</v>
      </c>
      <c r="C14" s="76" t="s">
        <v>347</v>
      </c>
      <c r="D14" s="76" t="s">
        <v>348</v>
      </c>
      <c r="E14" s="77">
        <v>500</v>
      </c>
    </row>
    <row r="15" spans="1:5">
      <c r="A15" s="76" t="s">
        <v>363</v>
      </c>
      <c r="B15" s="76" t="s">
        <v>356</v>
      </c>
      <c r="C15" s="76" t="s">
        <v>345</v>
      </c>
      <c r="D15" s="76" t="s">
        <v>348</v>
      </c>
      <c r="E15" s="77">
        <v>500</v>
      </c>
    </row>
    <row r="16" spans="1:5">
      <c r="A16" s="76" t="s">
        <v>364</v>
      </c>
      <c r="B16" s="76" t="s">
        <v>356</v>
      </c>
      <c r="C16" s="76" t="s">
        <v>347</v>
      </c>
      <c r="D16" s="76" t="s">
        <v>352</v>
      </c>
      <c r="E16" s="77">
        <v>250</v>
      </c>
    </row>
    <row r="17" spans="1:5">
      <c r="A17" s="76" t="s">
        <v>365</v>
      </c>
      <c r="B17" s="76" t="s">
        <v>371</v>
      </c>
      <c r="C17" s="76" t="s">
        <v>347</v>
      </c>
      <c r="D17" s="76" t="s">
        <v>370</v>
      </c>
      <c r="E17" s="77">
        <v>100</v>
      </c>
    </row>
    <row r="18" spans="1:5">
      <c r="A18" s="76" t="s">
        <v>366</v>
      </c>
      <c r="B18" s="76" t="s">
        <v>154</v>
      </c>
      <c r="C18" s="76" t="s">
        <v>347</v>
      </c>
      <c r="D18" s="76" t="s">
        <v>348</v>
      </c>
      <c r="E18" s="77">
        <v>550</v>
      </c>
    </row>
    <row r="19" spans="1:5">
      <c r="A19" s="76" t="s">
        <v>367</v>
      </c>
      <c r="B19" s="76" t="s">
        <v>350</v>
      </c>
      <c r="C19" s="76" t="s">
        <v>347</v>
      </c>
      <c r="D19" s="76" t="s">
        <v>348</v>
      </c>
      <c r="E19" s="77">
        <v>550</v>
      </c>
    </row>
    <row r="20" spans="1:5">
      <c r="A20" s="76" t="s">
        <v>368</v>
      </c>
      <c r="B20" s="76" t="s">
        <v>344</v>
      </c>
      <c r="C20" s="76" t="s">
        <v>345</v>
      </c>
      <c r="D20" s="76" t="s">
        <v>370</v>
      </c>
      <c r="E20" s="77">
        <v>100</v>
      </c>
    </row>
    <row r="21" spans="1:5">
      <c r="A21" s="76" t="s">
        <v>369</v>
      </c>
      <c r="B21" s="76" t="s">
        <v>344</v>
      </c>
      <c r="C21" s="76" t="s">
        <v>347</v>
      </c>
      <c r="D21" s="76" t="s">
        <v>348</v>
      </c>
      <c r="E21" s="77">
        <v>550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525F-0BF8-46BE-87C0-4F38B93D3326}">
  <sheetPr codeName="Sheet1"/>
  <dimension ref="A1:G8"/>
  <sheetViews>
    <sheetView workbookViewId="0">
      <selection activeCell="I7" sqref="I7"/>
    </sheetView>
  </sheetViews>
  <sheetFormatPr defaultRowHeight="14.5"/>
  <cols>
    <col min="1" max="1" width="8.7265625" customWidth="1"/>
    <col min="6" max="6" width="14.1796875" customWidth="1"/>
  </cols>
  <sheetData>
    <row r="1" spans="1:7">
      <c r="A1" s="74" t="s">
        <v>338</v>
      </c>
      <c r="B1" s="74" t="s">
        <v>339</v>
      </c>
      <c r="C1" s="74" t="s">
        <v>340</v>
      </c>
      <c r="D1" s="75" t="s">
        <v>341</v>
      </c>
      <c r="E1" s="74" t="s">
        <v>342</v>
      </c>
    </row>
    <row r="2" spans="1:7">
      <c r="A2" s="76" t="s">
        <v>343</v>
      </c>
      <c r="B2" s="76" t="s">
        <v>344</v>
      </c>
      <c r="C2" s="76" t="s">
        <v>345</v>
      </c>
      <c r="D2" s="76" t="s">
        <v>370</v>
      </c>
      <c r="E2" s="77">
        <v>100</v>
      </c>
      <c r="G2" t="b">
        <v>1</v>
      </c>
    </row>
    <row r="3" spans="1:7">
      <c r="A3" s="76" t="s">
        <v>346</v>
      </c>
      <c r="B3" s="76" t="s">
        <v>344</v>
      </c>
      <c r="C3" s="76" t="s">
        <v>347</v>
      </c>
      <c r="D3" s="76" t="s">
        <v>348</v>
      </c>
      <c r="E3" s="77">
        <v>500</v>
      </c>
      <c r="G3" t="b">
        <v>1</v>
      </c>
    </row>
    <row r="4" spans="1:7">
      <c r="A4" s="76" t="s">
        <v>349</v>
      </c>
      <c r="B4" s="76" t="s">
        <v>350</v>
      </c>
      <c r="C4" s="76" t="s">
        <v>347</v>
      </c>
      <c r="D4" s="76" t="s">
        <v>348</v>
      </c>
      <c r="E4" s="77">
        <v>500</v>
      </c>
      <c r="G4" t="b">
        <v>1</v>
      </c>
    </row>
    <row r="5" spans="1:7">
      <c r="A5" s="76" t="s">
        <v>351</v>
      </c>
      <c r="B5" s="76" t="s">
        <v>344</v>
      </c>
      <c r="C5" s="76" t="s">
        <v>347</v>
      </c>
      <c r="D5" s="76" t="s">
        <v>352</v>
      </c>
      <c r="E5" s="77">
        <v>250</v>
      </c>
      <c r="G5" t="b">
        <v>1</v>
      </c>
    </row>
    <row r="6" spans="1:7">
      <c r="A6" s="76" t="s">
        <v>353</v>
      </c>
      <c r="B6" s="76" t="s">
        <v>371</v>
      </c>
      <c r="C6" s="76" t="s">
        <v>347</v>
      </c>
      <c r="D6" s="76" t="s">
        <v>352</v>
      </c>
      <c r="E6" s="77">
        <v>250</v>
      </c>
      <c r="G6" t="b">
        <v>1</v>
      </c>
    </row>
    <row r="7" spans="1:7">
      <c r="A7" s="76" t="s">
        <v>354</v>
      </c>
      <c r="B7" s="76" t="s">
        <v>371</v>
      </c>
      <c r="C7" s="76" t="s">
        <v>347</v>
      </c>
      <c r="D7" s="76" t="s">
        <v>370</v>
      </c>
      <c r="E7" s="77">
        <v>100</v>
      </c>
      <c r="G7" t="b">
        <v>1</v>
      </c>
    </row>
    <row r="8" spans="1:7">
      <c r="A8" s="76" t="s">
        <v>355</v>
      </c>
      <c r="B8" s="76" t="s">
        <v>356</v>
      </c>
      <c r="C8" s="76" t="s">
        <v>347</v>
      </c>
      <c r="D8" s="76" t="s">
        <v>370</v>
      </c>
      <c r="E8" s="77">
        <v>100</v>
      </c>
      <c r="G8" t="b">
        <v>1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Fill="0" autoLine="0" autoPict="0">
                <anchor moveWithCells="1">
                  <from>
                    <xdr:col>5</xdr:col>
                    <xdr:colOff>590550</xdr:colOff>
                    <xdr:row>0</xdr:row>
                    <xdr:rowOff>177800</xdr:rowOff>
                  </from>
                  <to>
                    <xdr:col>6</xdr:col>
                    <xdr:colOff>342900</xdr:colOff>
                    <xdr:row>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Fill="0" autoLine="0" autoPict="0" altText="Check Box 1_x000a_Check Box 3_x000a_Check Box 5_x000a_">
                <anchor moveWithCells="1">
                  <from>
                    <xdr:col>4</xdr:col>
                    <xdr:colOff>590550</xdr:colOff>
                    <xdr:row>1</xdr:row>
                    <xdr:rowOff>177800</xdr:rowOff>
                  </from>
                  <to>
                    <xdr:col>5</xdr:col>
                    <xdr:colOff>723900</xdr:colOff>
                    <xdr:row>3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Fill="0" autoLine="0" autoPict="0">
                <anchor moveWithCells="1">
                  <from>
                    <xdr:col>4</xdr:col>
                    <xdr:colOff>590550</xdr:colOff>
                    <xdr:row>2</xdr:row>
                    <xdr:rowOff>177800</xdr:rowOff>
                  </from>
                  <to>
                    <xdr:col>5</xdr:col>
                    <xdr:colOff>723900</xdr:colOff>
                    <xdr:row>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Check Box 4">
              <controlPr defaultSize="0" autoFill="0" autoLine="0" autoPict="0">
                <anchor moveWithCells="1">
                  <from>
                    <xdr:col>4</xdr:col>
                    <xdr:colOff>590550</xdr:colOff>
                    <xdr:row>3</xdr:row>
                    <xdr:rowOff>177800</xdr:rowOff>
                  </from>
                  <to>
                    <xdr:col>5</xdr:col>
                    <xdr:colOff>723900</xdr:colOff>
                    <xdr:row>5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8" name="Check Box 5">
              <controlPr defaultSize="0" autoFill="0" autoLine="0" autoPict="0">
                <anchor moveWithCells="1">
                  <from>
                    <xdr:col>4</xdr:col>
                    <xdr:colOff>590550</xdr:colOff>
                    <xdr:row>4</xdr:row>
                    <xdr:rowOff>177800</xdr:rowOff>
                  </from>
                  <to>
                    <xdr:col>5</xdr:col>
                    <xdr:colOff>723900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9" name="Check Box 6">
              <controlPr defaultSize="0" autoFill="0" autoLine="0" autoPict="0">
                <anchor moveWithCells="1">
                  <from>
                    <xdr:col>4</xdr:col>
                    <xdr:colOff>590550</xdr:colOff>
                    <xdr:row>5</xdr:row>
                    <xdr:rowOff>177800</xdr:rowOff>
                  </from>
                  <to>
                    <xdr:col>5</xdr:col>
                    <xdr:colOff>723900</xdr:colOff>
                    <xdr:row>7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1" r:id="rId10" name="Check Box 7">
              <controlPr defaultSize="0" autoFill="0" autoLine="0" autoPict="0">
                <anchor moveWithCells="1">
                  <from>
                    <xdr:col>4</xdr:col>
                    <xdr:colOff>590550</xdr:colOff>
                    <xdr:row>6</xdr:row>
                    <xdr:rowOff>177800</xdr:rowOff>
                  </from>
                  <to>
                    <xdr:col>5</xdr:col>
                    <xdr:colOff>723900</xdr:colOff>
                    <xdr:row>8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7130-30A7-4AF3-9B63-B3ECA4AEDBD5}">
  <sheetPr codeName="Sheet15"/>
  <dimension ref="A1"/>
  <sheetViews>
    <sheetView zoomScale="70" zoomScaleNormal="70" workbookViewId="0">
      <selection activeCell="T21" sqref="T21"/>
    </sheetView>
  </sheetViews>
  <sheetFormatPr defaultRowHeight="14.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9CFD-BFC6-4710-9900-8AA5311EB971}">
  <sheetPr codeName="Sheet16"/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dvAspect="DVASPECT_ICON" link="[1]!''''" oleUpdate="OLEUPDATE_ONCALL" shapeId="17409">
          <objectPr defaultSize="0" autoPict="0" dde="1" r:id="rId4">
            <anchor moveWithCells="1">
              <from>
                <xdr:col>0</xdr:col>
                <xdr:colOff>374650</xdr:colOff>
                <xdr:row>2</xdr:row>
                <xdr:rowOff>69850</xdr:rowOff>
              </from>
              <to>
                <xdr:col>2</xdr:col>
                <xdr:colOff>482600</xdr:colOff>
                <xdr:row>7</xdr:row>
                <xdr:rowOff>146050</xdr:rowOff>
              </to>
            </anchor>
          </objectPr>
        </oleObject>
      </mc:Choice>
      <mc:Fallback>
        <oleObject dvAspect="DVASPECT_ICON" link="[1]!''''" oleUpdate="OLEUPDATE_ONCALL" shapeId="17409"/>
      </mc:Fallback>
    </mc:AlternateContent>
    <mc:AlternateContent xmlns:mc="http://schemas.openxmlformats.org/markup-compatibility/2006">
      <mc:Choice Requires="x14">
        <oleObject progId="Worksheet" shapeId="17410" r:id="rId5">
          <objectPr defaultSize="0" autoPict="0" r:id="rId6">
            <anchor moveWithCells="1">
              <from>
                <xdr:col>5</xdr:col>
                <xdr:colOff>425450</xdr:colOff>
                <xdr:row>0</xdr:row>
                <xdr:rowOff>19050</xdr:rowOff>
              </from>
              <to>
                <xdr:col>15</xdr:col>
                <xdr:colOff>146050</xdr:colOff>
                <xdr:row>11</xdr:row>
                <xdr:rowOff>152400</xdr:rowOff>
              </to>
            </anchor>
          </objectPr>
        </oleObject>
      </mc:Choice>
      <mc:Fallback>
        <oleObject progId="Worksheet" shapeId="17410" r:id="rId5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8644-AEBE-497C-8BDC-544BB325A5B3}">
  <sheetPr codeName="Sheet17"/>
  <dimension ref="A1:K20"/>
  <sheetViews>
    <sheetView topLeftCell="A7" zoomScale="90" zoomScaleNormal="90" workbookViewId="0">
      <selection activeCell="I7" sqref="I7"/>
    </sheetView>
  </sheetViews>
  <sheetFormatPr defaultRowHeight="14.5" outlineLevelRow="1" outlineLevelCol="1"/>
  <cols>
    <col min="1" max="1" width="10.1796875" customWidth="1" outlineLevel="1"/>
    <col min="2" max="2" width="9.6328125" customWidth="1" outlineLevel="1"/>
    <col min="3" max="3" width="8.7265625" customWidth="1" outlineLevel="1"/>
    <col min="4" max="4" width="14" customWidth="1" outlineLevel="1"/>
    <col min="5" max="6" width="8.7265625" customWidth="1" outlineLevel="1"/>
  </cols>
  <sheetData>
    <row r="1" spans="1:11">
      <c r="A1" s="74" t="s">
        <v>339</v>
      </c>
      <c r="B1" s="74" t="s">
        <v>340</v>
      </c>
      <c r="C1" s="75" t="s">
        <v>341</v>
      </c>
      <c r="D1" s="74" t="s">
        <v>342</v>
      </c>
      <c r="E1" s="74" t="s">
        <v>372</v>
      </c>
    </row>
    <row r="2" spans="1:11">
      <c r="A2" s="76" t="s">
        <v>344</v>
      </c>
      <c r="B2" s="76" t="s">
        <v>345</v>
      </c>
      <c r="C2" s="76" t="s">
        <v>370</v>
      </c>
      <c r="D2" s="77">
        <v>100</v>
      </c>
      <c r="E2">
        <v>5</v>
      </c>
    </row>
    <row r="3" spans="1:11">
      <c r="A3" s="76" t="s">
        <v>344</v>
      </c>
      <c r="B3" s="76" t="s">
        <v>347</v>
      </c>
      <c r="C3" s="76" t="s">
        <v>348</v>
      </c>
      <c r="D3" s="77">
        <v>500</v>
      </c>
      <c r="E3">
        <v>4</v>
      </c>
    </row>
    <row r="4" spans="1:11">
      <c r="A4" s="76" t="s">
        <v>350</v>
      </c>
      <c r="B4" s="76" t="s">
        <v>347</v>
      </c>
      <c r="C4" s="76" t="s">
        <v>348</v>
      </c>
      <c r="D4" s="77">
        <v>500</v>
      </c>
      <c r="E4">
        <v>3</v>
      </c>
    </row>
    <row r="5" spans="1:11">
      <c r="A5" s="76" t="s">
        <v>344</v>
      </c>
      <c r="B5" s="76" t="s">
        <v>347</v>
      </c>
      <c r="C5" s="76" t="s">
        <v>352</v>
      </c>
      <c r="D5" s="77">
        <v>250</v>
      </c>
      <c r="E5">
        <v>5</v>
      </c>
    </row>
    <row r="6" spans="1:11" ht="15.5">
      <c r="A6" s="76" t="s">
        <v>371</v>
      </c>
      <c r="B6" s="76" t="s">
        <v>347</v>
      </c>
      <c r="C6" s="76" t="s">
        <v>352</v>
      </c>
      <c r="D6" s="77">
        <v>250</v>
      </c>
      <c r="E6">
        <v>4</v>
      </c>
      <c r="K6" s="1" t="s">
        <v>373</v>
      </c>
    </row>
    <row r="7" spans="1:11">
      <c r="A7" s="76" t="s">
        <v>371</v>
      </c>
      <c r="B7" s="76" t="s">
        <v>347</v>
      </c>
      <c r="C7" s="76" t="s">
        <v>370</v>
      </c>
      <c r="D7" s="77">
        <v>100</v>
      </c>
      <c r="E7">
        <v>3</v>
      </c>
    </row>
    <row r="8" spans="1:11">
      <c r="A8" s="76" t="s">
        <v>356</v>
      </c>
      <c r="B8" s="76" t="s">
        <v>347</v>
      </c>
      <c r="C8" s="76" t="s">
        <v>370</v>
      </c>
      <c r="D8" s="77">
        <v>100</v>
      </c>
      <c r="E8">
        <v>5</v>
      </c>
    </row>
    <row r="10" spans="1:11" outlineLevel="1"/>
    <row r="11" spans="1:11" outlineLevel="1"/>
    <row r="12" spans="1:11" outlineLevel="1"/>
    <row r="13" spans="1:11" outlineLevel="1"/>
    <row r="14" spans="1:11" outlineLevel="1"/>
    <row r="15" spans="1:11" outlineLevel="1"/>
    <row r="16" spans="1:11" outlineLevel="1"/>
    <row r="17" outlineLevel="1"/>
    <row r="18" outlineLevel="1"/>
    <row r="19" outlineLevel="1"/>
    <row r="20" outlineLevel="1"/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19D9-94D4-427A-947C-3BC0488A2769}">
  <sheetPr codeName="Sheet18"/>
  <dimension ref="C1:J28"/>
  <sheetViews>
    <sheetView workbookViewId="0">
      <selection activeCell="J10" sqref="J10"/>
    </sheetView>
  </sheetViews>
  <sheetFormatPr defaultRowHeight="14.5"/>
  <cols>
    <col min="5" max="5" width="13.26953125" customWidth="1"/>
  </cols>
  <sheetData>
    <row r="1" spans="9:10">
      <c r="I1" s="78"/>
      <c r="J1" s="78"/>
    </row>
    <row r="2" spans="9:10">
      <c r="I2" s="78"/>
      <c r="J2" s="78"/>
    </row>
    <row r="3" spans="9:10">
      <c r="I3" s="78"/>
      <c r="J3" s="78"/>
    </row>
    <row r="28" spans="3:3" ht="15.5">
      <c r="C28" s="79" t="s">
        <v>374</v>
      </c>
    </row>
  </sheetData>
  <hyperlinks>
    <hyperlink ref="C28" location="'adding PDF'!A1" tooltip="click on this" display="Go to : Adding PDF" xr:uid="{99B5498F-2C4E-4977-AEE6-A1DD3B72DFD7}"/>
    <hyperlink ref="I1:J3" r:id="rId1" tooltip="Click here to open" display="C:\Users\woake\OneDrive\Desktop\Madhu\Madhu Profile.pdf" xr:uid="{9BBE62EA-342E-493D-8194-D2EB6972C70D}"/>
  </hyperlinks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D243-CC59-4B8A-A80D-F5EC3DE991BA}">
  <sheetPr codeName="Sheet19"/>
  <dimension ref="A1:D13"/>
  <sheetViews>
    <sheetView workbookViewId="0">
      <selection sqref="A1:D13"/>
    </sheetView>
  </sheetViews>
  <sheetFormatPr defaultRowHeight="14.5"/>
  <cols>
    <col min="1" max="1" width="11.453125" customWidth="1"/>
    <col min="2" max="2" width="10.1796875" customWidth="1"/>
    <col min="3" max="3" width="11.54296875" customWidth="1"/>
    <col min="4" max="4" width="13.90625" customWidth="1"/>
  </cols>
  <sheetData>
    <row r="1" spans="1:4">
      <c r="A1" s="80" t="s">
        <v>320</v>
      </c>
      <c r="B1" s="80" t="s">
        <v>226</v>
      </c>
      <c r="C1" s="80" t="s">
        <v>100</v>
      </c>
      <c r="D1" s="80" t="s">
        <v>227</v>
      </c>
    </row>
    <row r="2" spans="1:4">
      <c r="A2" t="s">
        <v>325</v>
      </c>
      <c r="B2">
        <v>155777</v>
      </c>
      <c r="C2">
        <v>20149</v>
      </c>
      <c r="D2" t="s">
        <v>229</v>
      </c>
    </row>
    <row r="3" spans="1:4">
      <c r="A3" t="s">
        <v>326</v>
      </c>
      <c r="B3">
        <v>98614</v>
      </c>
      <c r="C3">
        <v>15265</v>
      </c>
      <c r="D3" t="s">
        <v>231</v>
      </c>
    </row>
    <row r="4" spans="1:4">
      <c r="A4" t="s">
        <v>327</v>
      </c>
      <c r="B4">
        <v>175102</v>
      </c>
      <c r="C4">
        <v>45775</v>
      </c>
      <c r="D4" t="s">
        <v>226</v>
      </c>
    </row>
    <row r="5" spans="1:4">
      <c r="A5" t="s">
        <v>328</v>
      </c>
      <c r="B5">
        <v>96567</v>
      </c>
      <c r="C5">
        <v>30329</v>
      </c>
      <c r="D5" t="s">
        <v>229</v>
      </c>
    </row>
    <row r="6" spans="1:4">
      <c r="A6" t="s">
        <v>329</v>
      </c>
      <c r="B6">
        <v>83906</v>
      </c>
      <c r="C6">
        <v>25346</v>
      </c>
      <c r="D6" t="s">
        <v>231</v>
      </c>
    </row>
    <row r="7" spans="1:4">
      <c r="A7" t="s">
        <v>330</v>
      </c>
      <c r="B7">
        <v>71579</v>
      </c>
      <c r="C7">
        <v>33530</v>
      </c>
      <c r="D7" t="s">
        <v>231</v>
      </c>
    </row>
    <row r="8" spans="1:4">
      <c r="A8" t="s">
        <v>331</v>
      </c>
      <c r="B8">
        <v>177862</v>
      </c>
      <c r="C8">
        <v>31420</v>
      </c>
      <c r="D8" t="s">
        <v>226</v>
      </c>
    </row>
    <row r="9" spans="1:4">
      <c r="A9" t="s">
        <v>332</v>
      </c>
      <c r="B9">
        <v>74526</v>
      </c>
      <c r="C9">
        <v>33264</v>
      </c>
      <c r="D9" t="s">
        <v>229</v>
      </c>
    </row>
    <row r="10" spans="1:4">
      <c r="A10" t="s">
        <v>333</v>
      </c>
      <c r="B10">
        <v>79724</v>
      </c>
      <c r="C10">
        <v>44308</v>
      </c>
      <c r="D10" t="s">
        <v>231</v>
      </c>
    </row>
    <row r="11" spans="1:4">
      <c r="A11" t="s">
        <v>334</v>
      </c>
      <c r="B11">
        <v>165987</v>
      </c>
      <c r="C11">
        <v>30961</v>
      </c>
      <c r="D11" t="s">
        <v>226</v>
      </c>
    </row>
    <row r="12" spans="1:4">
      <c r="A12" t="s">
        <v>335</v>
      </c>
      <c r="B12">
        <v>189584</v>
      </c>
      <c r="C12">
        <v>12764</v>
      </c>
      <c r="D12" t="s">
        <v>226</v>
      </c>
    </row>
    <row r="13" spans="1:4">
      <c r="A13" t="s">
        <v>336</v>
      </c>
      <c r="B13">
        <v>197065</v>
      </c>
      <c r="C13">
        <v>19935</v>
      </c>
      <c r="D13" t="s">
        <v>229</v>
      </c>
    </row>
  </sheetData>
  <conditionalFormatting sqref="A1:D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4B26-BF4B-4A02-845C-6D3DF93766D1}">
  <sheetPr codeName="Sheet20"/>
  <dimension ref="A1:D13"/>
  <sheetViews>
    <sheetView view="pageLayout" topLeftCell="A5" zoomScaleNormal="100" workbookViewId="0">
      <selection activeCell="C7" sqref="C7"/>
    </sheetView>
  </sheetViews>
  <sheetFormatPr defaultRowHeight="14.5"/>
  <cols>
    <col min="1" max="1" width="11.08984375" customWidth="1"/>
    <col min="2" max="2" width="10.1796875" customWidth="1"/>
    <col min="3" max="3" width="10.7265625" customWidth="1"/>
    <col min="4" max="4" width="12.36328125" customWidth="1"/>
  </cols>
  <sheetData>
    <row r="1" spans="1:4">
      <c r="A1" t="s">
        <v>320</v>
      </c>
      <c r="B1" t="s">
        <v>226</v>
      </c>
      <c r="C1" t="s">
        <v>100</v>
      </c>
      <c r="D1" t="s">
        <v>227</v>
      </c>
    </row>
    <row r="2" spans="1:4">
      <c r="A2" t="s">
        <v>325</v>
      </c>
      <c r="B2">
        <v>155777</v>
      </c>
      <c r="C2">
        <v>20149</v>
      </c>
      <c r="D2" t="s">
        <v>229</v>
      </c>
    </row>
    <row r="3" spans="1:4">
      <c r="A3" t="s">
        <v>326</v>
      </c>
      <c r="B3">
        <v>98614</v>
      </c>
      <c r="C3">
        <v>15265</v>
      </c>
      <c r="D3" t="s">
        <v>231</v>
      </c>
    </row>
    <row r="4" spans="1:4">
      <c r="A4" t="s">
        <v>327</v>
      </c>
      <c r="B4">
        <v>175102</v>
      </c>
      <c r="C4">
        <v>45775</v>
      </c>
      <c r="D4" t="s">
        <v>226</v>
      </c>
    </row>
    <row r="5" spans="1:4">
      <c r="A5" t="s">
        <v>328</v>
      </c>
      <c r="B5">
        <v>96567</v>
      </c>
      <c r="C5">
        <v>30329</v>
      </c>
      <c r="D5" t="s">
        <v>229</v>
      </c>
    </row>
    <row r="6" spans="1:4">
      <c r="A6" t="s">
        <v>329</v>
      </c>
      <c r="B6">
        <v>83906</v>
      </c>
      <c r="C6">
        <v>25346</v>
      </c>
      <c r="D6" t="s">
        <v>231</v>
      </c>
    </row>
    <row r="7" spans="1:4">
      <c r="A7" t="s">
        <v>330</v>
      </c>
      <c r="B7">
        <v>71579</v>
      </c>
      <c r="C7">
        <v>33530</v>
      </c>
      <c r="D7" t="s">
        <v>231</v>
      </c>
    </row>
    <row r="8" spans="1:4">
      <c r="A8" t="s">
        <v>331</v>
      </c>
      <c r="B8">
        <v>177862</v>
      </c>
      <c r="C8">
        <v>31420</v>
      </c>
      <c r="D8" t="s">
        <v>226</v>
      </c>
    </row>
    <row r="9" spans="1:4">
      <c r="A9" t="s">
        <v>332</v>
      </c>
      <c r="B9">
        <v>74526</v>
      </c>
      <c r="C9">
        <v>33264</v>
      </c>
      <c r="D9" t="s">
        <v>229</v>
      </c>
    </row>
    <row r="10" spans="1:4">
      <c r="A10" t="s">
        <v>333</v>
      </c>
      <c r="B10">
        <v>79724</v>
      </c>
      <c r="C10">
        <v>44308</v>
      </c>
      <c r="D10" t="s">
        <v>231</v>
      </c>
    </row>
    <row r="11" spans="1:4">
      <c r="A11" t="s">
        <v>334</v>
      </c>
      <c r="B11">
        <v>165987</v>
      </c>
      <c r="C11">
        <v>30961</v>
      </c>
      <c r="D11" t="s">
        <v>226</v>
      </c>
    </row>
    <row r="12" spans="1:4">
      <c r="A12" t="s">
        <v>335</v>
      </c>
      <c r="B12">
        <v>189584</v>
      </c>
      <c r="C12">
        <v>12764</v>
      </c>
      <c r="D12" t="s">
        <v>226</v>
      </c>
    </row>
    <row r="13" spans="1:4">
      <c r="A13" t="s">
        <v>336</v>
      </c>
      <c r="B13">
        <v>197065</v>
      </c>
      <c r="C13">
        <v>19935</v>
      </c>
      <c r="D13" t="s">
        <v>229</v>
      </c>
    </row>
  </sheetData>
  <conditionalFormatting sqref="A1:D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headerFooter>
    <oddHeader>&amp;L&amp;"-,Bold"&amp;14&amp;G</oddHeader>
  </headerFooter>
  <legacyDrawingHF r:id="rId2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3B89-3FE2-42BF-A493-403C3B5713F4}">
  <sheetPr codeName="Sheet21"/>
  <dimension ref="A1:H352"/>
  <sheetViews>
    <sheetView zoomScale="80" zoomScaleNormal="80" workbookViewId="0">
      <selection activeCell="I7" sqref="I7"/>
    </sheetView>
  </sheetViews>
  <sheetFormatPr defaultRowHeight="14.5"/>
  <cols>
    <col min="1" max="1" width="10.54296875" bestFit="1" customWidth="1"/>
    <col min="2" max="2" width="55.6328125" customWidth="1"/>
    <col min="3" max="3" width="30.453125" bestFit="1" customWidth="1"/>
    <col min="4" max="4" width="12.1796875" bestFit="1" customWidth="1"/>
    <col min="5" max="5" width="9.81640625" bestFit="1" customWidth="1"/>
    <col min="6" max="6" width="7.1796875" bestFit="1" customWidth="1"/>
    <col min="7" max="7" width="6.81640625" bestFit="1" customWidth="1"/>
    <col min="8" max="8" width="10.1796875" bestFit="1" customWidth="1"/>
  </cols>
  <sheetData>
    <row r="1" spans="1:8">
      <c r="A1" t="s">
        <v>322</v>
      </c>
      <c r="B1" t="s">
        <v>96</v>
      </c>
      <c r="C1" t="s">
        <v>375</v>
      </c>
      <c r="D1" t="s">
        <v>376</v>
      </c>
      <c r="E1" t="s">
        <v>377</v>
      </c>
      <c r="F1" t="s">
        <v>204</v>
      </c>
      <c r="G1" t="s">
        <v>378</v>
      </c>
      <c r="H1" t="s">
        <v>379</v>
      </c>
    </row>
    <row r="2" spans="1:8">
      <c r="A2">
        <v>0</v>
      </c>
      <c r="B2" s="81" t="s">
        <v>380</v>
      </c>
      <c r="C2" s="81" t="s">
        <v>381</v>
      </c>
      <c r="D2">
        <v>4.7</v>
      </c>
      <c r="E2">
        <v>17350</v>
      </c>
      <c r="F2">
        <v>8</v>
      </c>
      <c r="G2">
        <v>2016</v>
      </c>
      <c r="H2" s="81" t="s">
        <v>382</v>
      </c>
    </row>
    <row r="3" spans="1:8">
      <c r="A3">
        <v>1</v>
      </c>
      <c r="B3" s="81" t="s">
        <v>383</v>
      </c>
      <c r="C3" s="81" t="s">
        <v>384</v>
      </c>
      <c r="D3">
        <v>4.5999999999999996</v>
      </c>
      <c r="E3">
        <v>2052</v>
      </c>
      <c r="F3">
        <v>22</v>
      </c>
      <c r="G3">
        <v>2011</v>
      </c>
      <c r="H3" s="81" t="s">
        <v>385</v>
      </c>
    </row>
    <row r="4" spans="1:8">
      <c r="A4">
        <v>2</v>
      </c>
      <c r="B4" s="81" t="s">
        <v>386</v>
      </c>
      <c r="C4" s="81" t="s">
        <v>387</v>
      </c>
      <c r="D4">
        <v>4.7</v>
      </c>
      <c r="E4">
        <v>18979</v>
      </c>
      <c r="F4">
        <v>15</v>
      </c>
      <c r="G4">
        <v>2018</v>
      </c>
      <c r="H4" s="81" t="s">
        <v>382</v>
      </c>
    </row>
    <row r="5" spans="1:8">
      <c r="A5">
        <v>3</v>
      </c>
      <c r="B5" s="81" t="s">
        <v>388</v>
      </c>
      <c r="C5" s="81" t="s">
        <v>389</v>
      </c>
      <c r="D5">
        <v>4.7</v>
      </c>
      <c r="E5">
        <v>21424</v>
      </c>
      <c r="F5">
        <v>6</v>
      </c>
      <c r="G5">
        <v>2017</v>
      </c>
      <c r="H5" s="81" t="s">
        <v>385</v>
      </c>
    </row>
    <row r="6" spans="1:8">
      <c r="A6">
        <v>4</v>
      </c>
      <c r="B6" s="81" t="s">
        <v>390</v>
      </c>
      <c r="C6" s="81" t="s">
        <v>391</v>
      </c>
      <c r="D6">
        <v>4.8</v>
      </c>
      <c r="E6">
        <v>7665</v>
      </c>
      <c r="F6">
        <v>12</v>
      </c>
      <c r="G6">
        <v>2019</v>
      </c>
      <c r="H6" s="81" t="s">
        <v>382</v>
      </c>
    </row>
    <row r="7" spans="1:8">
      <c r="A7">
        <v>5</v>
      </c>
      <c r="B7" s="81" t="s">
        <v>392</v>
      </c>
      <c r="C7" s="81" t="s">
        <v>393</v>
      </c>
      <c r="D7">
        <v>4.4000000000000004</v>
      </c>
      <c r="E7">
        <v>12643</v>
      </c>
      <c r="F7">
        <v>11</v>
      </c>
      <c r="G7">
        <v>2011</v>
      </c>
      <c r="H7" s="81" t="s">
        <v>385</v>
      </c>
    </row>
    <row r="8" spans="1:8">
      <c r="A8">
        <v>6</v>
      </c>
      <c r="B8" s="81" t="s">
        <v>394</v>
      </c>
      <c r="C8" s="81" t="s">
        <v>393</v>
      </c>
      <c r="D8">
        <v>4.7</v>
      </c>
      <c r="E8">
        <v>19735</v>
      </c>
      <c r="F8">
        <v>30</v>
      </c>
      <c r="G8">
        <v>2014</v>
      </c>
      <c r="H8" s="81" t="s">
        <v>385</v>
      </c>
    </row>
    <row r="9" spans="1:8">
      <c r="A9">
        <v>7</v>
      </c>
      <c r="B9" s="81" t="s">
        <v>395</v>
      </c>
      <c r="C9" s="81" t="s">
        <v>396</v>
      </c>
      <c r="D9">
        <v>4.7</v>
      </c>
      <c r="E9">
        <v>19699</v>
      </c>
      <c r="F9">
        <v>15</v>
      </c>
      <c r="G9">
        <v>2017</v>
      </c>
      <c r="H9" s="81" t="s">
        <v>385</v>
      </c>
    </row>
    <row r="10" spans="1:8">
      <c r="A10">
        <v>8</v>
      </c>
      <c r="B10" s="81" t="s">
        <v>397</v>
      </c>
      <c r="C10" s="81" t="s">
        <v>398</v>
      </c>
      <c r="D10">
        <v>4.7</v>
      </c>
      <c r="E10">
        <v>5983</v>
      </c>
      <c r="F10">
        <v>3</v>
      </c>
      <c r="G10">
        <v>2018</v>
      </c>
      <c r="H10" s="81" t="s">
        <v>382</v>
      </c>
    </row>
    <row r="11" spans="1:8">
      <c r="A11">
        <v>9</v>
      </c>
      <c r="B11" s="81" t="s">
        <v>399</v>
      </c>
      <c r="C11" s="81" t="s">
        <v>400</v>
      </c>
      <c r="D11">
        <v>4.5999999999999996</v>
      </c>
      <c r="E11">
        <v>23848</v>
      </c>
      <c r="F11">
        <v>8</v>
      </c>
      <c r="G11">
        <v>2016</v>
      </c>
      <c r="H11" s="81" t="s">
        <v>385</v>
      </c>
    </row>
    <row r="12" spans="1:8">
      <c r="A12">
        <v>11</v>
      </c>
      <c r="B12" s="81" t="s">
        <v>401</v>
      </c>
      <c r="C12" s="81" t="s">
        <v>402</v>
      </c>
      <c r="D12">
        <v>4.5999999999999996</v>
      </c>
      <c r="E12">
        <v>460</v>
      </c>
      <c r="F12">
        <v>2</v>
      </c>
      <c r="G12">
        <v>2010</v>
      </c>
      <c r="H12" s="81" t="s">
        <v>382</v>
      </c>
    </row>
    <row r="13" spans="1:8">
      <c r="A13">
        <v>12</v>
      </c>
      <c r="B13" s="81" t="s">
        <v>403</v>
      </c>
      <c r="C13" s="81" t="s">
        <v>404</v>
      </c>
      <c r="D13">
        <v>4.5999999999999996</v>
      </c>
      <c r="E13">
        <v>4149</v>
      </c>
      <c r="F13">
        <v>32</v>
      </c>
      <c r="G13">
        <v>2011</v>
      </c>
      <c r="H13" s="81" t="s">
        <v>382</v>
      </c>
    </row>
    <row r="14" spans="1:8">
      <c r="A14">
        <v>13</v>
      </c>
      <c r="B14" s="81" t="s">
        <v>405</v>
      </c>
      <c r="C14" s="81" t="s">
        <v>406</v>
      </c>
      <c r="D14">
        <v>4.5</v>
      </c>
      <c r="E14">
        <v>5153</v>
      </c>
      <c r="F14">
        <v>5</v>
      </c>
      <c r="G14">
        <v>2018</v>
      </c>
      <c r="H14" s="81" t="s">
        <v>385</v>
      </c>
    </row>
    <row r="15" spans="1:8">
      <c r="A15">
        <v>14</v>
      </c>
      <c r="B15" s="81" t="s">
        <v>407</v>
      </c>
      <c r="C15" s="81" t="s">
        <v>408</v>
      </c>
      <c r="D15">
        <v>4.5999999999999996</v>
      </c>
      <c r="E15">
        <v>5013</v>
      </c>
      <c r="F15">
        <v>17</v>
      </c>
      <c r="G15">
        <v>2009</v>
      </c>
      <c r="H15" s="81" t="s">
        <v>382</v>
      </c>
    </row>
    <row r="16" spans="1:8">
      <c r="A16">
        <v>15</v>
      </c>
      <c r="B16" s="81" t="s">
        <v>409</v>
      </c>
      <c r="C16" s="81" t="s">
        <v>410</v>
      </c>
      <c r="D16">
        <v>4.5</v>
      </c>
      <c r="E16">
        <v>2313</v>
      </c>
      <c r="F16">
        <v>4</v>
      </c>
      <c r="G16">
        <v>2016</v>
      </c>
      <c r="H16" s="81" t="s">
        <v>382</v>
      </c>
    </row>
    <row r="17" spans="1:8">
      <c r="A17">
        <v>16</v>
      </c>
      <c r="B17" s="81" t="s">
        <v>411</v>
      </c>
      <c r="C17" s="81" t="s">
        <v>412</v>
      </c>
      <c r="D17">
        <v>4.5999999999999996</v>
      </c>
      <c r="E17">
        <v>2925</v>
      </c>
      <c r="F17">
        <v>6</v>
      </c>
      <c r="G17">
        <v>2015</v>
      </c>
      <c r="H17" s="81" t="s">
        <v>382</v>
      </c>
    </row>
    <row r="18" spans="1:8">
      <c r="A18">
        <v>17</v>
      </c>
      <c r="B18" s="81" t="s">
        <v>413</v>
      </c>
      <c r="C18" s="81" t="s">
        <v>412</v>
      </c>
      <c r="D18">
        <v>4.4000000000000004</v>
      </c>
      <c r="E18">
        <v>2951</v>
      </c>
      <c r="F18">
        <v>6</v>
      </c>
      <c r="G18">
        <v>2015</v>
      </c>
      <c r="H18" s="81" t="s">
        <v>382</v>
      </c>
    </row>
    <row r="19" spans="1:8">
      <c r="A19">
        <v>18</v>
      </c>
      <c r="B19" s="81" t="s">
        <v>414</v>
      </c>
      <c r="C19" s="81" t="s">
        <v>415</v>
      </c>
      <c r="D19">
        <v>4.5</v>
      </c>
      <c r="E19">
        <v>2426</v>
      </c>
      <c r="F19">
        <v>8</v>
      </c>
      <c r="G19">
        <v>2015</v>
      </c>
      <c r="H19" s="81" t="s">
        <v>382</v>
      </c>
    </row>
    <row r="20" spans="1:8">
      <c r="A20">
        <v>19</v>
      </c>
      <c r="B20" s="81" t="s">
        <v>416</v>
      </c>
      <c r="C20" s="81" t="s">
        <v>417</v>
      </c>
      <c r="D20">
        <v>4.8</v>
      </c>
      <c r="E20">
        <v>9198</v>
      </c>
      <c r="F20">
        <v>13</v>
      </c>
      <c r="G20">
        <v>2016</v>
      </c>
      <c r="H20" s="81" t="s">
        <v>382</v>
      </c>
    </row>
    <row r="21" spans="1:8">
      <c r="A21">
        <v>20</v>
      </c>
      <c r="B21" s="81" t="s">
        <v>418</v>
      </c>
      <c r="C21" s="81" t="s">
        <v>419</v>
      </c>
      <c r="D21">
        <v>4.5999999999999996</v>
      </c>
      <c r="E21">
        <v>36348</v>
      </c>
      <c r="F21">
        <v>14</v>
      </c>
      <c r="G21">
        <v>2014</v>
      </c>
      <c r="H21" s="81" t="s">
        <v>385</v>
      </c>
    </row>
    <row r="22" spans="1:8">
      <c r="A22">
        <v>22</v>
      </c>
      <c r="B22" s="81" t="s">
        <v>420</v>
      </c>
      <c r="C22" s="81" t="s">
        <v>421</v>
      </c>
      <c r="D22">
        <v>3.9</v>
      </c>
      <c r="E22">
        <v>6310</v>
      </c>
      <c r="F22">
        <v>13</v>
      </c>
      <c r="G22">
        <v>2013</v>
      </c>
      <c r="H22" s="81" t="s">
        <v>385</v>
      </c>
    </row>
    <row r="23" spans="1:8">
      <c r="A23">
        <v>23</v>
      </c>
      <c r="B23" s="81" t="s">
        <v>422</v>
      </c>
      <c r="C23" s="81" t="s">
        <v>423</v>
      </c>
      <c r="D23">
        <v>4.5999999999999996</v>
      </c>
      <c r="E23">
        <v>15921</v>
      </c>
      <c r="F23">
        <v>9</v>
      </c>
      <c r="G23">
        <v>2015</v>
      </c>
      <c r="H23" s="81" t="s">
        <v>382</v>
      </c>
    </row>
    <row r="24" spans="1:8">
      <c r="A24">
        <v>24</v>
      </c>
      <c r="B24" s="81" t="s">
        <v>424</v>
      </c>
      <c r="C24" s="81" t="s">
        <v>425</v>
      </c>
      <c r="D24">
        <v>4.3</v>
      </c>
      <c r="E24">
        <v>12159</v>
      </c>
      <c r="F24">
        <v>13</v>
      </c>
      <c r="G24">
        <v>2013</v>
      </c>
      <c r="H24" s="81" t="s">
        <v>385</v>
      </c>
    </row>
    <row r="25" spans="1:8">
      <c r="A25">
        <v>25</v>
      </c>
      <c r="B25" s="81" t="s">
        <v>426</v>
      </c>
      <c r="C25" s="81" t="s">
        <v>427</v>
      </c>
      <c r="D25">
        <v>4.5999999999999996</v>
      </c>
      <c r="E25">
        <v>798</v>
      </c>
      <c r="F25">
        <v>5</v>
      </c>
      <c r="G25">
        <v>2009</v>
      </c>
      <c r="H25" s="81" t="s">
        <v>382</v>
      </c>
    </row>
    <row r="26" spans="1:8">
      <c r="A26">
        <v>26</v>
      </c>
      <c r="B26" s="81" t="s">
        <v>428</v>
      </c>
      <c r="C26" s="81" t="s">
        <v>429</v>
      </c>
      <c r="D26">
        <v>4.7</v>
      </c>
      <c r="E26">
        <v>9374</v>
      </c>
      <c r="F26">
        <v>9</v>
      </c>
      <c r="G26">
        <v>2017</v>
      </c>
      <c r="H26" s="81" t="s">
        <v>382</v>
      </c>
    </row>
    <row r="27" spans="1:8">
      <c r="A27">
        <v>27</v>
      </c>
      <c r="B27" s="81" t="s">
        <v>430</v>
      </c>
      <c r="C27" s="81" t="s">
        <v>431</v>
      </c>
      <c r="D27">
        <v>4.2</v>
      </c>
      <c r="E27">
        <v>491</v>
      </c>
      <c r="F27">
        <v>14</v>
      </c>
      <c r="G27">
        <v>2010</v>
      </c>
      <c r="H27" s="81" t="s">
        <v>382</v>
      </c>
    </row>
    <row r="28" spans="1:8">
      <c r="A28">
        <v>28</v>
      </c>
      <c r="B28" s="81" t="s">
        <v>432</v>
      </c>
      <c r="C28" s="81" t="s">
        <v>433</v>
      </c>
      <c r="D28">
        <v>4.5999999999999996</v>
      </c>
      <c r="E28">
        <v>5360</v>
      </c>
      <c r="F28">
        <v>5</v>
      </c>
      <c r="G28">
        <v>2015</v>
      </c>
      <c r="H28" s="81" t="s">
        <v>382</v>
      </c>
    </row>
    <row r="29" spans="1:8">
      <c r="A29">
        <v>29</v>
      </c>
      <c r="B29" s="81" t="s">
        <v>434</v>
      </c>
      <c r="C29" s="81" t="s">
        <v>435</v>
      </c>
      <c r="D29">
        <v>4.5999999999999996</v>
      </c>
      <c r="E29">
        <v>1909</v>
      </c>
      <c r="F29">
        <v>11</v>
      </c>
      <c r="G29">
        <v>2015</v>
      </c>
      <c r="H29" s="81" t="s">
        <v>382</v>
      </c>
    </row>
    <row r="30" spans="1:8">
      <c r="A30">
        <v>30</v>
      </c>
      <c r="B30" s="81" t="s">
        <v>436</v>
      </c>
      <c r="C30" s="81" t="s">
        <v>437</v>
      </c>
      <c r="D30">
        <v>4.8</v>
      </c>
      <c r="E30">
        <v>1296</v>
      </c>
      <c r="F30">
        <v>24</v>
      </c>
      <c r="G30">
        <v>2012</v>
      </c>
      <c r="H30" s="81" t="s">
        <v>382</v>
      </c>
    </row>
    <row r="31" spans="1:8">
      <c r="A31">
        <v>31</v>
      </c>
      <c r="B31" s="81" t="s">
        <v>438</v>
      </c>
      <c r="C31" s="81" t="s">
        <v>437</v>
      </c>
      <c r="D31">
        <v>4.7</v>
      </c>
      <c r="E31">
        <v>615</v>
      </c>
      <c r="F31">
        <v>21</v>
      </c>
      <c r="G31">
        <v>2010</v>
      </c>
      <c r="H31" s="81" t="s">
        <v>382</v>
      </c>
    </row>
    <row r="32" spans="1:8">
      <c r="A32">
        <v>32</v>
      </c>
      <c r="B32" s="81" t="s">
        <v>439</v>
      </c>
      <c r="C32" s="81" t="s">
        <v>440</v>
      </c>
      <c r="D32">
        <v>4.8</v>
      </c>
      <c r="E32">
        <v>61133</v>
      </c>
      <c r="F32">
        <v>11</v>
      </c>
      <c r="G32">
        <v>2018</v>
      </c>
      <c r="H32" s="81" t="s">
        <v>382</v>
      </c>
    </row>
    <row r="33" spans="1:8">
      <c r="A33">
        <v>34</v>
      </c>
      <c r="B33" s="81" t="s">
        <v>441</v>
      </c>
      <c r="C33" s="81" t="s">
        <v>442</v>
      </c>
      <c r="D33">
        <v>4.8</v>
      </c>
      <c r="E33">
        <v>11113</v>
      </c>
      <c r="F33">
        <v>15</v>
      </c>
      <c r="G33">
        <v>2015</v>
      </c>
      <c r="H33" s="81" t="s">
        <v>382</v>
      </c>
    </row>
    <row r="34" spans="1:8">
      <c r="A34">
        <v>35</v>
      </c>
      <c r="B34" s="81" t="s">
        <v>443</v>
      </c>
      <c r="C34" s="81" t="s">
        <v>444</v>
      </c>
      <c r="D34">
        <v>4.7</v>
      </c>
      <c r="E34">
        <v>10070</v>
      </c>
      <c r="F34">
        <v>13</v>
      </c>
      <c r="G34">
        <v>2015</v>
      </c>
      <c r="H34" s="81" t="s">
        <v>382</v>
      </c>
    </row>
    <row r="35" spans="1:8">
      <c r="A35">
        <v>37</v>
      </c>
      <c r="B35" s="81" t="s">
        <v>445</v>
      </c>
      <c r="C35" s="81" t="s">
        <v>446</v>
      </c>
      <c r="D35">
        <v>4.7</v>
      </c>
      <c r="E35">
        <v>3729</v>
      </c>
      <c r="F35">
        <v>18</v>
      </c>
      <c r="G35">
        <v>2016</v>
      </c>
      <c r="H35" s="81" t="s">
        <v>382</v>
      </c>
    </row>
    <row r="36" spans="1:8">
      <c r="A36">
        <v>38</v>
      </c>
      <c r="B36" s="81" t="s">
        <v>447</v>
      </c>
      <c r="C36" s="81" t="s">
        <v>448</v>
      </c>
      <c r="D36">
        <v>4.5999999999999996</v>
      </c>
      <c r="E36">
        <v>9769</v>
      </c>
      <c r="F36">
        <v>13</v>
      </c>
      <c r="G36">
        <v>2009</v>
      </c>
      <c r="H36" s="81" t="s">
        <v>385</v>
      </c>
    </row>
    <row r="37" spans="1:8">
      <c r="A37">
        <v>39</v>
      </c>
      <c r="B37" s="81" t="s">
        <v>449</v>
      </c>
      <c r="C37" s="81" t="s">
        <v>427</v>
      </c>
      <c r="D37">
        <v>4.5</v>
      </c>
      <c r="E37">
        <v>471</v>
      </c>
      <c r="F37">
        <v>8</v>
      </c>
      <c r="G37">
        <v>2010</v>
      </c>
      <c r="H37" s="81" t="s">
        <v>382</v>
      </c>
    </row>
    <row r="38" spans="1:8">
      <c r="A38">
        <v>40</v>
      </c>
      <c r="B38" s="81" t="s">
        <v>450</v>
      </c>
      <c r="C38" s="81" t="s">
        <v>451</v>
      </c>
      <c r="D38">
        <v>4.9000000000000004</v>
      </c>
      <c r="E38">
        <v>14344</v>
      </c>
      <c r="F38">
        <v>5</v>
      </c>
      <c r="G38">
        <v>2017</v>
      </c>
      <c r="H38" s="81" t="s">
        <v>385</v>
      </c>
    </row>
    <row r="39" spans="1:8">
      <c r="A39">
        <v>42</v>
      </c>
      <c r="B39" s="81" t="s">
        <v>452</v>
      </c>
      <c r="C39" s="81" t="s">
        <v>453</v>
      </c>
      <c r="D39">
        <v>4.8</v>
      </c>
      <c r="E39">
        <v>4505</v>
      </c>
      <c r="F39">
        <v>0</v>
      </c>
      <c r="G39">
        <v>2011</v>
      </c>
      <c r="H39" s="81" t="s">
        <v>385</v>
      </c>
    </row>
    <row r="40" spans="1:8">
      <c r="A40">
        <v>43</v>
      </c>
      <c r="B40" s="81" t="s">
        <v>454</v>
      </c>
      <c r="C40" s="81" t="s">
        <v>455</v>
      </c>
      <c r="D40">
        <v>4.5999999999999996</v>
      </c>
      <c r="E40">
        <v>10369</v>
      </c>
      <c r="F40">
        <v>4</v>
      </c>
      <c r="G40">
        <v>2016</v>
      </c>
      <c r="H40" s="81" t="s">
        <v>382</v>
      </c>
    </row>
    <row r="41" spans="1:8">
      <c r="A41">
        <v>44</v>
      </c>
      <c r="B41" s="81" t="s">
        <v>456</v>
      </c>
      <c r="C41" s="81" t="s">
        <v>457</v>
      </c>
      <c r="D41">
        <v>4.8</v>
      </c>
      <c r="E41">
        <v>16244</v>
      </c>
      <c r="F41">
        <v>18</v>
      </c>
      <c r="G41">
        <v>2019</v>
      </c>
      <c r="H41" s="81" t="s">
        <v>382</v>
      </c>
    </row>
    <row r="42" spans="1:8">
      <c r="A42">
        <v>45</v>
      </c>
      <c r="B42" s="81" t="s">
        <v>458</v>
      </c>
      <c r="C42" s="81" t="s">
        <v>459</v>
      </c>
      <c r="D42">
        <v>4.5</v>
      </c>
      <c r="E42">
        <v>2884</v>
      </c>
      <c r="F42">
        <v>28</v>
      </c>
      <c r="G42">
        <v>2014</v>
      </c>
      <c r="H42" s="81" t="s">
        <v>382</v>
      </c>
    </row>
    <row r="43" spans="1:8">
      <c r="A43">
        <v>46</v>
      </c>
      <c r="B43" s="81" t="s">
        <v>460</v>
      </c>
      <c r="C43" s="81" t="s">
        <v>461</v>
      </c>
      <c r="D43">
        <v>4.7</v>
      </c>
      <c r="E43">
        <v>22614</v>
      </c>
      <c r="F43">
        <v>11</v>
      </c>
      <c r="G43">
        <v>2010</v>
      </c>
      <c r="H43" s="81" t="s">
        <v>385</v>
      </c>
    </row>
    <row r="44" spans="1:8">
      <c r="A44">
        <v>49</v>
      </c>
      <c r="B44" s="81" t="s">
        <v>462</v>
      </c>
      <c r="C44" s="81" t="s">
        <v>463</v>
      </c>
      <c r="D44">
        <v>4.7</v>
      </c>
      <c r="E44">
        <v>4761</v>
      </c>
      <c r="F44">
        <v>16</v>
      </c>
      <c r="G44">
        <v>2016</v>
      </c>
      <c r="H44" s="81" t="s">
        <v>382</v>
      </c>
    </row>
    <row r="45" spans="1:8">
      <c r="A45">
        <v>50</v>
      </c>
      <c r="B45" s="81" t="s">
        <v>464</v>
      </c>
      <c r="C45" s="81" t="s">
        <v>465</v>
      </c>
      <c r="D45">
        <v>4.7</v>
      </c>
      <c r="E45">
        <v>1542</v>
      </c>
      <c r="F45">
        <v>14</v>
      </c>
      <c r="G45">
        <v>2009</v>
      </c>
      <c r="H45" s="81" t="s">
        <v>382</v>
      </c>
    </row>
    <row r="46" spans="1:8">
      <c r="A46">
        <v>53</v>
      </c>
      <c r="B46" s="81" t="s">
        <v>466</v>
      </c>
      <c r="C46" s="81" t="s">
        <v>467</v>
      </c>
      <c r="D46">
        <v>4.3</v>
      </c>
      <c r="E46">
        <v>6143</v>
      </c>
      <c r="F46">
        <v>8</v>
      </c>
      <c r="G46">
        <v>2018</v>
      </c>
      <c r="H46" s="81" t="s">
        <v>385</v>
      </c>
    </row>
    <row r="47" spans="1:8">
      <c r="A47">
        <v>54</v>
      </c>
      <c r="B47" s="81" t="s">
        <v>468</v>
      </c>
      <c r="C47" s="81" t="s">
        <v>469</v>
      </c>
      <c r="D47">
        <v>4.8</v>
      </c>
      <c r="E47">
        <v>4022</v>
      </c>
      <c r="F47">
        <v>4</v>
      </c>
      <c r="G47">
        <v>2015</v>
      </c>
      <c r="H47" s="81" t="s">
        <v>382</v>
      </c>
    </row>
    <row r="48" spans="1:8">
      <c r="A48">
        <v>55</v>
      </c>
      <c r="B48" s="81" t="s">
        <v>470</v>
      </c>
      <c r="C48" s="81" t="s">
        <v>469</v>
      </c>
      <c r="D48">
        <v>4.8</v>
      </c>
      <c r="E48">
        <v>3871</v>
      </c>
      <c r="F48">
        <v>5</v>
      </c>
      <c r="G48">
        <v>2015</v>
      </c>
      <c r="H48" s="81" t="s">
        <v>382</v>
      </c>
    </row>
    <row r="49" spans="1:8">
      <c r="A49">
        <v>56</v>
      </c>
      <c r="B49" s="81" t="s">
        <v>471</v>
      </c>
      <c r="C49" s="81" t="s">
        <v>472</v>
      </c>
      <c r="D49">
        <v>4.5999999999999996</v>
      </c>
      <c r="E49">
        <v>4866</v>
      </c>
      <c r="F49">
        <v>11</v>
      </c>
      <c r="G49">
        <v>2010</v>
      </c>
      <c r="H49" s="81" t="s">
        <v>385</v>
      </c>
    </row>
    <row r="50" spans="1:8">
      <c r="A50">
        <v>58</v>
      </c>
      <c r="B50" s="81" t="s">
        <v>473</v>
      </c>
      <c r="C50" s="81" t="s">
        <v>474</v>
      </c>
      <c r="D50">
        <v>4.8</v>
      </c>
      <c r="E50">
        <v>1329</v>
      </c>
      <c r="F50">
        <v>10</v>
      </c>
      <c r="G50">
        <v>2013</v>
      </c>
      <c r="H50" s="81" t="s">
        <v>382</v>
      </c>
    </row>
    <row r="51" spans="1:8">
      <c r="A51">
        <v>59</v>
      </c>
      <c r="B51" s="81" t="s">
        <v>475</v>
      </c>
      <c r="C51" s="81" t="s">
        <v>476</v>
      </c>
      <c r="D51">
        <v>4.4000000000000004</v>
      </c>
      <c r="E51">
        <v>4642</v>
      </c>
      <c r="F51">
        <v>13</v>
      </c>
      <c r="G51">
        <v>2013</v>
      </c>
      <c r="H51" s="81" t="s">
        <v>382</v>
      </c>
    </row>
    <row r="52" spans="1:8">
      <c r="A52">
        <v>60</v>
      </c>
      <c r="B52" s="81" t="s">
        <v>477</v>
      </c>
      <c r="C52" s="81" t="s">
        <v>478</v>
      </c>
      <c r="D52">
        <v>4.5999999999999996</v>
      </c>
      <c r="E52">
        <v>1541</v>
      </c>
      <c r="F52">
        <v>4</v>
      </c>
      <c r="G52">
        <v>2009</v>
      </c>
      <c r="H52" s="81" t="s">
        <v>385</v>
      </c>
    </row>
    <row r="53" spans="1:8">
      <c r="A53">
        <v>61</v>
      </c>
      <c r="B53" s="81" t="s">
        <v>479</v>
      </c>
      <c r="C53" s="81" t="s">
        <v>478</v>
      </c>
      <c r="D53">
        <v>4.3</v>
      </c>
      <c r="E53">
        <v>1924</v>
      </c>
      <c r="F53">
        <v>8</v>
      </c>
      <c r="G53">
        <v>2010</v>
      </c>
      <c r="H53" s="81" t="s">
        <v>385</v>
      </c>
    </row>
    <row r="54" spans="1:8">
      <c r="A54">
        <v>62</v>
      </c>
      <c r="B54" s="81" t="s">
        <v>480</v>
      </c>
      <c r="C54" s="81" t="s">
        <v>478</v>
      </c>
      <c r="D54">
        <v>4.2</v>
      </c>
      <c r="E54">
        <v>2094</v>
      </c>
      <c r="F54">
        <v>4</v>
      </c>
      <c r="G54">
        <v>2011</v>
      </c>
      <c r="H54" s="81" t="s">
        <v>385</v>
      </c>
    </row>
    <row r="55" spans="1:8">
      <c r="A55">
        <v>63</v>
      </c>
      <c r="B55" s="81" t="s">
        <v>481</v>
      </c>
      <c r="C55" s="81" t="s">
        <v>482</v>
      </c>
      <c r="D55">
        <v>4.8</v>
      </c>
      <c r="E55">
        <v>10922</v>
      </c>
      <c r="F55">
        <v>5</v>
      </c>
      <c r="G55">
        <v>2015</v>
      </c>
      <c r="H55" s="81" t="s">
        <v>385</v>
      </c>
    </row>
    <row r="56" spans="1:8">
      <c r="A56">
        <v>67</v>
      </c>
      <c r="B56" s="81" t="s">
        <v>483</v>
      </c>
      <c r="C56" s="81" t="s">
        <v>484</v>
      </c>
      <c r="D56">
        <v>4.5999999999999996</v>
      </c>
      <c r="E56">
        <v>2137</v>
      </c>
      <c r="F56">
        <v>17</v>
      </c>
      <c r="G56">
        <v>2010</v>
      </c>
      <c r="H56" s="81" t="s">
        <v>382</v>
      </c>
    </row>
    <row r="57" spans="1:8">
      <c r="A57">
        <v>68</v>
      </c>
      <c r="B57" s="81" t="s">
        <v>485</v>
      </c>
      <c r="C57" s="81" t="s">
        <v>486</v>
      </c>
      <c r="D57">
        <v>4.5999999999999996</v>
      </c>
      <c r="E57">
        <v>1651</v>
      </c>
      <c r="F57">
        <v>15</v>
      </c>
      <c r="G57">
        <v>2010</v>
      </c>
      <c r="H57" s="81" t="s">
        <v>382</v>
      </c>
    </row>
    <row r="58" spans="1:8">
      <c r="A58">
        <v>69</v>
      </c>
      <c r="B58" s="81" t="s">
        <v>487</v>
      </c>
      <c r="C58" s="81" t="s">
        <v>488</v>
      </c>
      <c r="D58">
        <v>4.5</v>
      </c>
      <c r="E58">
        <v>6679</v>
      </c>
      <c r="F58">
        <v>105</v>
      </c>
      <c r="G58">
        <v>2013</v>
      </c>
      <c r="H58" s="81" t="s">
        <v>382</v>
      </c>
    </row>
    <row r="59" spans="1:8">
      <c r="A59">
        <v>71</v>
      </c>
      <c r="B59" s="81" t="s">
        <v>489</v>
      </c>
      <c r="C59" s="81" t="s">
        <v>453</v>
      </c>
      <c r="D59">
        <v>4.8</v>
      </c>
      <c r="E59">
        <v>6812</v>
      </c>
      <c r="F59">
        <v>0</v>
      </c>
      <c r="G59">
        <v>2013</v>
      </c>
      <c r="H59" s="81" t="s">
        <v>385</v>
      </c>
    </row>
    <row r="60" spans="1:8">
      <c r="A60">
        <v>72</v>
      </c>
      <c r="B60" s="81" t="s">
        <v>490</v>
      </c>
      <c r="C60" s="81" t="s">
        <v>453</v>
      </c>
      <c r="D60">
        <v>4.8</v>
      </c>
      <c r="E60">
        <v>3837</v>
      </c>
      <c r="F60">
        <v>15</v>
      </c>
      <c r="G60">
        <v>2009</v>
      </c>
      <c r="H60" s="81" t="s">
        <v>385</v>
      </c>
    </row>
    <row r="61" spans="1:8">
      <c r="A61">
        <v>73</v>
      </c>
      <c r="B61" s="81" t="s">
        <v>491</v>
      </c>
      <c r="C61" s="81" t="s">
        <v>453</v>
      </c>
      <c r="D61">
        <v>4.8</v>
      </c>
      <c r="E61">
        <v>6540</v>
      </c>
      <c r="F61">
        <v>22</v>
      </c>
      <c r="G61">
        <v>2014</v>
      </c>
      <c r="H61" s="81" t="s">
        <v>385</v>
      </c>
    </row>
    <row r="62" spans="1:8">
      <c r="A62">
        <v>74</v>
      </c>
      <c r="B62" s="81" t="s">
        <v>492</v>
      </c>
      <c r="C62" s="81" t="s">
        <v>493</v>
      </c>
      <c r="D62">
        <v>4.5999999999999996</v>
      </c>
      <c r="E62">
        <v>7955</v>
      </c>
      <c r="F62">
        <v>5</v>
      </c>
      <c r="G62">
        <v>2019</v>
      </c>
      <c r="H62" s="81" t="s">
        <v>382</v>
      </c>
    </row>
    <row r="63" spans="1:8">
      <c r="A63">
        <v>75</v>
      </c>
      <c r="B63" s="81" t="s">
        <v>494</v>
      </c>
      <c r="C63" s="81" t="s">
        <v>421</v>
      </c>
      <c r="D63">
        <v>4.5999999999999996</v>
      </c>
      <c r="E63">
        <v>27098</v>
      </c>
      <c r="F63">
        <v>15</v>
      </c>
      <c r="G63">
        <v>2013</v>
      </c>
      <c r="H63" s="81" t="s">
        <v>385</v>
      </c>
    </row>
    <row r="64" spans="1:8">
      <c r="A64">
        <v>77</v>
      </c>
      <c r="B64" s="81" t="s">
        <v>495</v>
      </c>
      <c r="C64" s="81" t="s">
        <v>421</v>
      </c>
      <c r="D64">
        <v>4.5</v>
      </c>
      <c r="E64">
        <v>17684</v>
      </c>
      <c r="F64">
        <v>6</v>
      </c>
      <c r="G64">
        <v>2014</v>
      </c>
      <c r="H64" s="81" t="s">
        <v>385</v>
      </c>
    </row>
    <row r="65" spans="1:8">
      <c r="A65">
        <v>78</v>
      </c>
      <c r="B65" s="81" t="s">
        <v>496</v>
      </c>
      <c r="C65" s="81" t="s">
        <v>497</v>
      </c>
      <c r="D65">
        <v>4.5999999999999996</v>
      </c>
      <c r="E65">
        <v>37</v>
      </c>
      <c r="F65">
        <v>6</v>
      </c>
      <c r="G65">
        <v>2009</v>
      </c>
      <c r="H65" s="81" t="s">
        <v>382</v>
      </c>
    </row>
    <row r="66" spans="1:8">
      <c r="A66">
        <v>79</v>
      </c>
      <c r="B66" s="81" t="s">
        <v>498</v>
      </c>
      <c r="C66" s="81" t="s">
        <v>384</v>
      </c>
      <c r="D66">
        <v>4.7</v>
      </c>
      <c r="E66">
        <v>15845</v>
      </c>
      <c r="F66">
        <v>13</v>
      </c>
      <c r="G66">
        <v>2013</v>
      </c>
      <c r="H66" s="81" t="s">
        <v>385</v>
      </c>
    </row>
    <row r="67" spans="1:8">
      <c r="A67">
        <v>80</v>
      </c>
      <c r="B67" s="81" t="s">
        <v>499</v>
      </c>
      <c r="C67" s="81" t="s">
        <v>453</v>
      </c>
      <c r="D67">
        <v>4.8</v>
      </c>
      <c r="E67">
        <v>3181</v>
      </c>
      <c r="F67">
        <v>12</v>
      </c>
      <c r="G67">
        <v>2009</v>
      </c>
      <c r="H67" s="81" t="s">
        <v>385</v>
      </c>
    </row>
    <row r="68" spans="1:8">
      <c r="A68">
        <v>81</v>
      </c>
      <c r="B68" s="81" t="s">
        <v>500</v>
      </c>
      <c r="C68" s="81" t="s">
        <v>501</v>
      </c>
      <c r="D68">
        <v>4.9000000000000004</v>
      </c>
      <c r="E68">
        <v>5062</v>
      </c>
      <c r="F68">
        <v>6</v>
      </c>
      <c r="G68">
        <v>2018</v>
      </c>
      <c r="H68" s="81" t="s">
        <v>385</v>
      </c>
    </row>
    <row r="69" spans="1:8">
      <c r="A69">
        <v>82</v>
      </c>
      <c r="B69" s="81" t="s">
        <v>502</v>
      </c>
      <c r="C69" s="81" t="s">
        <v>501</v>
      </c>
      <c r="D69">
        <v>4.9000000000000004</v>
      </c>
      <c r="E69">
        <v>4786</v>
      </c>
      <c r="F69">
        <v>8</v>
      </c>
      <c r="G69">
        <v>2017</v>
      </c>
      <c r="H69" s="81" t="s">
        <v>385</v>
      </c>
    </row>
    <row r="70" spans="1:8">
      <c r="A70">
        <v>83</v>
      </c>
      <c r="B70" s="81" t="s">
        <v>503</v>
      </c>
      <c r="C70" s="81" t="s">
        <v>501</v>
      </c>
      <c r="D70">
        <v>4.9000000000000004</v>
      </c>
      <c r="E70">
        <v>7235</v>
      </c>
      <c r="F70">
        <v>4</v>
      </c>
      <c r="G70">
        <v>2018</v>
      </c>
      <c r="H70" s="81" t="s">
        <v>385</v>
      </c>
    </row>
    <row r="71" spans="1:8">
      <c r="A71">
        <v>85</v>
      </c>
      <c r="B71" s="81" t="s">
        <v>504</v>
      </c>
      <c r="C71" s="81" t="s">
        <v>501</v>
      </c>
      <c r="D71">
        <v>4.9000000000000004</v>
      </c>
      <c r="E71">
        <v>12619</v>
      </c>
      <c r="F71">
        <v>8</v>
      </c>
      <c r="G71">
        <v>2019</v>
      </c>
      <c r="H71" s="81" t="s">
        <v>385</v>
      </c>
    </row>
    <row r="72" spans="1:8">
      <c r="A72">
        <v>86</v>
      </c>
      <c r="B72" s="81" t="s">
        <v>505</v>
      </c>
      <c r="C72" s="81" t="s">
        <v>501</v>
      </c>
      <c r="D72">
        <v>4.9000000000000004</v>
      </c>
      <c r="E72">
        <v>9089</v>
      </c>
      <c r="F72">
        <v>8</v>
      </c>
      <c r="G72">
        <v>2019</v>
      </c>
      <c r="H72" s="81" t="s">
        <v>385</v>
      </c>
    </row>
    <row r="73" spans="1:8">
      <c r="A73">
        <v>87</v>
      </c>
      <c r="B73" s="81" t="s">
        <v>506</v>
      </c>
      <c r="C73" s="81" t="s">
        <v>501</v>
      </c>
      <c r="D73">
        <v>4.9000000000000004</v>
      </c>
      <c r="E73">
        <v>5470</v>
      </c>
      <c r="F73">
        <v>6</v>
      </c>
      <c r="G73">
        <v>2018</v>
      </c>
      <c r="H73" s="81" t="s">
        <v>385</v>
      </c>
    </row>
    <row r="74" spans="1:8">
      <c r="A74">
        <v>88</v>
      </c>
      <c r="B74" s="81" t="s">
        <v>507</v>
      </c>
      <c r="C74" s="81" t="s">
        <v>453</v>
      </c>
      <c r="D74">
        <v>4.8</v>
      </c>
      <c r="E74">
        <v>5118</v>
      </c>
      <c r="F74">
        <v>20</v>
      </c>
      <c r="G74">
        <v>2016</v>
      </c>
      <c r="H74" s="81" t="s">
        <v>385</v>
      </c>
    </row>
    <row r="75" spans="1:8">
      <c r="A75">
        <v>89</v>
      </c>
      <c r="B75" s="81" t="s">
        <v>508</v>
      </c>
      <c r="C75" s="81" t="s">
        <v>509</v>
      </c>
      <c r="D75">
        <v>4.5999999999999996</v>
      </c>
      <c r="E75">
        <v>2134</v>
      </c>
      <c r="F75">
        <v>5</v>
      </c>
      <c r="G75">
        <v>2015</v>
      </c>
      <c r="H75" s="81" t="s">
        <v>382</v>
      </c>
    </row>
    <row r="76" spans="1:8">
      <c r="A76">
        <v>90</v>
      </c>
      <c r="B76" s="81" t="s">
        <v>510</v>
      </c>
      <c r="C76" s="81" t="s">
        <v>511</v>
      </c>
      <c r="D76">
        <v>4.5</v>
      </c>
      <c r="E76">
        <v>2525</v>
      </c>
      <c r="F76">
        <v>16</v>
      </c>
      <c r="G76">
        <v>2010</v>
      </c>
      <c r="H76" s="81" t="s">
        <v>382</v>
      </c>
    </row>
    <row r="77" spans="1:8">
      <c r="A77">
        <v>91</v>
      </c>
      <c r="B77" s="81" t="s">
        <v>512</v>
      </c>
      <c r="C77" s="81" t="s">
        <v>513</v>
      </c>
      <c r="D77">
        <v>4.5</v>
      </c>
      <c r="E77">
        <v>720</v>
      </c>
      <c r="F77">
        <v>1</v>
      </c>
      <c r="G77">
        <v>2009</v>
      </c>
      <c r="H77" s="81" t="s">
        <v>382</v>
      </c>
    </row>
    <row r="78" spans="1:8">
      <c r="A78">
        <v>92</v>
      </c>
      <c r="B78" s="81" t="s">
        <v>514</v>
      </c>
      <c r="C78" s="81" t="s">
        <v>513</v>
      </c>
      <c r="D78">
        <v>4.3</v>
      </c>
      <c r="E78">
        <v>956</v>
      </c>
      <c r="F78">
        <v>14</v>
      </c>
      <c r="G78">
        <v>2009</v>
      </c>
      <c r="H78" s="81" t="s">
        <v>382</v>
      </c>
    </row>
    <row r="79" spans="1:8">
      <c r="A79">
        <v>93</v>
      </c>
      <c r="B79" s="81" t="s">
        <v>515</v>
      </c>
      <c r="C79" s="81" t="s">
        <v>516</v>
      </c>
      <c r="D79">
        <v>4.5</v>
      </c>
      <c r="E79">
        <v>6346</v>
      </c>
      <c r="F79">
        <v>9</v>
      </c>
      <c r="G79">
        <v>2011</v>
      </c>
      <c r="H79" s="81" t="s">
        <v>382</v>
      </c>
    </row>
    <row r="80" spans="1:8">
      <c r="A80">
        <v>95</v>
      </c>
      <c r="B80" s="81" t="s">
        <v>517</v>
      </c>
      <c r="C80" s="81" t="s">
        <v>448</v>
      </c>
      <c r="D80">
        <v>4.7</v>
      </c>
      <c r="E80">
        <v>5505</v>
      </c>
      <c r="F80">
        <v>7</v>
      </c>
      <c r="G80">
        <v>2009</v>
      </c>
      <c r="H80" s="81" t="s">
        <v>385</v>
      </c>
    </row>
    <row r="81" spans="1:8">
      <c r="A81">
        <v>96</v>
      </c>
      <c r="B81" s="81" t="s">
        <v>518</v>
      </c>
      <c r="C81" s="81" t="s">
        <v>448</v>
      </c>
      <c r="D81">
        <v>4.7</v>
      </c>
      <c r="E81">
        <v>5505</v>
      </c>
      <c r="F81">
        <v>18</v>
      </c>
      <c r="G81">
        <v>2009</v>
      </c>
      <c r="H81" s="81" t="s">
        <v>385</v>
      </c>
    </row>
    <row r="82" spans="1:8">
      <c r="A82">
        <v>97</v>
      </c>
      <c r="B82" s="81" t="s">
        <v>519</v>
      </c>
      <c r="C82" s="81" t="s">
        <v>520</v>
      </c>
      <c r="D82">
        <v>4.7</v>
      </c>
      <c r="E82">
        <v>28729</v>
      </c>
      <c r="F82">
        <v>15</v>
      </c>
      <c r="G82">
        <v>2018</v>
      </c>
      <c r="H82" s="81" t="s">
        <v>382</v>
      </c>
    </row>
    <row r="83" spans="1:8">
      <c r="A83">
        <v>99</v>
      </c>
      <c r="B83" s="81" t="s">
        <v>521</v>
      </c>
      <c r="C83" s="81" t="s">
        <v>522</v>
      </c>
      <c r="D83">
        <v>4.7</v>
      </c>
      <c r="E83">
        <v>5413</v>
      </c>
      <c r="F83">
        <v>9</v>
      </c>
      <c r="G83">
        <v>2015</v>
      </c>
      <c r="H83" s="81" t="s">
        <v>382</v>
      </c>
    </row>
    <row r="84" spans="1:8">
      <c r="A84">
        <v>100</v>
      </c>
      <c r="B84" s="81" t="s">
        <v>523</v>
      </c>
      <c r="C84" s="81" t="s">
        <v>524</v>
      </c>
      <c r="D84">
        <v>4.5999999999999996</v>
      </c>
      <c r="E84">
        <v>10721</v>
      </c>
      <c r="F84">
        <v>8</v>
      </c>
      <c r="G84">
        <v>2016</v>
      </c>
      <c r="H84" s="81" t="s">
        <v>385</v>
      </c>
    </row>
    <row r="85" spans="1:8">
      <c r="A85">
        <v>102</v>
      </c>
      <c r="B85" s="81" t="s">
        <v>525</v>
      </c>
      <c r="C85" s="81" t="s">
        <v>526</v>
      </c>
      <c r="D85">
        <v>4.7</v>
      </c>
      <c r="E85">
        <v>4370</v>
      </c>
      <c r="F85">
        <v>15</v>
      </c>
      <c r="G85">
        <v>2016</v>
      </c>
      <c r="H85" s="81" t="s">
        <v>385</v>
      </c>
    </row>
    <row r="86" spans="1:8">
      <c r="A86">
        <v>103</v>
      </c>
      <c r="B86" s="81" t="s">
        <v>527</v>
      </c>
      <c r="C86" s="81" t="s">
        <v>528</v>
      </c>
      <c r="D86">
        <v>4.4000000000000004</v>
      </c>
      <c r="E86">
        <v>6042</v>
      </c>
      <c r="F86">
        <v>2</v>
      </c>
      <c r="G86">
        <v>2018</v>
      </c>
      <c r="H86" s="81" t="s">
        <v>382</v>
      </c>
    </row>
    <row r="87" spans="1:8">
      <c r="A87">
        <v>104</v>
      </c>
      <c r="B87" s="81" t="s">
        <v>529</v>
      </c>
      <c r="C87" s="81" t="s">
        <v>530</v>
      </c>
      <c r="D87">
        <v>4.4000000000000004</v>
      </c>
      <c r="E87">
        <v>23631</v>
      </c>
      <c r="F87">
        <v>7</v>
      </c>
      <c r="G87">
        <v>2012</v>
      </c>
      <c r="H87" s="81" t="s">
        <v>385</v>
      </c>
    </row>
    <row r="88" spans="1:8">
      <c r="A88">
        <v>105</v>
      </c>
      <c r="B88" s="81" t="s">
        <v>531</v>
      </c>
      <c r="C88" s="81" t="s">
        <v>530</v>
      </c>
      <c r="D88">
        <v>4.5</v>
      </c>
      <c r="E88">
        <v>20262</v>
      </c>
      <c r="F88">
        <v>11</v>
      </c>
      <c r="G88">
        <v>2012</v>
      </c>
      <c r="H88" s="81" t="s">
        <v>385</v>
      </c>
    </row>
    <row r="89" spans="1:8">
      <c r="A89">
        <v>106</v>
      </c>
      <c r="B89" s="81" t="s">
        <v>532</v>
      </c>
      <c r="C89" s="81" t="s">
        <v>530</v>
      </c>
      <c r="D89">
        <v>3.8</v>
      </c>
      <c r="E89">
        <v>47265</v>
      </c>
      <c r="F89">
        <v>14</v>
      </c>
      <c r="G89">
        <v>2012</v>
      </c>
      <c r="H89" s="81" t="s">
        <v>385</v>
      </c>
    </row>
    <row r="90" spans="1:8">
      <c r="A90">
        <v>108</v>
      </c>
      <c r="B90" s="81" t="s">
        <v>533</v>
      </c>
      <c r="C90" s="81" t="s">
        <v>530</v>
      </c>
      <c r="D90">
        <v>4.5</v>
      </c>
      <c r="E90">
        <v>13964</v>
      </c>
      <c r="F90">
        <v>32</v>
      </c>
      <c r="G90">
        <v>2012</v>
      </c>
      <c r="H90" s="81" t="s">
        <v>385</v>
      </c>
    </row>
    <row r="91" spans="1:8">
      <c r="A91">
        <v>109</v>
      </c>
      <c r="B91" s="81" t="s">
        <v>534</v>
      </c>
      <c r="C91" s="81" t="s">
        <v>535</v>
      </c>
      <c r="D91">
        <v>4.2</v>
      </c>
      <c r="E91">
        <v>13677</v>
      </c>
      <c r="F91">
        <v>6</v>
      </c>
      <c r="G91">
        <v>2018</v>
      </c>
      <c r="H91" s="81" t="s">
        <v>382</v>
      </c>
    </row>
    <row r="92" spans="1:8">
      <c r="A92">
        <v>110</v>
      </c>
      <c r="B92" s="81" t="s">
        <v>536</v>
      </c>
      <c r="C92" s="81" t="s">
        <v>537</v>
      </c>
      <c r="D92">
        <v>4.7</v>
      </c>
      <c r="E92">
        <v>17323</v>
      </c>
      <c r="F92">
        <v>4</v>
      </c>
      <c r="G92">
        <v>2014</v>
      </c>
      <c r="H92" s="81" t="s">
        <v>382</v>
      </c>
    </row>
    <row r="93" spans="1:8">
      <c r="A93">
        <v>115</v>
      </c>
      <c r="B93" s="81" t="s">
        <v>538</v>
      </c>
      <c r="C93" s="81" t="s">
        <v>539</v>
      </c>
      <c r="D93">
        <v>4.4000000000000004</v>
      </c>
      <c r="E93">
        <v>1555</v>
      </c>
      <c r="F93">
        <v>9</v>
      </c>
      <c r="G93">
        <v>2010</v>
      </c>
      <c r="H93" s="81" t="s">
        <v>382</v>
      </c>
    </row>
    <row r="94" spans="1:8">
      <c r="A94">
        <v>116</v>
      </c>
      <c r="B94" s="81" t="s">
        <v>540</v>
      </c>
      <c r="C94" s="81" t="s">
        <v>541</v>
      </c>
      <c r="D94">
        <v>4.7</v>
      </c>
      <c r="E94">
        <v>3642</v>
      </c>
      <c r="F94">
        <v>0</v>
      </c>
      <c r="G94">
        <v>2014</v>
      </c>
      <c r="H94" s="81" t="s">
        <v>385</v>
      </c>
    </row>
    <row r="95" spans="1:8">
      <c r="A95">
        <v>117</v>
      </c>
      <c r="B95" s="81" t="s">
        <v>542</v>
      </c>
      <c r="C95" s="81" t="s">
        <v>543</v>
      </c>
      <c r="D95">
        <v>4.4000000000000004</v>
      </c>
      <c r="E95">
        <v>1215</v>
      </c>
      <c r="F95">
        <v>9</v>
      </c>
      <c r="G95">
        <v>2010</v>
      </c>
      <c r="H95" s="81" t="s">
        <v>382</v>
      </c>
    </row>
    <row r="96" spans="1:8">
      <c r="A96">
        <v>118</v>
      </c>
      <c r="B96" s="81" t="s">
        <v>544</v>
      </c>
      <c r="C96" s="81" t="s">
        <v>545</v>
      </c>
      <c r="D96">
        <v>4.5999999999999996</v>
      </c>
      <c r="E96">
        <v>5594</v>
      </c>
      <c r="F96">
        <v>5</v>
      </c>
      <c r="G96">
        <v>2011</v>
      </c>
      <c r="H96" s="81" t="s">
        <v>385</v>
      </c>
    </row>
    <row r="97" spans="1:8">
      <c r="A97">
        <v>121</v>
      </c>
      <c r="B97" s="81" t="s">
        <v>546</v>
      </c>
      <c r="C97" s="81" t="s">
        <v>547</v>
      </c>
      <c r="D97">
        <v>4.5</v>
      </c>
      <c r="E97">
        <v>408</v>
      </c>
      <c r="F97">
        <v>20</v>
      </c>
      <c r="G97">
        <v>2010</v>
      </c>
      <c r="H97" s="81" t="s">
        <v>382</v>
      </c>
    </row>
    <row r="98" spans="1:8">
      <c r="A98">
        <v>122</v>
      </c>
      <c r="B98" s="81" t="s">
        <v>548</v>
      </c>
      <c r="C98" s="81" t="s">
        <v>549</v>
      </c>
      <c r="D98">
        <v>4.5999999999999996</v>
      </c>
      <c r="E98">
        <v>4799</v>
      </c>
      <c r="F98">
        <v>16</v>
      </c>
      <c r="G98">
        <v>2013</v>
      </c>
      <c r="H98" s="81" t="s">
        <v>382</v>
      </c>
    </row>
    <row r="99" spans="1:8">
      <c r="A99">
        <v>123</v>
      </c>
      <c r="B99" s="81" t="s">
        <v>550</v>
      </c>
      <c r="C99" s="81" t="s">
        <v>551</v>
      </c>
      <c r="D99">
        <v>4.8</v>
      </c>
      <c r="E99">
        <v>14038</v>
      </c>
      <c r="F99">
        <v>4</v>
      </c>
      <c r="G99">
        <v>2015</v>
      </c>
      <c r="H99" s="81" t="s">
        <v>385</v>
      </c>
    </row>
    <row r="100" spans="1:8">
      <c r="A100">
        <v>128</v>
      </c>
      <c r="B100" s="81" t="s">
        <v>552</v>
      </c>
      <c r="C100" s="81" t="s">
        <v>553</v>
      </c>
      <c r="D100">
        <v>4.5999999999999996</v>
      </c>
      <c r="E100">
        <v>7660</v>
      </c>
      <c r="F100">
        <v>12</v>
      </c>
      <c r="G100">
        <v>2019</v>
      </c>
      <c r="H100" s="81" t="s">
        <v>382</v>
      </c>
    </row>
    <row r="101" spans="1:8">
      <c r="A101">
        <v>129</v>
      </c>
      <c r="B101" s="81" t="s">
        <v>554</v>
      </c>
      <c r="C101" s="81" t="s">
        <v>553</v>
      </c>
      <c r="D101">
        <v>4.5999999999999996</v>
      </c>
      <c r="E101">
        <v>22288</v>
      </c>
      <c r="F101">
        <v>12</v>
      </c>
      <c r="G101">
        <v>2018</v>
      </c>
      <c r="H101" s="81" t="s">
        <v>382</v>
      </c>
    </row>
    <row r="102" spans="1:8">
      <c r="A102">
        <v>131</v>
      </c>
      <c r="B102" s="81" t="s">
        <v>555</v>
      </c>
      <c r="C102" s="81" t="s">
        <v>427</v>
      </c>
      <c r="D102">
        <v>4.5999999999999996</v>
      </c>
      <c r="E102">
        <v>1365</v>
      </c>
      <c r="F102">
        <v>11</v>
      </c>
      <c r="G102">
        <v>2009</v>
      </c>
      <c r="H102" s="81" t="s">
        <v>382</v>
      </c>
    </row>
    <row r="103" spans="1:8">
      <c r="A103">
        <v>132</v>
      </c>
      <c r="B103" s="81" t="s">
        <v>556</v>
      </c>
      <c r="C103" s="81" t="s">
        <v>557</v>
      </c>
      <c r="D103">
        <v>3.6</v>
      </c>
      <c r="E103">
        <v>14982</v>
      </c>
      <c r="F103">
        <v>19</v>
      </c>
      <c r="G103">
        <v>2015</v>
      </c>
      <c r="H103" s="81" t="s">
        <v>385</v>
      </c>
    </row>
    <row r="104" spans="1:8">
      <c r="A104">
        <v>133</v>
      </c>
      <c r="B104" s="81" t="s">
        <v>558</v>
      </c>
      <c r="C104" s="81" t="s">
        <v>559</v>
      </c>
      <c r="D104">
        <v>4.8</v>
      </c>
      <c r="E104">
        <v>9568</v>
      </c>
      <c r="F104">
        <v>9</v>
      </c>
      <c r="G104">
        <v>2011</v>
      </c>
      <c r="H104" s="81" t="s">
        <v>385</v>
      </c>
    </row>
    <row r="105" spans="1:8">
      <c r="A105">
        <v>134</v>
      </c>
      <c r="B105" s="81" t="s">
        <v>560</v>
      </c>
      <c r="C105" s="81" t="s">
        <v>561</v>
      </c>
      <c r="D105">
        <v>4.5999999999999996</v>
      </c>
      <c r="E105">
        <v>1636</v>
      </c>
      <c r="F105">
        <v>6</v>
      </c>
      <c r="G105">
        <v>2009</v>
      </c>
      <c r="H105" s="81" t="s">
        <v>382</v>
      </c>
    </row>
    <row r="106" spans="1:8">
      <c r="A106">
        <v>135</v>
      </c>
      <c r="B106" s="81" t="s">
        <v>562</v>
      </c>
      <c r="C106" s="81" t="s">
        <v>563</v>
      </c>
      <c r="D106">
        <v>4</v>
      </c>
      <c r="E106">
        <v>57271</v>
      </c>
      <c r="F106">
        <v>10</v>
      </c>
      <c r="G106">
        <v>2012</v>
      </c>
      <c r="H106" s="81" t="s">
        <v>385</v>
      </c>
    </row>
    <row r="107" spans="1:8">
      <c r="A107">
        <v>138</v>
      </c>
      <c r="B107" s="81" t="s">
        <v>564</v>
      </c>
      <c r="C107" s="81" t="s">
        <v>565</v>
      </c>
      <c r="D107">
        <v>4.5999999999999996</v>
      </c>
      <c r="E107">
        <v>10141</v>
      </c>
      <c r="F107">
        <v>6</v>
      </c>
      <c r="G107">
        <v>2019</v>
      </c>
      <c r="H107" s="81" t="s">
        <v>382</v>
      </c>
    </row>
    <row r="108" spans="1:8">
      <c r="A108">
        <v>139</v>
      </c>
      <c r="B108" s="81" t="s">
        <v>566</v>
      </c>
      <c r="C108" s="81" t="s">
        <v>567</v>
      </c>
      <c r="D108">
        <v>4.5</v>
      </c>
      <c r="E108">
        <v>3457</v>
      </c>
      <c r="F108">
        <v>14</v>
      </c>
      <c r="G108">
        <v>2009</v>
      </c>
      <c r="H108" s="81" t="s">
        <v>382</v>
      </c>
    </row>
    <row r="109" spans="1:8">
      <c r="A109">
        <v>143</v>
      </c>
      <c r="B109" s="81" t="s">
        <v>568</v>
      </c>
      <c r="C109" s="81" t="s">
        <v>569</v>
      </c>
      <c r="D109">
        <v>4.8</v>
      </c>
      <c r="E109">
        <v>8837</v>
      </c>
      <c r="F109">
        <v>5</v>
      </c>
      <c r="G109">
        <v>2017</v>
      </c>
      <c r="H109" s="81" t="s">
        <v>385</v>
      </c>
    </row>
    <row r="110" spans="1:8">
      <c r="A110">
        <v>146</v>
      </c>
      <c r="B110" s="81" t="s">
        <v>570</v>
      </c>
      <c r="C110" s="81" t="s">
        <v>571</v>
      </c>
      <c r="D110">
        <v>4.9000000000000004</v>
      </c>
      <c r="E110">
        <v>7038</v>
      </c>
      <c r="F110">
        <v>7</v>
      </c>
      <c r="G110">
        <v>2012</v>
      </c>
      <c r="H110" s="81" t="s">
        <v>385</v>
      </c>
    </row>
    <row r="111" spans="1:8">
      <c r="A111">
        <v>148</v>
      </c>
      <c r="B111" s="81" t="s">
        <v>572</v>
      </c>
      <c r="C111" s="81" t="s">
        <v>573</v>
      </c>
      <c r="D111">
        <v>4.5999999999999996</v>
      </c>
      <c r="E111">
        <v>5972</v>
      </c>
      <c r="F111">
        <v>10</v>
      </c>
      <c r="G111">
        <v>2014</v>
      </c>
      <c r="H111" s="81" t="s">
        <v>382</v>
      </c>
    </row>
    <row r="112" spans="1:8">
      <c r="A112">
        <v>149</v>
      </c>
      <c r="B112" s="81" t="s">
        <v>574</v>
      </c>
      <c r="C112" s="81" t="s">
        <v>530</v>
      </c>
      <c r="D112">
        <v>4.4000000000000004</v>
      </c>
      <c r="E112">
        <v>25624</v>
      </c>
      <c r="F112">
        <v>14</v>
      </c>
      <c r="G112">
        <v>2015</v>
      </c>
      <c r="H112" s="81" t="s">
        <v>385</v>
      </c>
    </row>
    <row r="113" spans="1:8">
      <c r="A113">
        <v>150</v>
      </c>
      <c r="B113" s="81" t="s">
        <v>575</v>
      </c>
      <c r="C113" s="81" t="s">
        <v>576</v>
      </c>
      <c r="D113">
        <v>4.8</v>
      </c>
      <c r="E113">
        <v>5476</v>
      </c>
      <c r="F113">
        <v>7</v>
      </c>
      <c r="G113">
        <v>2019</v>
      </c>
      <c r="H113" s="81" t="s">
        <v>382</v>
      </c>
    </row>
    <row r="114" spans="1:8">
      <c r="A114">
        <v>151</v>
      </c>
      <c r="B114" s="81" t="s">
        <v>577</v>
      </c>
      <c r="C114" s="81" t="s">
        <v>578</v>
      </c>
      <c r="D114">
        <v>4.9000000000000004</v>
      </c>
      <c r="E114">
        <v>5867</v>
      </c>
      <c r="F114">
        <v>54</v>
      </c>
      <c r="G114">
        <v>2016</v>
      </c>
      <c r="H114" s="81" t="s">
        <v>382</v>
      </c>
    </row>
    <row r="115" spans="1:8">
      <c r="A115">
        <v>152</v>
      </c>
      <c r="B115" s="81" t="s">
        <v>579</v>
      </c>
      <c r="C115" s="81" t="s">
        <v>580</v>
      </c>
      <c r="D115">
        <v>4.8</v>
      </c>
      <c r="E115">
        <v>4148</v>
      </c>
      <c r="F115">
        <v>11</v>
      </c>
      <c r="G115">
        <v>2013</v>
      </c>
      <c r="H115" s="81" t="s">
        <v>382</v>
      </c>
    </row>
    <row r="116" spans="1:8">
      <c r="A116">
        <v>153</v>
      </c>
      <c r="B116" s="81" t="s">
        <v>581</v>
      </c>
      <c r="C116" s="81" t="s">
        <v>526</v>
      </c>
      <c r="D116">
        <v>4.9000000000000004</v>
      </c>
      <c r="E116">
        <v>19622</v>
      </c>
      <c r="F116">
        <v>30</v>
      </c>
      <c r="G116">
        <v>2016</v>
      </c>
      <c r="H116" s="81" t="s">
        <v>385</v>
      </c>
    </row>
    <row r="117" spans="1:8">
      <c r="A117">
        <v>154</v>
      </c>
      <c r="B117" s="81" t="s">
        <v>582</v>
      </c>
      <c r="C117" s="81" t="s">
        <v>526</v>
      </c>
      <c r="D117">
        <v>4</v>
      </c>
      <c r="E117">
        <v>23973</v>
      </c>
      <c r="F117">
        <v>12</v>
      </c>
      <c r="G117">
        <v>2016</v>
      </c>
      <c r="H117" s="81" t="s">
        <v>385</v>
      </c>
    </row>
    <row r="118" spans="1:8">
      <c r="A118">
        <v>155</v>
      </c>
      <c r="B118" s="81" t="s">
        <v>583</v>
      </c>
      <c r="C118" s="81" t="s">
        <v>584</v>
      </c>
      <c r="D118">
        <v>4.9000000000000004</v>
      </c>
      <c r="E118">
        <v>7758</v>
      </c>
      <c r="F118">
        <v>18</v>
      </c>
      <c r="G118">
        <v>2019</v>
      </c>
      <c r="H118" s="81" t="s">
        <v>385</v>
      </c>
    </row>
    <row r="119" spans="1:8">
      <c r="A119">
        <v>156</v>
      </c>
      <c r="B119" s="81" t="s">
        <v>585</v>
      </c>
      <c r="C119" s="81" t="s">
        <v>526</v>
      </c>
      <c r="D119">
        <v>4.9000000000000004</v>
      </c>
      <c r="E119">
        <v>3146</v>
      </c>
      <c r="F119">
        <v>30</v>
      </c>
      <c r="G119">
        <v>2017</v>
      </c>
      <c r="H119" s="81" t="s">
        <v>385</v>
      </c>
    </row>
    <row r="120" spans="1:8">
      <c r="A120">
        <v>157</v>
      </c>
      <c r="B120" s="81" t="s">
        <v>586</v>
      </c>
      <c r="C120" s="81" t="s">
        <v>526</v>
      </c>
      <c r="D120">
        <v>4.9000000000000004</v>
      </c>
      <c r="E120">
        <v>10052</v>
      </c>
      <c r="F120">
        <v>22</v>
      </c>
      <c r="G120">
        <v>2016</v>
      </c>
      <c r="H120" s="81" t="s">
        <v>385</v>
      </c>
    </row>
    <row r="121" spans="1:8">
      <c r="A121">
        <v>158</v>
      </c>
      <c r="B121" s="81" t="s">
        <v>587</v>
      </c>
      <c r="C121" s="81" t="s">
        <v>588</v>
      </c>
      <c r="D121">
        <v>4.7</v>
      </c>
      <c r="E121">
        <v>3564</v>
      </c>
      <c r="F121">
        <v>9</v>
      </c>
      <c r="G121">
        <v>2015</v>
      </c>
      <c r="H121" s="81" t="s">
        <v>382</v>
      </c>
    </row>
    <row r="122" spans="1:8">
      <c r="A122">
        <v>159</v>
      </c>
      <c r="B122" s="81" t="s">
        <v>589</v>
      </c>
      <c r="C122" s="81" t="s">
        <v>584</v>
      </c>
      <c r="D122">
        <v>4.8</v>
      </c>
      <c r="E122">
        <v>13471</v>
      </c>
      <c r="F122">
        <v>52</v>
      </c>
      <c r="G122">
        <v>2016</v>
      </c>
      <c r="H122" s="81" t="s">
        <v>385</v>
      </c>
    </row>
    <row r="123" spans="1:8">
      <c r="A123">
        <v>160</v>
      </c>
      <c r="B123" s="81" t="s">
        <v>590</v>
      </c>
      <c r="C123" s="81" t="s">
        <v>591</v>
      </c>
      <c r="D123">
        <v>4.8</v>
      </c>
      <c r="E123">
        <v>1930</v>
      </c>
      <c r="F123">
        <v>4</v>
      </c>
      <c r="G123">
        <v>2009</v>
      </c>
      <c r="H123" s="81" t="s">
        <v>382</v>
      </c>
    </row>
    <row r="124" spans="1:8">
      <c r="A124">
        <v>161</v>
      </c>
      <c r="B124" s="81" t="s">
        <v>592</v>
      </c>
      <c r="C124" s="81" t="s">
        <v>593</v>
      </c>
      <c r="D124">
        <v>4.7</v>
      </c>
      <c r="E124">
        <v>15779</v>
      </c>
      <c r="F124">
        <v>10</v>
      </c>
      <c r="G124">
        <v>2011</v>
      </c>
      <c r="H124" s="81" t="s">
        <v>382</v>
      </c>
    </row>
    <row r="125" spans="1:8">
      <c r="A125">
        <v>163</v>
      </c>
      <c r="B125" s="81" t="s">
        <v>594</v>
      </c>
      <c r="C125" s="81" t="s">
        <v>595</v>
      </c>
      <c r="D125">
        <v>4.4000000000000004</v>
      </c>
      <c r="E125">
        <v>15526</v>
      </c>
      <c r="F125">
        <v>14</v>
      </c>
      <c r="G125">
        <v>2016</v>
      </c>
      <c r="H125" s="81" t="s">
        <v>382</v>
      </c>
    </row>
    <row r="126" spans="1:8">
      <c r="A126">
        <v>165</v>
      </c>
      <c r="B126" s="81" t="s">
        <v>596</v>
      </c>
      <c r="C126" s="81" t="s">
        <v>597</v>
      </c>
      <c r="D126">
        <v>4.8</v>
      </c>
      <c r="E126">
        <v>3776</v>
      </c>
      <c r="F126">
        <v>22</v>
      </c>
      <c r="G126">
        <v>2018</v>
      </c>
      <c r="H126" s="81" t="s">
        <v>382</v>
      </c>
    </row>
    <row r="127" spans="1:8">
      <c r="A127">
        <v>166</v>
      </c>
      <c r="B127" s="81" t="s">
        <v>598</v>
      </c>
      <c r="C127" s="81" t="s">
        <v>599</v>
      </c>
      <c r="D127">
        <v>4.7</v>
      </c>
      <c r="E127">
        <v>25001</v>
      </c>
      <c r="F127">
        <v>11</v>
      </c>
      <c r="G127">
        <v>2014</v>
      </c>
      <c r="H127" s="81" t="s">
        <v>382</v>
      </c>
    </row>
    <row r="128" spans="1:8">
      <c r="A128">
        <v>171</v>
      </c>
      <c r="B128" s="81" t="s">
        <v>600</v>
      </c>
      <c r="C128" s="81" t="s">
        <v>601</v>
      </c>
      <c r="D128">
        <v>4.3</v>
      </c>
      <c r="E128">
        <v>5272</v>
      </c>
      <c r="F128">
        <v>16</v>
      </c>
      <c r="G128">
        <v>2019</v>
      </c>
      <c r="H128" s="81" t="s">
        <v>382</v>
      </c>
    </row>
    <row r="129" spans="1:8">
      <c r="A129">
        <v>172</v>
      </c>
      <c r="B129" s="81" t="s">
        <v>602</v>
      </c>
      <c r="C129" s="81" t="s">
        <v>603</v>
      </c>
      <c r="D129">
        <v>4.8</v>
      </c>
      <c r="E129">
        <v>3490</v>
      </c>
      <c r="F129">
        <v>15</v>
      </c>
      <c r="G129">
        <v>2013</v>
      </c>
      <c r="H129" s="81" t="s">
        <v>382</v>
      </c>
    </row>
    <row r="130" spans="1:8">
      <c r="A130">
        <v>174</v>
      </c>
      <c r="B130" s="81" t="s">
        <v>604</v>
      </c>
      <c r="C130" s="81" t="s">
        <v>603</v>
      </c>
      <c r="D130">
        <v>4.9000000000000004</v>
      </c>
      <c r="E130">
        <v>2812</v>
      </c>
      <c r="F130">
        <v>17</v>
      </c>
      <c r="G130">
        <v>2015</v>
      </c>
      <c r="H130" s="81" t="s">
        <v>382</v>
      </c>
    </row>
    <row r="131" spans="1:8">
      <c r="A131">
        <v>175</v>
      </c>
      <c r="B131" s="81" t="s">
        <v>605</v>
      </c>
      <c r="C131" s="81" t="s">
        <v>606</v>
      </c>
      <c r="D131">
        <v>4.7</v>
      </c>
      <c r="E131">
        <v>4896</v>
      </c>
      <c r="F131">
        <v>17</v>
      </c>
      <c r="G131">
        <v>2013</v>
      </c>
      <c r="H131" s="81" t="s">
        <v>382</v>
      </c>
    </row>
    <row r="132" spans="1:8">
      <c r="A132">
        <v>176</v>
      </c>
      <c r="B132" s="81" t="s">
        <v>607</v>
      </c>
      <c r="C132" s="81" t="s">
        <v>608</v>
      </c>
      <c r="D132">
        <v>4.8</v>
      </c>
      <c r="E132">
        <v>9737</v>
      </c>
      <c r="F132">
        <v>7</v>
      </c>
      <c r="G132">
        <v>2019</v>
      </c>
      <c r="H132" s="81" t="s">
        <v>382</v>
      </c>
    </row>
    <row r="133" spans="1:8">
      <c r="A133">
        <v>177</v>
      </c>
      <c r="B133" s="81" t="s">
        <v>609</v>
      </c>
      <c r="C133" s="81" t="s">
        <v>610</v>
      </c>
      <c r="D133">
        <v>4.5999999999999996</v>
      </c>
      <c r="E133">
        <v>1320</v>
      </c>
      <c r="F133">
        <v>7</v>
      </c>
      <c r="G133">
        <v>2009</v>
      </c>
      <c r="H133" s="81" t="s">
        <v>385</v>
      </c>
    </row>
    <row r="134" spans="1:8">
      <c r="A134">
        <v>178</v>
      </c>
      <c r="B134" s="81" t="s">
        <v>611</v>
      </c>
      <c r="C134" s="81" t="s">
        <v>612</v>
      </c>
      <c r="D134">
        <v>4.8</v>
      </c>
      <c r="E134">
        <v>16643</v>
      </c>
      <c r="F134">
        <v>4</v>
      </c>
      <c r="G134">
        <v>2017</v>
      </c>
      <c r="H134" s="81" t="s">
        <v>385</v>
      </c>
    </row>
    <row r="135" spans="1:8">
      <c r="A135">
        <v>180</v>
      </c>
      <c r="B135" s="81" t="s">
        <v>613</v>
      </c>
      <c r="C135" s="81" t="s">
        <v>614</v>
      </c>
      <c r="D135">
        <v>4.3</v>
      </c>
      <c r="E135">
        <v>7153</v>
      </c>
      <c r="F135">
        <v>9</v>
      </c>
      <c r="G135">
        <v>2014</v>
      </c>
      <c r="H135" s="81" t="s">
        <v>385</v>
      </c>
    </row>
    <row r="136" spans="1:8">
      <c r="A136">
        <v>181</v>
      </c>
      <c r="B136" s="81" t="s">
        <v>615</v>
      </c>
      <c r="C136" s="81" t="s">
        <v>616</v>
      </c>
      <c r="D136">
        <v>4.4000000000000004</v>
      </c>
      <c r="E136">
        <v>4571</v>
      </c>
      <c r="F136">
        <v>21</v>
      </c>
      <c r="G136">
        <v>2011</v>
      </c>
      <c r="H136" s="81" t="s">
        <v>382</v>
      </c>
    </row>
    <row r="137" spans="1:8">
      <c r="A137">
        <v>182</v>
      </c>
      <c r="B137" s="81" t="s">
        <v>617</v>
      </c>
      <c r="C137" s="81" t="s">
        <v>618</v>
      </c>
      <c r="D137">
        <v>4.0999999999999996</v>
      </c>
      <c r="E137">
        <v>29651</v>
      </c>
      <c r="F137">
        <v>14</v>
      </c>
      <c r="G137">
        <v>2013</v>
      </c>
      <c r="H137" s="81" t="s">
        <v>385</v>
      </c>
    </row>
    <row r="138" spans="1:8">
      <c r="A138">
        <v>183</v>
      </c>
      <c r="B138" s="81" t="s">
        <v>619</v>
      </c>
      <c r="C138" s="81" t="s">
        <v>620</v>
      </c>
      <c r="D138">
        <v>4.5999999999999996</v>
      </c>
      <c r="E138">
        <v>5299</v>
      </c>
      <c r="F138">
        <v>20</v>
      </c>
      <c r="G138">
        <v>2011</v>
      </c>
      <c r="H138" s="81" t="s">
        <v>385</v>
      </c>
    </row>
    <row r="139" spans="1:8">
      <c r="A139">
        <v>184</v>
      </c>
      <c r="B139" s="81" t="s">
        <v>621</v>
      </c>
      <c r="C139" s="81" t="s">
        <v>622</v>
      </c>
      <c r="D139">
        <v>4.4000000000000004</v>
      </c>
      <c r="E139">
        <v>7396</v>
      </c>
      <c r="F139">
        <v>13</v>
      </c>
      <c r="G139">
        <v>2019</v>
      </c>
      <c r="H139" s="81" t="s">
        <v>382</v>
      </c>
    </row>
    <row r="140" spans="1:8">
      <c r="A140">
        <v>186</v>
      </c>
      <c r="B140" s="81" t="s">
        <v>623</v>
      </c>
      <c r="C140" s="81" t="s">
        <v>624</v>
      </c>
      <c r="D140">
        <v>4.8</v>
      </c>
      <c r="E140">
        <v>7062</v>
      </c>
      <c r="F140">
        <v>12</v>
      </c>
      <c r="G140">
        <v>2019</v>
      </c>
      <c r="H140" s="81" t="s">
        <v>382</v>
      </c>
    </row>
    <row r="141" spans="1:8">
      <c r="A141">
        <v>187</v>
      </c>
      <c r="B141" s="81" t="s">
        <v>625</v>
      </c>
      <c r="C141" s="81" t="s">
        <v>626</v>
      </c>
      <c r="D141">
        <v>4.9000000000000004</v>
      </c>
      <c r="E141">
        <v>19576</v>
      </c>
      <c r="F141">
        <v>8</v>
      </c>
      <c r="G141">
        <v>2011</v>
      </c>
      <c r="H141" s="81" t="s">
        <v>382</v>
      </c>
    </row>
    <row r="142" spans="1:8">
      <c r="A142">
        <v>193</v>
      </c>
      <c r="B142" s="81" t="s">
        <v>627</v>
      </c>
      <c r="C142" s="81" t="s">
        <v>541</v>
      </c>
      <c r="D142">
        <v>4.5999999999999996</v>
      </c>
      <c r="E142">
        <v>978</v>
      </c>
      <c r="F142">
        <v>0</v>
      </c>
      <c r="G142">
        <v>2014</v>
      </c>
      <c r="H142" s="81" t="s">
        <v>385</v>
      </c>
    </row>
    <row r="143" spans="1:8">
      <c r="A143">
        <v>194</v>
      </c>
      <c r="B143" s="81" t="s">
        <v>628</v>
      </c>
      <c r="C143" s="81" t="s">
        <v>384</v>
      </c>
      <c r="D143">
        <v>4.5</v>
      </c>
      <c r="E143">
        <v>4748</v>
      </c>
      <c r="F143">
        <v>12</v>
      </c>
      <c r="G143">
        <v>2013</v>
      </c>
      <c r="H143" s="81" t="s">
        <v>385</v>
      </c>
    </row>
    <row r="144" spans="1:8">
      <c r="A144">
        <v>195</v>
      </c>
      <c r="B144" s="81" t="s">
        <v>629</v>
      </c>
      <c r="C144" s="81" t="s">
        <v>630</v>
      </c>
      <c r="D144">
        <v>4.5999999999999996</v>
      </c>
      <c r="E144">
        <v>8393</v>
      </c>
      <c r="F144">
        <v>17</v>
      </c>
      <c r="G144">
        <v>2017</v>
      </c>
      <c r="H144" s="81" t="s">
        <v>382</v>
      </c>
    </row>
    <row r="145" spans="1:8">
      <c r="A145">
        <v>196</v>
      </c>
      <c r="B145" s="81" t="s">
        <v>631</v>
      </c>
      <c r="C145" s="81" t="s">
        <v>632</v>
      </c>
      <c r="D145">
        <v>4.5</v>
      </c>
      <c r="E145">
        <v>11391</v>
      </c>
      <c r="F145">
        <v>12</v>
      </c>
      <c r="G145">
        <v>2013</v>
      </c>
      <c r="H145" s="81" t="s">
        <v>382</v>
      </c>
    </row>
    <row r="146" spans="1:8">
      <c r="A146">
        <v>197</v>
      </c>
      <c r="B146" s="81" t="s">
        <v>633</v>
      </c>
      <c r="C146" s="81" t="s">
        <v>632</v>
      </c>
      <c r="D146">
        <v>4.5999999999999996</v>
      </c>
      <c r="E146">
        <v>8634</v>
      </c>
      <c r="F146">
        <v>25</v>
      </c>
      <c r="G146">
        <v>2012</v>
      </c>
      <c r="H146" s="81" t="s">
        <v>382</v>
      </c>
    </row>
    <row r="147" spans="1:8">
      <c r="A147">
        <v>198</v>
      </c>
      <c r="B147" s="81" t="s">
        <v>634</v>
      </c>
      <c r="C147" s="81" t="s">
        <v>632</v>
      </c>
      <c r="D147">
        <v>4.7</v>
      </c>
      <c r="E147">
        <v>9342</v>
      </c>
      <c r="F147">
        <v>10</v>
      </c>
      <c r="G147">
        <v>2011</v>
      </c>
      <c r="H147" s="81" t="s">
        <v>382</v>
      </c>
    </row>
    <row r="148" spans="1:8">
      <c r="A148">
        <v>200</v>
      </c>
      <c r="B148" s="81" t="s">
        <v>635</v>
      </c>
      <c r="C148" s="81" t="s">
        <v>632</v>
      </c>
      <c r="D148">
        <v>4.5999999999999996</v>
      </c>
      <c r="E148">
        <v>10927</v>
      </c>
      <c r="F148">
        <v>6</v>
      </c>
      <c r="G148">
        <v>2014</v>
      </c>
      <c r="H148" s="81" t="s">
        <v>382</v>
      </c>
    </row>
    <row r="149" spans="1:8">
      <c r="A149">
        <v>201</v>
      </c>
      <c r="B149" s="81" t="s">
        <v>636</v>
      </c>
      <c r="C149" s="81" t="s">
        <v>632</v>
      </c>
      <c r="D149">
        <v>4.5999999999999996</v>
      </c>
      <c r="E149">
        <v>5235</v>
      </c>
      <c r="F149">
        <v>5</v>
      </c>
      <c r="G149">
        <v>2015</v>
      </c>
      <c r="H149" s="81" t="s">
        <v>382</v>
      </c>
    </row>
    <row r="150" spans="1:8">
      <c r="A150">
        <v>202</v>
      </c>
      <c r="B150" s="81" t="s">
        <v>637</v>
      </c>
      <c r="C150" s="81" t="s">
        <v>632</v>
      </c>
      <c r="D150">
        <v>4.8</v>
      </c>
      <c r="E150">
        <v>8916</v>
      </c>
      <c r="F150">
        <v>6</v>
      </c>
      <c r="G150">
        <v>2016</v>
      </c>
      <c r="H150" s="81" t="s">
        <v>382</v>
      </c>
    </row>
    <row r="151" spans="1:8">
      <c r="A151">
        <v>203</v>
      </c>
      <c r="B151" s="81" t="s">
        <v>638</v>
      </c>
      <c r="C151" s="81" t="s">
        <v>639</v>
      </c>
      <c r="D151">
        <v>4.8</v>
      </c>
      <c r="E151">
        <v>2507</v>
      </c>
      <c r="F151">
        <v>8</v>
      </c>
      <c r="G151">
        <v>2018</v>
      </c>
      <c r="H151" s="81" t="s">
        <v>382</v>
      </c>
    </row>
    <row r="152" spans="1:8">
      <c r="A152">
        <v>204</v>
      </c>
      <c r="B152" s="81" t="s">
        <v>640</v>
      </c>
      <c r="C152" s="81" t="s">
        <v>641</v>
      </c>
      <c r="D152">
        <v>4.5</v>
      </c>
      <c r="E152">
        <v>3673</v>
      </c>
      <c r="F152">
        <v>4</v>
      </c>
      <c r="G152">
        <v>2013</v>
      </c>
      <c r="H152" s="81" t="s">
        <v>382</v>
      </c>
    </row>
    <row r="153" spans="1:8">
      <c r="A153">
        <v>207</v>
      </c>
      <c r="B153" s="81" t="s">
        <v>642</v>
      </c>
      <c r="C153" s="81" t="s">
        <v>643</v>
      </c>
      <c r="D153">
        <v>4.9000000000000004</v>
      </c>
      <c r="E153">
        <v>11881</v>
      </c>
      <c r="F153">
        <v>13</v>
      </c>
      <c r="G153">
        <v>2018</v>
      </c>
      <c r="H153" s="81" t="s">
        <v>385</v>
      </c>
    </row>
    <row r="154" spans="1:8">
      <c r="A154">
        <v>208</v>
      </c>
      <c r="B154" s="81" t="s">
        <v>644</v>
      </c>
      <c r="C154" s="81" t="s">
        <v>641</v>
      </c>
      <c r="D154">
        <v>4.5999999999999996</v>
      </c>
      <c r="E154">
        <v>6990</v>
      </c>
      <c r="F154">
        <v>4</v>
      </c>
      <c r="G154">
        <v>2013</v>
      </c>
      <c r="H154" s="81" t="s">
        <v>382</v>
      </c>
    </row>
    <row r="155" spans="1:8">
      <c r="A155">
        <v>213</v>
      </c>
      <c r="B155" s="81" t="s">
        <v>645</v>
      </c>
      <c r="C155" s="81" t="s">
        <v>646</v>
      </c>
      <c r="D155">
        <v>4.5</v>
      </c>
      <c r="E155">
        <v>6132</v>
      </c>
      <c r="F155">
        <v>13</v>
      </c>
      <c r="G155">
        <v>2013</v>
      </c>
      <c r="H155" s="81" t="s">
        <v>382</v>
      </c>
    </row>
    <row r="156" spans="1:8">
      <c r="A156">
        <v>214</v>
      </c>
      <c r="B156" s="81" t="s">
        <v>647</v>
      </c>
      <c r="C156" s="81" t="s">
        <v>648</v>
      </c>
      <c r="D156">
        <v>4.5</v>
      </c>
      <c r="E156">
        <v>3014</v>
      </c>
      <c r="F156">
        <v>21</v>
      </c>
      <c r="G156">
        <v>2017</v>
      </c>
      <c r="H156" s="81" t="s">
        <v>382</v>
      </c>
    </row>
    <row r="157" spans="1:8">
      <c r="A157">
        <v>215</v>
      </c>
      <c r="B157" s="81" t="s">
        <v>649</v>
      </c>
      <c r="C157" s="81" t="s">
        <v>650</v>
      </c>
      <c r="D157">
        <v>4.4000000000000004</v>
      </c>
      <c r="E157">
        <v>7550</v>
      </c>
      <c r="F157">
        <v>6</v>
      </c>
      <c r="G157">
        <v>2018</v>
      </c>
      <c r="H157" s="81" t="s">
        <v>382</v>
      </c>
    </row>
    <row r="158" spans="1:8">
      <c r="A158">
        <v>216</v>
      </c>
      <c r="B158" s="81" t="s">
        <v>651</v>
      </c>
      <c r="C158" s="81" t="s">
        <v>652</v>
      </c>
      <c r="D158">
        <v>4.8</v>
      </c>
      <c r="E158">
        <v>3828</v>
      </c>
      <c r="F158">
        <v>15</v>
      </c>
      <c r="G158">
        <v>2009</v>
      </c>
      <c r="H158" s="81" t="s">
        <v>382</v>
      </c>
    </row>
    <row r="159" spans="1:8">
      <c r="A159">
        <v>217</v>
      </c>
      <c r="B159" s="81" t="s">
        <v>653</v>
      </c>
      <c r="C159" s="81" t="s">
        <v>654</v>
      </c>
      <c r="D159">
        <v>4.5</v>
      </c>
      <c r="E159">
        <v>2752</v>
      </c>
      <c r="F159">
        <v>18</v>
      </c>
      <c r="G159">
        <v>2010</v>
      </c>
      <c r="H159" s="81" t="s">
        <v>382</v>
      </c>
    </row>
    <row r="160" spans="1:8">
      <c r="A160">
        <v>218</v>
      </c>
      <c r="B160" s="81" t="s">
        <v>655</v>
      </c>
      <c r="C160" s="81" t="s">
        <v>656</v>
      </c>
      <c r="D160">
        <v>4.0999999999999996</v>
      </c>
      <c r="E160">
        <v>1467</v>
      </c>
      <c r="F160">
        <v>10</v>
      </c>
      <c r="G160">
        <v>2010</v>
      </c>
      <c r="H160" s="81" t="s">
        <v>385</v>
      </c>
    </row>
    <row r="161" spans="1:8">
      <c r="A161">
        <v>219</v>
      </c>
      <c r="B161" s="81" t="s">
        <v>657</v>
      </c>
      <c r="C161" s="81" t="s">
        <v>658</v>
      </c>
      <c r="D161">
        <v>4.9000000000000004</v>
      </c>
      <c r="E161">
        <v>1884</v>
      </c>
      <c r="F161">
        <v>0</v>
      </c>
      <c r="G161">
        <v>2014</v>
      </c>
      <c r="H161" s="81" t="s">
        <v>385</v>
      </c>
    </row>
    <row r="162" spans="1:8">
      <c r="A162">
        <v>220</v>
      </c>
      <c r="B162" s="81" t="s">
        <v>659</v>
      </c>
      <c r="C162" s="81" t="s">
        <v>660</v>
      </c>
      <c r="D162">
        <v>4.5</v>
      </c>
      <c r="E162">
        <v>25706</v>
      </c>
      <c r="F162">
        <v>12</v>
      </c>
      <c r="G162">
        <v>2018</v>
      </c>
      <c r="H162" s="81" t="s">
        <v>385</v>
      </c>
    </row>
    <row r="163" spans="1:8">
      <c r="A163">
        <v>221</v>
      </c>
      <c r="B163" s="81" t="s">
        <v>661</v>
      </c>
      <c r="C163" s="81" t="s">
        <v>662</v>
      </c>
      <c r="D163">
        <v>4.5</v>
      </c>
      <c r="E163">
        <v>8491</v>
      </c>
      <c r="F163">
        <v>7</v>
      </c>
      <c r="G163">
        <v>2014</v>
      </c>
      <c r="H163" s="81" t="s">
        <v>385</v>
      </c>
    </row>
    <row r="164" spans="1:8">
      <c r="A164">
        <v>222</v>
      </c>
      <c r="B164" s="81" t="s">
        <v>663</v>
      </c>
      <c r="C164" s="81" t="s">
        <v>664</v>
      </c>
      <c r="D164">
        <v>4.2</v>
      </c>
      <c r="E164">
        <v>1649</v>
      </c>
      <c r="F164">
        <v>13</v>
      </c>
      <c r="G164">
        <v>2011</v>
      </c>
      <c r="H164" s="81" t="s">
        <v>382</v>
      </c>
    </row>
    <row r="165" spans="1:8">
      <c r="A165">
        <v>223</v>
      </c>
      <c r="B165" s="81" t="s">
        <v>665</v>
      </c>
      <c r="C165" s="81" t="s">
        <v>666</v>
      </c>
      <c r="D165">
        <v>4.8</v>
      </c>
      <c r="E165">
        <v>18613</v>
      </c>
      <c r="F165">
        <v>5</v>
      </c>
      <c r="G165">
        <v>2014</v>
      </c>
      <c r="H165" s="81" t="s">
        <v>385</v>
      </c>
    </row>
    <row r="166" spans="1:8">
      <c r="A166">
        <v>225</v>
      </c>
      <c r="B166" s="81" t="s">
        <v>667</v>
      </c>
      <c r="C166" s="81" t="s">
        <v>597</v>
      </c>
      <c r="D166">
        <v>4.8</v>
      </c>
      <c r="E166">
        <v>9867</v>
      </c>
      <c r="F166">
        <v>16</v>
      </c>
      <c r="G166">
        <v>2018</v>
      </c>
      <c r="H166" s="81" t="s">
        <v>382</v>
      </c>
    </row>
    <row r="167" spans="1:8">
      <c r="A167">
        <v>226</v>
      </c>
      <c r="B167" s="81" t="s">
        <v>668</v>
      </c>
      <c r="C167" s="81" t="s">
        <v>437</v>
      </c>
      <c r="D167">
        <v>4.5</v>
      </c>
      <c r="E167">
        <v>1386</v>
      </c>
      <c r="F167">
        <v>20</v>
      </c>
      <c r="G167">
        <v>2014</v>
      </c>
      <c r="H167" s="81" t="s">
        <v>382</v>
      </c>
    </row>
    <row r="168" spans="1:8">
      <c r="A168">
        <v>227</v>
      </c>
      <c r="B168" s="81" t="s">
        <v>669</v>
      </c>
      <c r="C168" s="81" t="s">
        <v>670</v>
      </c>
      <c r="D168">
        <v>4.7</v>
      </c>
      <c r="E168">
        <v>10199</v>
      </c>
      <c r="F168">
        <v>11</v>
      </c>
      <c r="G168">
        <v>2017</v>
      </c>
      <c r="H168" s="81" t="s">
        <v>382</v>
      </c>
    </row>
    <row r="169" spans="1:8">
      <c r="A169">
        <v>228</v>
      </c>
      <c r="B169" s="81" t="s">
        <v>671</v>
      </c>
      <c r="C169" s="81" t="s">
        <v>672</v>
      </c>
      <c r="D169">
        <v>4.8</v>
      </c>
      <c r="E169">
        <v>2926</v>
      </c>
      <c r="F169">
        <v>27</v>
      </c>
      <c r="G169">
        <v>2009</v>
      </c>
      <c r="H169" s="81" t="s">
        <v>382</v>
      </c>
    </row>
    <row r="170" spans="1:8">
      <c r="A170">
        <v>229</v>
      </c>
      <c r="B170" s="81" t="s">
        <v>673</v>
      </c>
      <c r="C170" s="81" t="s">
        <v>674</v>
      </c>
      <c r="D170">
        <v>4.7</v>
      </c>
      <c r="E170">
        <v>17739</v>
      </c>
      <c r="F170">
        <v>8</v>
      </c>
      <c r="G170">
        <v>2016</v>
      </c>
      <c r="H170" s="81" t="s">
        <v>382</v>
      </c>
    </row>
    <row r="171" spans="1:8">
      <c r="A171">
        <v>232</v>
      </c>
      <c r="B171" s="81" t="s">
        <v>675</v>
      </c>
      <c r="C171" s="81" t="s">
        <v>676</v>
      </c>
      <c r="D171">
        <v>4.4000000000000004</v>
      </c>
      <c r="E171">
        <v>3113</v>
      </c>
      <c r="F171">
        <v>6</v>
      </c>
      <c r="G171">
        <v>2017</v>
      </c>
      <c r="H171" s="81" t="s">
        <v>382</v>
      </c>
    </row>
    <row r="172" spans="1:8">
      <c r="A172">
        <v>233</v>
      </c>
      <c r="B172" s="81" t="s">
        <v>677</v>
      </c>
      <c r="C172" s="81" t="s">
        <v>678</v>
      </c>
      <c r="D172">
        <v>4.5999999999999996</v>
      </c>
      <c r="E172">
        <v>5542</v>
      </c>
      <c r="F172">
        <v>10</v>
      </c>
      <c r="G172">
        <v>2014</v>
      </c>
      <c r="H172" s="81" t="s">
        <v>382</v>
      </c>
    </row>
    <row r="173" spans="1:8">
      <c r="A173">
        <v>236</v>
      </c>
      <c r="B173" s="81" t="s">
        <v>679</v>
      </c>
      <c r="C173" s="81" t="s">
        <v>461</v>
      </c>
      <c r="D173">
        <v>4.5</v>
      </c>
      <c r="E173">
        <v>26741</v>
      </c>
      <c r="F173">
        <v>8</v>
      </c>
      <c r="G173">
        <v>2010</v>
      </c>
      <c r="H173" s="81" t="s">
        <v>385</v>
      </c>
    </row>
    <row r="174" spans="1:8">
      <c r="A174">
        <v>239</v>
      </c>
      <c r="B174" s="81" t="s">
        <v>680</v>
      </c>
      <c r="C174" s="81" t="s">
        <v>681</v>
      </c>
      <c r="D174">
        <v>4.8</v>
      </c>
      <c r="E174">
        <v>5347</v>
      </c>
      <c r="F174">
        <v>16</v>
      </c>
      <c r="G174">
        <v>2019</v>
      </c>
      <c r="H174" s="81" t="s">
        <v>382</v>
      </c>
    </row>
    <row r="175" spans="1:8">
      <c r="A175">
        <v>240</v>
      </c>
      <c r="B175" s="81" t="s">
        <v>682</v>
      </c>
      <c r="C175" s="81" t="s">
        <v>683</v>
      </c>
      <c r="D175">
        <v>4.8</v>
      </c>
      <c r="E175">
        <v>7866</v>
      </c>
      <c r="F175">
        <v>11</v>
      </c>
      <c r="G175">
        <v>2019</v>
      </c>
      <c r="H175" s="81" t="s">
        <v>382</v>
      </c>
    </row>
    <row r="176" spans="1:8">
      <c r="A176">
        <v>241</v>
      </c>
      <c r="B176" s="81" t="s">
        <v>684</v>
      </c>
      <c r="C176" s="81" t="s">
        <v>448</v>
      </c>
      <c r="D176">
        <v>4.5999999999999996</v>
      </c>
      <c r="E176">
        <v>5680</v>
      </c>
      <c r="F176">
        <v>10</v>
      </c>
      <c r="G176">
        <v>2009</v>
      </c>
      <c r="H176" s="81" t="s">
        <v>385</v>
      </c>
    </row>
    <row r="177" spans="1:8">
      <c r="A177">
        <v>242</v>
      </c>
      <c r="B177" s="81" t="s">
        <v>685</v>
      </c>
      <c r="C177" s="81" t="s">
        <v>686</v>
      </c>
      <c r="D177">
        <v>4.7</v>
      </c>
      <c r="E177">
        <v>5178</v>
      </c>
      <c r="F177">
        <v>9</v>
      </c>
      <c r="G177">
        <v>2016</v>
      </c>
      <c r="H177" s="81" t="s">
        <v>382</v>
      </c>
    </row>
    <row r="178" spans="1:8">
      <c r="A178">
        <v>243</v>
      </c>
      <c r="B178" s="81" t="s">
        <v>687</v>
      </c>
      <c r="C178" s="81" t="s">
        <v>688</v>
      </c>
      <c r="D178">
        <v>4.5999999999999996</v>
      </c>
      <c r="E178">
        <v>8093</v>
      </c>
      <c r="F178">
        <v>14</v>
      </c>
      <c r="G178">
        <v>2012</v>
      </c>
      <c r="H178" s="81" t="s">
        <v>382</v>
      </c>
    </row>
    <row r="179" spans="1:8">
      <c r="A179">
        <v>244</v>
      </c>
      <c r="B179" s="81" t="s">
        <v>689</v>
      </c>
      <c r="C179" s="81" t="s">
        <v>690</v>
      </c>
      <c r="D179">
        <v>4.9000000000000004</v>
      </c>
      <c r="E179">
        <v>3192</v>
      </c>
      <c r="F179">
        <v>22</v>
      </c>
      <c r="G179">
        <v>2017</v>
      </c>
      <c r="H179" s="81" t="s">
        <v>382</v>
      </c>
    </row>
    <row r="180" spans="1:8">
      <c r="A180">
        <v>245</v>
      </c>
      <c r="B180" s="81" t="s">
        <v>691</v>
      </c>
      <c r="C180" s="81" t="s">
        <v>692</v>
      </c>
      <c r="D180">
        <v>4.9000000000000004</v>
      </c>
      <c r="E180">
        <v>21834</v>
      </c>
      <c r="F180">
        <v>8</v>
      </c>
      <c r="G180">
        <v>2012</v>
      </c>
      <c r="H180" s="81" t="s">
        <v>385</v>
      </c>
    </row>
    <row r="181" spans="1:8">
      <c r="A181">
        <v>253</v>
      </c>
      <c r="B181" s="81" t="s">
        <v>693</v>
      </c>
      <c r="C181" s="81" t="s">
        <v>453</v>
      </c>
      <c r="D181">
        <v>4.8</v>
      </c>
      <c r="E181">
        <v>6169</v>
      </c>
      <c r="F181">
        <v>7</v>
      </c>
      <c r="G181">
        <v>2015</v>
      </c>
      <c r="H181" s="81" t="s">
        <v>385</v>
      </c>
    </row>
    <row r="182" spans="1:8">
      <c r="A182">
        <v>254</v>
      </c>
      <c r="B182" s="81" t="s">
        <v>694</v>
      </c>
      <c r="C182" s="81" t="s">
        <v>695</v>
      </c>
      <c r="D182">
        <v>4.2</v>
      </c>
      <c r="E182">
        <v>4519</v>
      </c>
      <c r="F182">
        <v>12</v>
      </c>
      <c r="G182">
        <v>2009</v>
      </c>
      <c r="H182" s="81" t="s">
        <v>385</v>
      </c>
    </row>
    <row r="183" spans="1:8">
      <c r="A183">
        <v>255</v>
      </c>
      <c r="B183" s="81" t="s">
        <v>696</v>
      </c>
      <c r="C183" s="81" t="s">
        <v>697</v>
      </c>
      <c r="D183">
        <v>4.5999999999999996</v>
      </c>
      <c r="E183">
        <v>3163</v>
      </c>
      <c r="F183">
        <v>13</v>
      </c>
      <c r="G183">
        <v>2011</v>
      </c>
      <c r="H183" s="81" t="s">
        <v>382</v>
      </c>
    </row>
    <row r="184" spans="1:8">
      <c r="A184">
        <v>257</v>
      </c>
      <c r="B184" s="81" t="s">
        <v>698</v>
      </c>
      <c r="C184" s="81" t="s">
        <v>646</v>
      </c>
      <c r="D184">
        <v>4.5</v>
      </c>
      <c r="E184">
        <v>1831</v>
      </c>
      <c r="F184">
        <v>9</v>
      </c>
      <c r="G184">
        <v>2017</v>
      </c>
      <c r="H184" s="81" t="s">
        <v>382</v>
      </c>
    </row>
    <row r="185" spans="1:8">
      <c r="A185">
        <v>258</v>
      </c>
      <c r="B185" s="81" t="s">
        <v>699</v>
      </c>
      <c r="C185" s="81" t="s">
        <v>618</v>
      </c>
      <c r="D185">
        <v>4.3</v>
      </c>
      <c r="E185">
        <v>18904</v>
      </c>
      <c r="F185">
        <v>13</v>
      </c>
      <c r="G185">
        <v>2017</v>
      </c>
      <c r="H185" s="81" t="s">
        <v>385</v>
      </c>
    </row>
    <row r="186" spans="1:8">
      <c r="A186">
        <v>259</v>
      </c>
      <c r="B186" s="81" t="s">
        <v>700</v>
      </c>
      <c r="C186" s="81" t="s">
        <v>701</v>
      </c>
      <c r="D186">
        <v>4.5999999999999996</v>
      </c>
      <c r="E186">
        <v>21930</v>
      </c>
      <c r="F186">
        <v>11</v>
      </c>
      <c r="G186">
        <v>2014</v>
      </c>
      <c r="H186" s="81" t="s">
        <v>385</v>
      </c>
    </row>
    <row r="187" spans="1:8">
      <c r="A187">
        <v>260</v>
      </c>
      <c r="B187" s="81" t="s">
        <v>702</v>
      </c>
      <c r="C187" s="81" t="s">
        <v>476</v>
      </c>
      <c r="D187">
        <v>4.5999999999999996</v>
      </c>
      <c r="E187">
        <v>10426</v>
      </c>
      <c r="F187">
        <v>20</v>
      </c>
      <c r="G187">
        <v>2009</v>
      </c>
      <c r="H187" s="81" t="s">
        <v>382</v>
      </c>
    </row>
    <row r="188" spans="1:8">
      <c r="A188">
        <v>262</v>
      </c>
      <c r="B188" s="81" t="s">
        <v>703</v>
      </c>
      <c r="C188" s="81" t="s">
        <v>704</v>
      </c>
      <c r="D188">
        <v>4.7</v>
      </c>
      <c r="E188">
        <v>10820</v>
      </c>
      <c r="F188">
        <v>5</v>
      </c>
      <c r="G188">
        <v>2018</v>
      </c>
      <c r="H188" s="81" t="s">
        <v>382</v>
      </c>
    </row>
    <row r="189" spans="1:8">
      <c r="A189">
        <v>264</v>
      </c>
      <c r="B189" s="81" t="s">
        <v>705</v>
      </c>
      <c r="C189" s="81" t="s">
        <v>706</v>
      </c>
      <c r="D189">
        <v>4.8</v>
      </c>
      <c r="E189">
        <v>548</v>
      </c>
      <c r="F189">
        <v>2</v>
      </c>
      <c r="G189">
        <v>2010</v>
      </c>
      <c r="H189" s="81" t="s">
        <v>385</v>
      </c>
    </row>
    <row r="190" spans="1:8">
      <c r="A190">
        <v>265</v>
      </c>
      <c r="B190" s="81" t="s">
        <v>707</v>
      </c>
      <c r="C190" s="81" t="s">
        <v>708</v>
      </c>
      <c r="D190">
        <v>4.8</v>
      </c>
      <c r="E190">
        <v>16990</v>
      </c>
      <c r="F190">
        <v>27</v>
      </c>
      <c r="G190">
        <v>2017</v>
      </c>
      <c r="H190" s="81" t="s">
        <v>385</v>
      </c>
    </row>
    <row r="191" spans="1:8">
      <c r="A191">
        <v>268</v>
      </c>
      <c r="B191" s="81" t="s">
        <v>709</v>
      </c>
      <c r="C191" s="81" t="s">
        <v>588</v>
      </c>
      <c r="D191">
        <v>4.7</v>
      </c>
      <c r="E191">
        <v>3503</v>
      </c>
      <c r="F191">
        <v>9</v>
      </c>
      <c r="G191">
        <v>2016</v>
      </c>
      <c r="H191" s="81" t="s">
        <v>385</v>
      </c>
    </row>
    <row r="192" spans="1:8">
      <c r="A192">
        <v>269</v>
      </c>
      <c r="B192" s="81" t="s">
        <v>710</v>
      </c>
      <c r="C192" s="81" t="s">
        <v>711</v>
      </c>
      <c r="D192">
        <v>4.3</v>
      </c>
      <c r="E192">
        <v>13616</v>
      </c>
      <c r="F192">
        <v>10</v>
      </c>
      <c r="G192">
        <v>2012</v>
      </c>
      <c r="H192" s="81" t="s">
        <v>382</v>
      </c>
    </row>
    <row r="193" spans="1:8">
      <c r="A193">
        <v>271</v>
      </c>
      <c r="B193" s="81" t="s">
        <v>712</v>
      </c>
      <c r="C193" s="81" t="s">
        <v>713</v>
      </c>
      <c r="D193">
        <v>4.5</v>
      </c>
      <c r="E193">
        <v>8580</v>
      </c>
      <c r="F193">
        <v>46</v>
      </c>
      <c r="G193">
        <v>2009</v>
      </c>
      <c r="H193" s="81" t="s">
        <v>382</v>
      </c>
    </row>
    <row r="194" spans="1:8">
      <c r="A194">
        <v>281</v>
      </c>
      <c r="B194" s="81" t="s">
        <v>714</v>
      </c>
      <c r="C194" s="81" t="s">
        <v>715</v>
      </c>
      <c r="D194">
        <v>4.8</v>
      </c>
      <c r="E194">
        <v>4757</v>
      </c>
      <c r="F194">
        <v>4</v>
      </c>
      <c r="G194">
        <v>2017</v>
      </c>
      <c r="H194" s="81" t="s">
        <v>385</v>
      </c>
    </row>
    <row r="195" spans="1:8">
      <c r="A195">
        <v>282</v>
      </c>
      <c r="B195" s="81" t="s">
        <v>716</v>
      </c>
      <c r="C195" s="81" t="s">
        <v>717</v>
      </c>
      <c r="D195">
        <v>4.5999999999999996</v>
      </c>
      <c r="E195">
        <v>10009</v>
      </c>
      <c r="F195">
        <v>20</v>
      </c>
      <c r="G195">
        <v>2012</v>
      </c>
      <c r="H195" s="81" t="s">
        <v>382</v>
      </c>
    </row>
    <row r="196" spans="1:8">
      <c r="A196">
        <v>284</v>
      </c>
      <c r="B196" s="81" t="s">
        <v>718</v>
      </c>
      <c r="C196" s="81" t="s">
        <v>719</v>
      </c>
      <c r="D196">
        <v>4.7</v>
      </c>
      <c r="E196">
        <v>1985</v>
      </c>
      <c r="F196">
        <v>9</v>
      </c>
      <c r="G196">
        <v>2010</v>
      </c>
      <c r="H196" s="81" t="s">
        <v>382</v>
      </c>
    </row>
    <row r="197" spans="1:8">
      <c r="A197">
        <v>286</v>
      </c>
      <c r="B197" s="81" t="s">
        <v>720</v>
      </c>
      <c r="C197" s="81" t="s">
        <v>721</v>
      </c>
      <c r="D197">
        <v>4.5999999999999996</v>
      </c>
      <c r="E197">
        <v>22536</v>
      </c>
      <c r="F197">
        <v>12</v>
      </c>
      <c r="G197">
        <v>2017</v>
      </c>
      <c r="H197" s="81" t="s">
        <v>385</v>
      </c>
    </row>
    <row r="198" spans="1:8">
      <c r="A198">
        <v>288</v>
      </c>
      <c r="B198" s="81" t="s">
        <v>722</v>
      </c>
      <c r="C198" s="81" t="s">
        <v>723</v>
      </c>
      <c r="D198">
        <v>4.9000000000000004</v>
      </c>
      <c r="E198">
        <v>7150</v>
      </c>
      <c r="F198">
        <v>12</v>
      </c>
      <c r="G198">
        <v>2013</v>
      </c>
      <c r="H198" s="81" t="s">
        <v>385</v>
      </c>
    </row>
    <row r="199" spans="1:8">
      <c r="A199">
        <v>289</v>
      </c>
      <c r="B199" s="81" t="s">
        <v>724</v>
      </c>
      <c r="C199" s="81" t="s">
        <v>723</v>
      </c>
      <c r="D199">
        <v>4.9000000000000004</v>
      </c>
      <c r="E199">
        <v>3836</v>
      </c>
      <c r="F199">
        <v>12</v>
      </c>
      <c r="G199">
        <v>2014</v>
      </c>
      <c r="H199" s="81" t="s">
        <v>385</v>
      </c>
    </row>
    <row r="200" spans="1:8">
      <c r="A200">
        <v>290</v>
      </c>
      <c r="B200" s="81" t="s">
        <v>725</v>
      </c>
      <c r="C200" s="81" t="s">
        <v>726</v>
      </c>
      <c r="D200">
        <v>4.8</v>
      </c>
      <c r="E200">
        <v>7802</v>
      </c>
      <c r="F200">
        <v>20</v>
      </c>
      <c r="G200">
        <v>2018</v>
      </c>
      <c r="H200" s="81" t="s">
        <v>382</v>
      </c>
    </row>
    <row r="201" spans="1:8">
      <c r="A201">
        <v>292</v>
      </c>
      <c r="B201" s="81" t="s">
        <v>727</v>
      </c>
      <c r="C201" s="81" t="s">
        <v>728</v>
      </c>
      <c r="D201">
        <v>4.5999999999999996</v>
      </c>
      <c r="E201">
        <v>3619</v>
      </c>
      <c r="F201">
        <v>10</v>
      </c>
      <c r="G201">
        <v>2010</v>
      </c>
      <c r="H201" s="81" t="s">
        <v>385</v>
      </c>
    </row>
    <row r="202" spans="1:8">
      <c r="A202">
        <v>293</v>
      </c>
      <c r="B202" s="81" t="s">
        <v>729</v>
      </c>
      <c r="C202" s="81" t="s">
        <v>730</v>
      </c>
      <c r="D202">
        <v>4.8</v>
      </c>
      <c r="E202">
        <v>23047</v>
      </c>
      <c r="F202">
        <v>6</v>
      </c>
      <c r="G202">
        <v>2018</v>
      </c>
      <c r="H202" s="81" t="s">
        <v>382</v>
      </c>
    </row>
    <row r="203" spans="1:8">
      <c r="A203">
        <v>295</v>
      </c>
      <c r="B203" s="81" t="s">
        <v>731</v>
      </c>
      <c r="C203" s="81" t="s">
        <v>522</v>
      </c>
      <c r="D203">
        <v>4.7</v>
      </c>
      <c r="E203">
        <v>9366</v>
      </c>
      <c r="F203">
        <v>9</v>
      </c>
      <c r="G203">
        <v>2015</v>
      </c>
      <c r="H203" s="81" t="s">
        <v>382</v>
      </c>
    </row>
    <row r="204" spans="1:8">
      <c r="A204">
        <v>296</v>
      </c>
      <c r="B204" s="81" t="s">
        <v>732</v>
      </c>
      <c r="C204" s="81" t="s">
        <v>733</v>
      </c>
      <c r="D204">
        <v>4.7</v>
      </c>
      <c r="E204">
        <v>1265</v>
      </c>
      <c r="F204">
        <v>11</v>
      </c>
      <c r="G204">
        <v>2010</v>
      </c>
      <c r="H204" s="81" t="s">
        <v>382</v>
      </c>
    </row>
    <row r="205" spans="1:8">
      <c r="A205">
        <v>297</v>
      </c>
      <c r="B205" s="81" t="s">
        <v>734</v>
      </c>
      <c r="C205" s="81" t="s">
        <v>735</v>
      </c>
      <c r="D205">
        <v>4.8</v>
      </c>
      <c r="E205">
        <v>3923</v>
      </c>
      <c r="F205">
        <v>16</v>
      </c>
      <c r="G205">
        <v>2018</v>
      </c>
      <c r="H205" s="81" t="s">
        <v>382</v>
      </c>
    </row>
    <row r="206" spans="1:8">
      <c r="A206">
        <v>298</v>
      </c>
      <c r="B206" s="81" t="s">
        <v>736</v>
      </c>
      <c r="C206" s="81" t="s">
        <v>737</v>
      </c>
      <c r="D206">
        <v>4.0999999999999996</v>
      </c>
      <c r="E206">
        <v>2272</v>
      </c>
      <c r="F206">
        <v>6</v>
      </c>
      <c r="G206">
        <v>2013</v>
      </c>
      <c r="H206" s="81" t="s">
        <v>382</v>
      </c>
    </row>
    <row r="207" spans="1:8">
      <c r="A207">
        <v>299</v>
      </c>
      <c r="B207" s="81" t="s">
        <v>738</v>
      </c>
      <c r="C207" s="81" t="s">
        <v>478</v>
      </c>
      <c r="D207">
        <v>4.7</v>
      </c>
      <c r="E207">
        <v>973</v>
      </c>
      <c r="F207">
        <v>25</v>
      </c>
      <c r="G207">
        <v>2009</v>
      </c>
      <c r="H207" s="81" t="s">
        <v>385</v>
      </c>
    </row>
    <row r="208" spans="1:8">
      <c r="A208">
        <v>300</v>
      </c>
      <c r="B208" s="81" t="s">
        <v>739</v>
      </c>
      <c r="C208" s="81" t="s">
        <v>497</v>
      </c>
      <c r="D208">
        <v>4.5999999999999996</v>
      </c>
      <c r="E208">
        <v>220</v>
      </c>
      <c r="F208">
        <v>17</v>
      </c>
      <c r="G208">
        <v>2013</v>
      </c>
      <c r="H208" s="81" t="s">
        <v>382</v>
      </c>
    </row>
    <row r="209" spans="1:8">
      <c r="A209">
        <v>301</v>
      </c>
      <c r="B209" s="81" t="s">
        <v>740</v>
      </c>
      <c r="C209" s="81" t="s">
        <v>648</v>
      </c>
      <c r="D209">
        <v>4.5999999999999996</v>
      </c>
      <c r="E209">
        <v>7827</v>
      </c>
      <c r="F209">
        <v>20</v>
      </c>
      <c r="G209">
        <v>2011</v>
      </c>
      <c r="H209" s="81" t="s">
        <v>382</v>
      </c>
    </row>
    <row r="210" spans="1:8">
      <c r="A210">
        <v>303</v>
      </c>
      <c r="B210" s="81" t="s">
        <v>741</v>
      </c>
      <c r="C210" s="81" t="s">
        <v>742</v>
      </c>
      <c r="D210">
        <v>4.9000000000000004</v>
      </c>
      <c r="E210">
        <v>9382</v>
      </c>
      <c r="F210">
        <v>6</v>
      </c>
      <c r="G210">
        <v>2019</v>
      </c>
      <c r="H210" s="81" t="s">
        <v>385</v>
      </c>
    </row>
    <row r="211" spans="1:8">
      <c r="A211">
        <v>304</v>
      </c>
      <c r="B211" s="81" t="s">
        <v>743</v>
      </c>
      <c r="C211" s="81" t="s">
        <v>744</v>
      </c>
      <c r="D211">
        <v>4</v>
      </c>
      <c r="E211">
        <v>5069</v>
      </c>
      <c r="F211">
        <v>17</v>
      </c>
      <c r="G211">
        <v>2009</v>
      </c>
      <c r="H211" s="81" t="s">
        <v>382</v>
      </c>
    </row>
    <row r="212" spans="1:8">
      <c r="A212">
        <v>313</v>
      </c>
      <c r="B212" s="81" t="s">
        <v>745</v>
      </c>
      <c r="C212" s="81" t="s">
        <v>746</v>
      </c>
      <c r="D212">
        <v>4.5</v>
      </c>
      <c r="E212">
        <v>1583</v>
      </c>
      <c r="F212">
        <v>18</v>
      </c>
      <c r="G212">
        <v>2009</v>
      </c>
      <c r="H212" s="81" t="s">
        <v>382</v>
      </c>
    </row>
    <row r="213" spans="1:8">
      <c r="A213">
        <v>314</v>
      </c>
      <c r="B213" s="81" t="s">
        <v>747</v>
      </c>
      <c r="C213" s="81" t="s">
        <v>748</v>
      </c>
      <c r="D213">
        <v>4.5999999999999996</v>
      </c>
      <c r="E213">
        <v>1907</v>
      </c>
      <c r="F213">
        <v>13</v>
      </c>
      <c r="G213">
        <v>2010</v>
      </c>
      <c r="H213" s="81" t="s">
        <v>382</v>
      </c>
    </row>
    <row r="214" spans="1:8">
      <c r="A214">
        <v>315</v>
      </c>
      <c r="B214" s="81" t="s">
        <v>749</v>
      </c>
      <c r="C214" s="81" t="s">
        <v>750</v>
      </c>
      <c r="D214">
        <v>4.5</v>
      </c>
      <c r="E214">
        <v>23114</v>
      </c>
      <c r="F214">
        <v>18</v>
      </c>
      <c r="G214">
        <v>2013</v>
      </c>
      <c r="H214" s="81" t="s">
        <v>385</v>
      </c>
    </row>
    <row r="215" spans="1:8">
      <c r="A215">
        <v>316</v>
      </c>
      <c r="B215" s="81" t="s">
        <v>751</v>
      </c>
      <c r="C215" s="81" t="s">
        <v>752</v>
      </c>
      <c r="D215">
        <v>4.4000000000000004</v>
      </c>
      <c r="E215">
        <v>637</v>
      </c>
      <c r="F215">
        <v>20</v>
      </c>
      <c r="G215">
        <v>2010</v>
      </c>
      <c r="H215" s="81" t="s">
        <v>382</v>
      </c>
    </row>
    <row r="216" spans="1:8">
      <c r="A216">
        <v>318</v>
      </c>
      <c r="B216" s="81" t="s">
        <v>753</v>
      </c>
      <c r="C216" s="81" t="s">
        <v>754</v>
      </c>
      <c r="D216">
        <v>4.3</v>
      </c>
      <c r="E216">
        <v>2314</v>
      </c>
      <c r="F216">
        <v>22</v>
      </c>
      <c r="G216">
        <v>2011</v>
      </c>
      <c r="H216" s="81" t="s">
        <v>382</v>
      </c>
    </row>
    <row r="217" spans="1:8">
      <c r="A217">
        <v>319</v>
      </c>
      <c r="B217" s="81" t="s">
        <v>755</v>
      </c>
      <c r="C217" s="81" t="s">
        <v>756</v>
      </c>
      <c r="D217">
        <v>4.3</v>
      </c>
      <c r="E217">
        <v>4587</v>
      </c>
      <c r="F217">
        <v>21</v>
      </c>
      <c r="G217">
        <v>2011</v>
      </c>
      <c r="H217" s="81" t="s">
        <v>382</v>
      </c>
    </row>
    <row r="218" spans="1:8">
      <c r="A218">
        <v>320</v>
      </c>
      <c r="B218" s="81" t="s">
        <v>757</v>
      </c>
      <c r="C218" s="81" t="s">
        <v>758</v>
      </c>
      <c r="D218">
        <v>4.7</v>
      </c>
      <c r="E218">
        <v>3477</v>
      </c>
      <c r="F218">
        <v>28</v>
      </c>
      <c r="G218">
        <v>2010</v>
      </c>
      <c r="H218" s="81" t="s">
        <v>382</v>
      </c>
    </row>
    <row r="219" spans="1:8">
      <c r="A219">
        <v>325</v>
      </c>
      <c r="B219" s="81" t="s">
        <v>759</v>
      </c>
      <c r="C219" s="81" t="s">
        <v>758</v>
      </c>
      <c r="D219">
        <v>4.8</v>
      </c>
      <c r="E219">
        <v>25554</v>
      </c>
      <c r="F219">
        <v>8</v>
      </c>
      <c r="G219">
        <v>2015</v>
      </c>
      <c r="H219" s="81" t="s">
        <v>382</v>
      </c>
    </row>
    <row r="220" spans="1:8">
      <c r="A220">
        <v>330</v>
      </c>
      <c r="B220" s="81" t="s">
        <v>760</v>
      </c>
      <c r="C220" s="81" t="s">
        <v>761</v>
      </c>
      <c r="D220">
        <v>4.8</v>
      </c>
      <c r="E220">
        <v>1680</v>
      </c>
      <c r="F220">
        <v>12</v>
      </c>
      <c r="G220">
        <v>2009</v>
      </c>
      <c r="H220" s="81" t="s">
        <v>382</v>
      </c>
    </row>
    <row r="221" spans="1:8">
      <c r="A221">
        <v>331</v>
      </c>
      <c r="B221" s="81" t="s">
        <v>762</v>
      </c>
      <c r="C221" s="81" t="s">
        <v>763</v>
      </c>
      <c r="D221">
        <v>4.5999999999999996</v>
      </c>
      <c r="E221">
        <v>9325</v>
      </c>
      <c r="F221">
        <v>24</v>
      </c>
      <c r="G221">
        <v>2009</v>
      </c>
      <c r="H221" s="81" t="s">
        <v>382</v>
      </c>
    </row>
    <row r="222" spans="1:8">
      <c r="A222">
        <v>338</v>
      </c>
      <c r="B222" s="81" t="s">
        <v>764</v>
      </c>
      <c r="C222" s="81" t="s">
        <v>765</v>
      </c>
      <c r="D222">
        <v>4.7</v>
      </c>
      <c r="E222">
        <v>35799</v>
      </c>
      <c r="F222">
        <v>39</v>
      </c>
      <c r="G222">
        <v>2014</v>
      </c>
      <c r="H222" s="81" t="s">
        <v>385</v>
      </c>
    </row>
    <row r="223" spans="1:8">
      <c r="A223">
        <v>339</v>
      </c>
      <c r="B223" s="81" t="s">
        <v>766</v>
      </c>
      <c r="C223" s="81" t="s">
        <v>767</v>
      </c>
      <c r="D223">
        <v>4.5999999999999996</v>
      </c>
      <c r="E223">
        <v>2580</v>
      </c>
      <c r="F223">
        <v>9</v>
      </c>
      <c r="G223">
        <v>2012</v>
      </c>
      <c r="H223" s="81" t="s">
        <v>382</v>
      </c>
    </row>
    <row r="224" spans="1:8">
      <c r="A224">
        <v>340</v>
      </c>
      <c r="B224" s="81" t="s">
        <v>768</v>
      </c>
      <c r="C224" s="81" t="s">
        <v>769</v>
      </c>
      <c r="D224">
        <v>4.7</v>
      </c>
      <c r="E224">
        <v>11813</v>
      </c>
      <c r="F224">
        <v>10</v>
      </c>
      <c r="G224">
        <v>2010</v>
      </c>
      <c r="H224" s="81" t="s">
        <v>385</v>
      </c>
    </row>
    <row r="225" spans="1:8">
      <c r="A225">
        <v>342</v>
      </c>
      <c r="B225" s="81" t="s">
        <v>770</v>
      </c>
      <c r="C225" s="81" t="s">
        <v>771</v>
      </c>
      <c r="D225">
        <v>4.7</v>
      </c>
      <c r="E225">
        <v>3536</v>
      </c>
      <c r="F225">
        <v>17</v>
      </c>
      <c r="G225">
        <v>2010</v>
      </c>
      <c r="H225" s="81" t="s">
        <v>382</v>
      </c>
    </row>
    <row r="226" spans="1:8">
      <c r="A226">
        <v>343</v>
      </c>
      <c r="B226" s="81" t="s">
        <v>772</v>
      </c>
      <c r="C226" s="81" t="s">
        <v>706</v>
      </c>
      <c r="D226">
        <v>4.8</v>
      </c>
      <c r="E226">
        <v>6600</v>
      </c>
      <c r="F226">
        <v>11</v>
      </c>
      <c r="G226">
        <v>2014</v>
      </c>
      <c r="H226" s="81" t="s">
        <v>385</v>
      </c>
    </row>
    <row r="227" spans="1:8">
      <c r="A227">
        <v>344</v>
      </c>
      <c r="B227" s="81" t="s">
        <v>773</v>
      </c>
      <c r="C227" s="81" t="s">
        <v>774</v>
      </c>
      <c r="D227">
        <v>4.2</v>
      </c>
      <c r="E227">
        <v>1789</v>
      </c>
      <c r="F227">
        <v>14</v>
      </c>
      <c r="G227">
        <v>2012</v>
      </c>
      <c r="H227" s="81" t="s">
        <v>382</v>
      </c>
    </row>
    <row r="228" spans="1:8">
      <c r="A228">
        <v>345</v>
      </c>
      <c r="B228" s="81" t="s">
        <v>775</v>
      </c>
      <c r="C228" s="81" t="s">
        <v>776</v>
      </c>
      <c r="D228">
        <v>4.8</v>
      </c>
      <c r="E228">
        <v>12361</v>
      </c>
      <c r="F228">
        <v>12</v>
      </c>
      <c r="G228">
        <v>2019</v>
      </c>
      <c r="H228" s="81" t="s">
        <v>382</v>
      </c>
    </row>
    <row r="229" spans="1:8">
      <c r="A229">
        <v>346</v>
      </c>
      <c r="B229" s="81" t="s">
        <v>777</v>
      </c>
      <c r="C229" s="81" t="s">
        <v>778</v>
      </c>
      <c r="D229">
        <v>4.7</v>
      </c>
      <c r="E229">
        <v>858</v>
      </c>
      <c r="F229">
        <v>53</v>
      </c>
      <c r="G229">
        <v>2009</v>
      </c>
      <c r="H229" s="81" t="s">
        <v>382</v>
      </c>
    </row>
    <row r="230" spans="1:8">
      <c r="A230">
        <v>347</v>
      </c>
      <c r="B230" s="81" t="s">
        <v>779</v>
      </c>
      <c r="C230" s="81" t="s">
        <v>780</v>
      </c>
      <c r="D230">
        <v>4.5999999999999996</v>
      </c>
      <c r="E230">
        <v>23148</v>
      </c>
      <c r="F230">
        <v>6</v>
      </c>
      <c r="G230">
        <v>2013</v>
      </c>
      <c r="H230" s="81" t="s">
        <v>385</v>
      </c>
    </row>
    <row r="231" spans="1:8">
      <c r="A231">
        <v>349</v>
      </c>
      <c r="B231" s="81" t="s">
        <v>781</v>
      </c>
      <c r="C231" s="81" t="s">
        <v>782</v>
      </c>
      <c r="D231">
        <v>4.8</v>
      </c>
      <c r="E231">
        <v>8081</v>
      </c>
      <c r="F231">
        <v>8</v>
      </c>
      <c r="G231">
        <v>2014</v>
      </c>
      <c r="H231" s="81" t="s">
        <v>385</v>
      </c>
    </row>
    <row r="232" spans="1:8">
      <c r="A232">
        <v>351</v>
      </c>
      <c r="B232" s="81" t="s">
        <v>783</v>
      </c>
      <c r="C232" s="81" t="s">
        <v>784</v>
      </c>
      <c r="D232">
        <v>4.8</v>
      </c>
      <c r="E232">
        <v>23358</v>
      </c>
      <c r="F232">
        <v>12</v>
      </c>
      <c r="G232">
        <v>2014</v>
      </c>
      <c r="H232" s="81" t="s">
        <v>382</v>
      </c>
    </row>
    <row r="233" spans="1:8">
      <c r="A233">
        <v>353</v>
      </c>
      <c r="B233" s="81" t="s">
        <v>785</v>
      </c>
      <c r="C233" s="81" t="s">
        <v>526</v>
      </c>
      <c r="D233">
        <v>3.3</v>
      </c>
      <c r="E233">
        <v>9372</v>
      </c>
      <c r="F233">
        <v>12</v>
      </c>
      <c r="G233">
        <v>2012</v>
      </c>
      <c r="H233" s="81" t="s">
        <v>385</v>
      </c>
    </row>
    <row r="234" spans="1:8">
      <c r="A234">
        <v>354</v>
      </c>
      <c r="B234" s="81" t="s">
        <v>786</v>
      </c>
      <c r="C234" s="81" t="s">
        <v>787</v>
      </c>
      <c r="D234">
        <v>4.7</v>
      </c>
      <c r="E234">
        <v>4633</v>
      </c>
      <c r="F234">
        <v>21</v>
      </c>
      <c r="G234">
        <v>2011</v>
      </c>
      <c r="H234" s="81" t="s">
        <v>382</v>
      </c>
    </row>
    <row r="235" spans="1:8">
      <c r="A235">
        <v>355</v>
      </c>
      <c r="B235" s="81" t="s">
        <v>788</v>
      </c>
      <c r="C235" s="81" t="s">
        <v>789</v>
      </c>
      <c r="D235">
        <v>4.3</v>
      </c>
      <c r="E235">
        <v>13061</v>
      </c>
      <c r="F235">
        <v>6</v>
      </c>
      <c r="G235">
        <v>2018</v>
      </c>
      <c r="H235" s="81" t="s">
        <v>382</v>
      </c>
    </row>
    <row r="236" spans="1:8">
      <c r="A236">
        <v>357</v>
      </c>
      <c r="B236" s="81" t="s">
        <v>790</v>
      </c>
      <c r="C236" s="81" t="s">
        <v>750</v>
      </c>
      <c r="D236">
        <v>4.3</v>
      </c>
      <c r="E236">
        <v>3523</v>
      </c>
      <c r="F236">
        <v>13</v>
      </c>
      <c r="G236">
        <v>2010</v>
      </c>
      <c r="H236" s="81" t="s">
        <v>385</v>
      </c>
    </row>
    <row r="237" spans="1:8">
      <c r="A237">
        <v>358</v>
      </c>
      <c r="B237" s="81" t="s">
        <v>791</v>
      </c>
      <c r="C237" s="81" t="s">
        <v>792</v>
      </c>
      <c r="D237">
        <v>4.8</v>
      </c>
      <c r="E237">
        <v>2774</v>
      </c>
      <c r="F237">
        <v>0</v>
      </c>
      <c r="G237">
        <v>2016</v>
      </c>
      <c r="H237" s="81" t="s">
        <v>382</v>
      </c>
    </row>
    <row r="238" spans="1:8">
      <c r="A238">
        <v>359</v>
      </c>
      <c r="B238" s="81" t="s">
        <v>793</v>
      </c>
      <c r="C238" s="81" t="s">
        <v>794</v>
      </c>
      <c r="D238">
        <v>4.4000000000000004</v>
      </c>
      <c r="E238">
        <v>440</v>
      </c>
      <c r="F238">
        <v>11</v>
      </c>
      <c r="G238">
        <v>2010</v>
      </c>
      <c r="H238" s="81" t="s">
        <v>382</v>
      </c>
    </row>
    <row r="239" spans="1:8">
      <c r="A239">
        <v>360</v>
      </c>
      <c r="B239" s="81" t="s">
        <v>795</v>
      </c>
      <c r="C239" s="81" t="s">
        <v>796</v>
      </c>
      <c r="D239">
        <v>4.8</v>
      </c>
      <c r="E239">
        <v>8922</v>
      </c>
      <c r="F239">
        <v>9</v>
      </c>
      <c r="G239">
        <v>2013</v>
      </c>
      <c r="H239" s="81" t="s">
        <v>385</v>
      </c>
    </row>
    <row r="240" spans="1:8">
      <c r="A240">
        <v>363</v>
      </c>
      <c r="B240" s="81" t="s">
        <v>797</v>
      </c>
      <c r="C240" s="81" t="s">
        <v>798</v>
      </c>
      <c r="D240">
        <v>4.0999999999999996</v>
      </c>
      <c r="E240">
        <v>2023</v>
      </c>
      <c r="F240">
        <v>15</v>
      </c>
      <c r="G240">
        <v>2011</v>
      </c>
      <c r="H240" s="81" t="s">
        <v>382</v>
      </c>
    </row>
    <row r="241" spans="1:8">
      <c r="A241">
        <v>364</v>
      </c>
      <c r="B241" s="81" t="s">
        <v>799</v>
      </c>
      <c r="C241" s="81" t="s">
        <v>800</v>
      </c>
      <c r="D241">
        <v>4</v>
      </c>
      <c r="E241">
        <v>1859</v>
      </c>
      <c r="F241">
        <v>11</v>
      </c>
      <c r="G241">
        <v>2009</v>
      </c>
      <c r="H241" s="81" t="s">
        <v>385</v>
      </c>
    </row>
    <row r="242" spans="1:8">
      <c r="A242">
        <v>365</v>
      </c>
      <c r="B242" s="81" t="s">
        <v>801</v>
      </c>
      <c r="C242" s="81" t="s">
        <v>662</v>
      </c>
      <c r="D242">
        <v>4.7</v>
      </c>
      <c r="E242">
        <v>50482</v>
      </c>
      <c r="F242">
        <v>13</v>
      </c>
      <c r="G242">
        <v>2012</v>
      </c>
      <c r="H242" s="81" t="s">
        <v>385</v>
      </c>
    </row>
    <row r="243" spans="1:8">
      <c r="A243">
        <v>369</v>
      </c>
      <c r="B243" s="81" t="s">
        <v>802</v>
      </c>
      <c r="C243" s="81" t="s">
        <v>803</v>
      </c>
      <c r="D243">
        <v>4.5999999999999996</v>
      </c>
      <c r="E243">
        <v>3207</v>
      </c>
      <c r="F243">
        <v>6</v>
      </c>
      <c r="G243">
        <v>2009</v>
      </c>
      <c r="H243" s="81" t="s">
        <v>382</v>
      </c>
    </row>
    <row r="244" spans="1:8">
      <c r="A244">
        <v>374</v>
      </c>
      <c r="B244" s="81" t="s">
        <v>804</v>
      </c>
      <c r="C244" s="81" t="s">
        <v>758</v>
      </c>
      <c r="D244">
        <v>4.5999999999999996</v>
      </c>
      <c r="E244">
        <v>803</v>
      </c>
      <c r="F244">
        <v>9</v>
      </c>
      <c r="G244">
        <v>2009</v>
      </c>
      <c r="H244" s="81" t="s">
        <v>382</v>
      </c>
    </row>
    <row r="245" spans="1:8">
      <c r="A245">
        <v>375</v>
      </c>
      <c r="B245" s="81" t="s">
        <v>805</v>
      </c>
      <c r="C245" s="81" t="s">
        <v>806</v>
      </c>
      <c r="D245">
        <v>4.7</v>
      </c>
      <c r="E245">
        <v>23308</v>
      </c>
      <c r="F245">
        <v>6</v>
      </c>
      <c r="G245">
        <v>2013</v>
      </c>
      <c r="H245" s="81" t="s">
        <v>382</v>
      </c>
    </row>
    <row r="246" spans="1:8">
      <c r="A246">
        <v>381</v>
      </c>
      <c r="B246" s="81" t="s">
        <v>807</v>
      </c>
      <c r="C246" s="81" t="s">
        <v>453</v>
      </c>
      <c r="D246">
        <v>4.8</v>
      </c>
      <c r="E246">
        <v>5836</v>
      </c>
      <c r="F246">
        <v>0</v>
      </c>
      <c r="G246">
        <v>2017</v>
      </c>
      <c r="H246" s="81" t="s">
        <v>385</v>
      </c>
    </row>
    <row r="247" spans="1:8">
      <c r="A247">
        <v>382</v>
      </c>
      <c r="B247" s="81" t="s">
        <v>808</v>
      </c>
      <c r="C247" s="81" t="s">
        <v>809</v>
      </c>
      <c r="D247">
        <v>4.0999999999999996</v>
      </c>
      <c r="E247">
        <v>79446</v>
      </c>
      <c r="F247">
        <v>18</v>
      </c>
      <c r="G247">
        <v>2015</v>
      </c>
      <c r="H247" s="81" t="s">
        <v>385</v>
      </c>
    </row>
    <row r="248" spans="1:8">
      <c r="A248">
        <v>384</v>
      </c>
      <c r="B248" s="81" t="s">
        <v>810</v>
      </c>
      <c r="C248" s="81" t="s">
        <v>811</v>
      </c>
      <c r="D248">
        <v>4.7</v>
      </c>
      <c r="E248">
        <v>7747</v>
      </c>
      <c r="F248">
        <v>14</v>
      </c>
      <c r="G248">
        <v>2010</v>
      </c>
      <c r="H248" s="81" t="s">
        <v>385</v>
      </c>
    </row>
    <row r="249" spans="1:8">
      <c r="A249">
        <v>386</v>
      </c>
      <c r="B249" s="81" t="s">
        <v>812</v>
      </c>
      <c r="C249" s="81" t="s">
        <v>811</v>
      </c>
      <c r="D249">
        <v>4.7</v>
      </c>
      <c r="E249">
        <v>7251</v>
      </c>
      <c r="F249">
        <v>9</v>
      </c>
      <c r="G249">
        <v>2010</v>
      </c>
      <c r="H249" s="81" t="s">
        <v>385</v>
      </c>
    </row>
    <row r="250" spans="1:8">
      <c r="A250">
        <v>387</v>
      </c>
      <c r="B250" s="81" t="s">
        <v>813</v>
      </c>
      <c r="C250" s="81" t="s">
        <v>811</v>
      </c>
      <c r="D250">
        <v>4.7</v>
      </c>
      <c r="E250">
        <v>7251</v>
      </c>
      <c r="F250">
        <v>16</v>
      </c>
      <c r="G250">
        <v>2009</v>
      </c>
      <c r="H250" s="81" t="s">
        <v>385</v>
      </c>
    </row>
    <row r="251" spans="1:8">
      <c r="A251">
        <v>388</v>
      </c>
      <c r="B251" s="81" t="s">
        <v>814</v>
      </c>
      <c r="C251" s="81" t="s">
        <v>811</v>
      </c>
      <c r="D251">
        <v>4.4000000000000004</v>
      </c>
      <c r="E251">
        <v>10559</v>
      </c>
      <c r="F251">
        <v>2</v>
      </c>
      <c r="G251">
        <v>2009</v>
      </c>
      <c r="H251" s="81" t="s">
        <v>385</v>
      </c>
    </row>
    <row r="252" spans="1:8">
      <c r="A252">
        <v>390</v>
      </c>
      <c r="B252" s="81" t="s">
        <v>815</v>
      </c>
      <c r="C252" s="81" t="s">
        <v>816</v>
      </c>
      <c r="D252">
        <v>4.8</v>
      </c>
      <c r="E252">
        <v>5249</v>
      </c>
      <c r="F252">
        <v>5</v>
      </c>
      <c r="G252">
        <v>2016</v>
      </c>
      <c r="H252" s="81" t="s">
        <v>385</v>
      </c>
    </row>
    <row r="253" spans="1:8">
      <c r="A253">
        <v>392</v>
      </c>
      <c r="B253" s="81" t="s">
        <v>817</v>
      </c>
      <c r="C253" s="81" t="s">
        <v>818</v>
      </c>
      <c r="D253">
        <v>3.9</v>
      </c>
      <c r="E253">
        <v>33844</v>
      </c>
      <c r="F253">
        <v>20</v>
      </c>
      <c r="G253">
        <v>2013</v>
      </c>
      <c r="H253" s="81" t="s">
        <v>385</v>
      </c>
    </row>
    <row r="254" spans="1:8">
      <c r="A254">
        <v>394</v>
      </c>
      <c r="B254" s="81" t="s">
        <v>819</v>
      </c>
      <c r="C254" s="81" t="s">
        <v>820</v>
      </c>
      <c r="D254">
        <v>4.4000000000000004</v>
      </c>
      <c r="E254">
        <v>11616</v>
      </c>
      <c r="F254">
        <v>7</v>
      </c>
      <c r="G254">
        <v>2012</v>
      </c>
      <c r="H254" s="81" t="s">
        <v>385</v>
      </c>
    </row>
    <row r="255" spans="1:8">
      <c r="A255">
        <v>397</v>
      </c>
      <c r="B255" s="81" t="s">
        <v>821</v>
      </c>
      <c r="C255" s="81" t="s">
        <v>750</v>
      </c>
      <c r="D255">
        <v>4.5</v>
      </c>
      <c r="E255">
        <v>13609</v>
      </c>
      <c r="F255">
        <v>14</v>
      </c>
      <c r="G255">
        <v>2019</v>
      </c>
      <c r="H255" s="81" t="s">
        <v>385</v>
      </c>
    </row>
    <row r="256" spans="1:8">
      <c r="A256">
        <v>398</v>
      </c>
      <c r="B256" s="81" t="s">
        <v>822</v>
      </c>
      <c r="C256" s="81" t="s">
        <v>823</v>
      </c>
      <c r="D256">
        <v>4.7</v>
      </c>
      <c r="E256">
        <v>8587</v>
      </c>
      <c r="F256">
        <v>10</v>
      </c>
      <c r="G256">
        <v>2009</v>
      </c>
      <c r="H256" s="81" t="s">
        <v>385</v>
      </c>
    </row>
    <row r="257" spans="1:8">
      <c r="A257">
        <v>399</v>
      </c>
      <c r="B257" s="81" t="s">
        <v>824</v>
      </c>
      <c r="C257" s="81" t="s">
        <v>825</v>
      </c>
      <c r="D257">
        <v>4.3</v>
      </c>
      <c r="E257">
        <v>29442</v>
      </c>
      <c r="F257">
        <v>7</v>
      </c>
      <c r="G257">
        <v>2017</v>
      </c>
      <c r="H257" s="81" t="s">
        <v>385</v>
      </c>
    </row>
    <row r="258" spans="1:8">
      <c r="A258">
        <v>400</v>
      </c>
      <c r="B258" s="81" t="s">
        <v>826</v>
      </c>
      <c r="C258" s="81" t="s">
        <v>827</v>
      </c>
      <c r="D258">
        <v>4.5999999999999996</v>
      </c>
      <c r="E258">
        <v>11098</v>
      </c>
      <c r="F258">
        <v>13</v>
      </c>
      <c r="G258">
        <v>2012</v>
      </c>
      <c r="H258" s="81" t="s">
        <v>385</v>
      </c>
    </row>
    <row r="259" spans="1:8">
      <c r="A259">
        <v>401</v>
      </c>
      <c r="B259" s="81" t="s">
        <v>828</v>
      </c>
      <c r="C259" s="81" t="s">
        <v>829</v>
      </c>
      <c r="D259">
        <v>4.8</v>
      </c>
      <c r="E259">
        <v>9947</v>
      </c>
      <c r="F259">
        <v>11</v>
      </c>
      <c r="G259">
        <v>2018</v>
      </c>
      <c r="H259" s="81" t="s">
        <v>385</v>
      </c>
    </row>
    <row r="260" spans="1:8">
      <c r="A260">
        <v>402</v>
      </c>
      <c r="B260" s="81" t="s">
        <v>830</v>
      </c>
      <c r="C260" s="81" t="s">
        <v>831</v>
      </c>
      <c r="D260">
        <v>4.8</v>
      </c>
      <c r="E260">
        <v>13871</v>
      </c>
      <c r="F260">
        <v>6</v>
      </c>
      <c r="G260">
        <v>2009</v>
      </c>
      <c r="H260" s="81" t="s">
        <v>385</v>
      </c>
    </row>
    <row r="261" spans="1:8">
      <c r="A261">
        <v>406</v>
      </c>
      <c r="B261" s="81" t="s">
        <v>832</v>
      </c>
      <c r="C261" s="81" t="s">
        <v>706</v>
      </c>
      <c r="D261">
        <v>4.8</v>
      </c>
      <c r="E261">
        <v>6982</v>
      </c>
      <c r="F261">
        <v>14</v>
      </c>
      <c r="G261">
        <v>2013</v>
      </c>
      <c r="H261" s="81" t="s">
        <v>385</v>
      </c>
    </row>
    <row r="262" spans="1:8">
      <c r="A262">
        <v>407</v>
      </c>
      <c r="B262" s="81" t="s">
        <v>833</v>
      </c>
      <c r="C262" s="81" t="s">
        <v>461</v>
      </c>
      <c r="D262">
        <v>4.7</v>
      </c>
      <c r="E262">
        <v>32122</v>
      </c>
      <c r="F262">
        <v>14</v>
      </c>
      <c r="G262">
        <v>2010</v>
      </c>
      <c r="H262" s="81" t="s">
        <v>385</v>
      </c>
    </row>
    <row r="263" spans="1:8">
      <c r="A263">
        <v>408</v>
      </c>
      <c r="B263" s="81" t="s">
        <v>834</v>
      </c>
      <c r="C263" s="81" t="s">
        <v>461</v>
      </c>
      <c r="D263">
        <v>4.7</v>
      </c>
      <c r="E263">
        <v>32122</v>
      </c>
      <c r="F263">
        <v>8</v>
      </c>
      <c r="G263">
        <v>2011</v>
      </c>
      <c r="H263" s="81" t="s">
        <v>385</v>
      </c>
    </row>
    <row r="264" spans="1:8">
      <c r="A264">
        <v>410</v>
      </c>
      <c r="B264" s="81" t="s">
        <v>835</v>
      </c>
      <c r="C264" s="81" t="s">
        <v>461</v>
      </c>
      <c r="D264">
        <v>4.8</v>
      </c>
      <c r="E264">
        <v>16949</v>
      </c>
      <c r="F264">
        <v>30</v>
      </c>
      <c r="G264">
        <v>2011</v>
      </c>
      <c r="H264" s="81" t="s">
        <v>385</v>
      </c>
    </row>
    <row r="265" spans="1:8">
      <c r="A265">
        <v>412</v>
      </c>
      <c r="B265" s="81" t="s">
        <v>836</v>
      </c>
      <c r="C265" s="81" t="s">
        <v>837</v>
      </c>
      <c r="D265">
        <v>4.7</v>
      </c>
      <c r="E265">
        <v>9289</v>
      </c>
      <c r="F265">
        <v>13</v>
      </c>
      <c r="G265">
        <v>2010</v>
      </c>
      <c r="H265" s="81" t="s">
        <v>382</v>
      </c>
    </row>
    <row r="266" spans="1:8">
      <c r="A266">
        <v>415</v>
      </c>
      <c r="B266" s="81" t="s">
        <v>838</v>
      </c>
      <c r="C266" s="81" t="s">
        <v>839</v>
      </c>
      <c r="D266">
        <v>4.3</v>
      </c>
      <c r="E266">
        <v>7368</v>
      </c>
      <c r="F266">
        <v>7</v>
      </c>
      <c r="G266">
        <v>2017</v>
      </c>
      <c r="H266" s="81" t="s">
        <v>382</v>
      </c>
    </row>
    <row r="267" spans="1:8">
      <c r="A267">
        <v>417</v>
      </c>
      <c r="B267" s="81" t="s">
        <v>840</v>
      </c>
      <c r="C267" s="81" t="s">
        <v>841</v>
      </c>
      <c r="D267">
        <v>4.7</v>
      </c>
      <c r="E267">
        <v>4028</v>
      </c>
      <c r="F267">
        <v>9</v>
      </c>
      <c r="G267">
        <v>2009</v>
      </c>
      <c r="H267" s="81" t="s">
        <v>382</v>
      </c>
    </row>
    <row r="268" spans="1:8">
      <c r="A268">
        <v>418</v>
      </c>
      <c r="B268" s="81" t="s">
        <v>842</v>
      </c>
      <c r="C268" s="81" t="s">
        <v>706</v>
      </c>
      <c r="D268">
        <v>4.8</v>
      </c>
      <c r="E268">
        <v>4628</v>
      </c>
      <c r="F268">
        <v>7</v>
      </c>
      <c r="G268">
        <v>2009</v>
      </c>
      <c r="H268" s="81" t="s">
        <v>385</v>
      </c>
    </row>
    <row r="269" spans="1:8">
      <c r="A269">
        <v>420</v>
      </c>
      <c r="B269" s="81" t="s">
        <v>843</v>
      </c>
      <c r="C269" s="81" t="s">
        <v>844</v>
      </c>
      <c r="D269">
        <v>4.9000000000000004</v>
      </c>
      <c r="E269">
        <v>5396</v>
      </c>
      <c r="F269">
        <v>20</v>
      </c>
      <c r="G269">
        <v>2013</v>
      </c>
      <c r="H269" s="81" t="s">
        <v>385</v>
      </c>
    </row>
    <row r="270" spans="1:8">
      <c r="A270">
        <v>421</v>
      </c>
      <c r="B270" s="81" t="s">
        <v>845</v>
      </c>
      <c r="C270" s="81" t="s">
        <v>846</v>
      </c>
      <c r="D270">
        <v>4.4000000000000004</v>
      </c>
      <c r="E270">
        <v>4247</v>
      </c>
      <c r="F270">
        <v>13</v>
      </c>
      <c r="G270">
        <v>2011</v>
      </c>
      <c r="H270" s="81" t="s">
        <v>382</v>
      </c>
    </row>
    <row r="271" spans="1:8">
      <c r="A271">
        <v>423</v>
      </c>
      <c r="B271" s="81" t="s">
        <v>847</v>
      </c>
      <c r="C271" s="81" t="s">
        <v>848</v>
      </c>
      <c r="D271">
        <v>4.5</v>
      </c>
      <c r="E271">
        <v>22641</v>
      </c>
      <c r="F271">
        <v>11</v>
      </c>
      <c r="G271">
        <v>2015</v>
      </c>
      <c r="H271" s="81" t="s">
        <v>382</v>
      </c>
    </row>
    <row r="272" spans="1:8">
      <c r="A272">
        <v>427</v>
      </c>
      <c r="B272" s="81" t="s">
        <v>849</v>
      </c>
      <c r="C272" s="81" t="s">
        <v>750</v>
      </c>
      <c r="D272">
        <v>4.4000000000000004</v>
      </c>
      <c r="E272">
        <v>6222</v>
      </c>
      <c r="F272">
        <v>18</v>
      </c>
      <c r="G272">
        <v>2011</v>
      </c>
      <c r="H272" s="81" t="s">
        <v>385</v>
      </c>
    </row>
    <row r="273" spans="1:8">
      <c r="A273">
        <v>428</v>
      </c>
      <c r="B273" s="81" t="s">
        <v>850</v>
      </c>
      <c r="C273" s="81" t="s">
        <v>706</v>
      </c>
      <c r="D273">
        <v>4.8</v>
      </c>
      <c r="E273">
        <v>4506</v>
      </c>
      <c r="F273">
        <v>14</v>
      </c>
      <c r="G273">
        <v>2010</v>
      </c>
      <c r="H273" s="81" t="s">
        <v>385</v>
      </c>
    </row>
    <row r="274" spans="1:8">
      <c r="A274">
        <v>429</v>
      </c>
      <c r="B274" s="81" t="s">
        <v>851</v>
      </c>
      <c r="C274" s="81" t="s">
        <v>618</v>
      </c>
      <c r="D274">
        <v>4.2</v>
      </c>
      <c r="E274">
        <v>8747</v>
      </c>
      <c r="F274">
        <v>19</v>
      </c>
      <c r="G274">
        <v>2009</v>
      </c>
      <c r="H274" s="81" t="s">
        <v>385</v>
      </c>
    </row>
    <row r="275" spans="1:8">
      <c r="A275">
        <v>430</v>
      </c>
      <c r="B275" s="81" t="s">
        <v>852</v>
      </c>
      <c r="C275" s="81" t="s">
        <v>853</v>
      </c>
      <c r="D275">
        <v>4.8</v>
      </c>
      <c r="E275">
        <v>1655</v>
      </c>
      <c r="F275">
        <v>13</v>
      </c>
      <c r="G275">
        <v>2009</v>
      </c>
      <c r="H275" s="81" t="s">
        <v>382</v>
      </c>
    </row>
    <row r="276" spans="1:8">
      <c r="A276">
        <v>431</v>
      </c>
      <c r="B276" s="81" t="s">
        <v>854</v>
      </c>
      <c r="C276" s="81" t="s">
        <v>855</v>
      </c>
      <c r="D276">
        <v>4.9000000000000004</v>
      </c>
      <c r="E276">
        <v>7861</v>
      </c>
      <c r="F276">
        <v>5</v>
      </c>
      <c r="G276">
        <v>2016</v>
      </c>
      <c r="H276" s="81" t="s">
        <v>382</v>
      </c>
    </row>
    <row r="277" spans="1:8">
      <c r="A277">
        <v>432</v>
      </c>
      <c r="B277" s="81" t="s">
        <v>856</v>
      </c>
      <c r="C277" s="81" t="s">
        <v>706</v>
      </c>
      <c r="D277">
        <v>4.8</v>
      </c>
      <c r="E277">
        <v>6247</v>
      </c>
      <c r="F277">
        <v>10</v>
      </c>
      <c r="G277">
        <v>2012</v>
      </c>
      <c r="H277" s="81" t="s">
        <v>385</v>
      </c>
    </row>
    <row r="278" spans="1:8">
      <c r="A278">
        <v>433</v>
      </c>
      <c r="B278" s="81" t="s">
        <v>857</v>
      </c>
      <c r="C278" s="81" t="s">
        <v>858</v>
      </c>
      <c r="D278">
        <v>4.7</v>
      </c>
      <c r="E278">
        <v>39459</v>
      </c>
      <c r="F278">
        <v>9</v>
      </c>
      <c r="G278">
        <v>2015</v>
      </c>
      <c r="H278" s="81" t="s">
        <v>385</v>
      </c>
    </row>
    <row r="279" spans="1:8">
      <c r="A279">
        <v>434</v>
      </c>
      <c r="B279" s="81" t="s">
        <v>859</v>
      </c>
      <c r="C279" s="81" t="s">
        <v>860</v>
      </c>
      <c r="D279">
        <v>4.5</v>
      </c>
      <c r="E279">
        <v>10101</v>
      </c>
      <c r="F279">
        <v>8</v>
      </c>
      <c r="G279">
        <v>2014</v>
      </c>
      <c r="H279" s="81" t="s">
        <v>385</v>
      </c>
    </row>
    <row r="280" spans="1:8">
      <c r="A280">
        <v>435</v>
      </c>
      <c r="B280" s="81" t="s">
        <v>861</v>
      </c>
      <c r="C280" s="81" t="s">
        <v>453</v>
      </c>
      <c r="D280">
        <v>4.8</v>
      </c>
      <c r="E280">
        <v>5898</v>
      </c>
      <c r="F280">
        <v>8</v>
      </c>
      <c r="G280">
        <v>2018</v>
      </c>
      <c r="H280" s="81" t="s">
        <v>385</v>
      </c>
    </row>
    <row r="281" spans="1:8">
      <c r="A281">
        <v>436</v>
      </c>
      <c r="B281" s="81" t="s">
        <v>862</v>
      </c>
      <c r="C281" s="81" t="s">
        <v>863</v>
      </c>
      <c r="D281">
        <v>4.5999999999999996</v>
      </c>
      <c r="E281">
        <v>2744</v>
      </c>
      <c r="F281">
        <v>12</v>
      </c>
      <c r="G281">
        <v>2019</v>
      </c>
      <c r="H281" s="81" t="s">
        <v>382</v>
      </c>
    </row>
    <row r="282" spans="1:8">
      <c r="A282">
        <v>437</v>
      </c>
      <c r="B282" s="81" t="s">
        <v>864</v>
      </c>
      <c r="C282" s="81" t="s">
        <v>865</v>
      </c>
      <c r="D282">
        <v>4.8</v>
      </c>
      <c r="E282">
        <v>49288</v>
      </c>
      <c r="F282">
        <v>11</v>
      </c>
      <c r="G282">
        <v>2015</v>
      </c>
      <c r="H282" s="81" t="s">
        <v>385</v>
      </c>
    </row>
    <row r="283" spans="1:8">
      <c r="A283">
        <v>439</v>
      </c>
      <c r="B283" s="81" t="s">
        <v>866</v>
      </c>
      <c r="C283" s="81" t="s">
        <v>867</v>
      </c>
      <c r="D283">
        <v>4.4000000000000004</v>
      </c>
      <c r="E283">
        <v>1201</v>
      </c>
      <c r="F283">
        <v>40</v>
      </c>
      <c r="G283">
        <v>2010</v>
      </c>
      <c r="H283" s="81" t="s">
        <v>382</v>
      </c>
    </row>
    <row r="284" spans="1:8">
      <c r="A284">
        <v>444</v>
      </c>
      <c r="B284" s="81" t="s">
        <v>868</v>
      </c>
      <c r="C284" s="81" t="s">
        <v>867</v>
      </c>
      <c r="D284">
        <v>4.3</v>
      </c>
      <c r="E284">
        <v>807</v>
      </c>
      <c r="F284">
        <v>36</v>
      </c>
      <c r="G284">
        <v>2016</v>
      </c>
      <c r="H284" s="81" t="s">
        <v>382</v>
      </c>
    </row>
    <row r="285" spans="1:8">
      <c r="A285">
        <v>445</v>
      </c>
      <c r="B285" s="81" t="s">
        <v>869</v>
      </c>
      <c r="C285" s="81" t="s">
        <v>870</v>
      </c>
      <c r="D285">
        <v>4.3</v>
      </c>
      <c r="E285">
        <v>3759</v>
      </c>
      <c r="F285">
        <v>16</v>
      </c>
      <c r="G285">
        <v>2011</v>
      </c>
      <c r="H285" s="81" t="s">
        <v>385</v>
      </c>
    </row>
    <row r="286" spans="1:8">
      <c r="A286">
        <v>446</v>
      </c>
      <c r="B286" s="81" t="s">
        <v>871</v>
      </c>
      <c r="C286" s="81" t="s">
        <v>872</v>
      </c>
      <c r="D286">
        <v>4.8</v>
      </c>
      <c r="E286">
        <v>2663</v>
      </c>
      <c r="F286">
        <v>17</v>
      </c>
      <c r="G286">
        <v>2013</v>
      </c>
      <c r="H286" s="81" t="s">
        <v>382</v>
      </c>
    </row>
    <row r="287" spans="1:8">
      <c r="A287">
        <v>447</v>
      </c>
      <c r="B287" s="81" t="s">
        <v>873</v>
      </c>
      <c r="C287" s="81" t="s">
        <v>872</v>
      </c>
      <c r="D287">
        <v>4.8</v>
      </c>
      <c r="E287">
        <v>3428</v>
      </c>
      <c r="F287">
        <v>14</v>
      </c>
      <c r="G287">
        <v>2015</v>
      </c>
      <c r="H287" s="81" t="s">
        <v>382</v>
      </c>
    </row>
    <row r="288" spans="1:8">
      <c r="A288">
        <v>448</v>
      </c>
      <c r="B288" s="81" t="s">
        <v>874</v>
      </c>
      <c r="C288" s="81" t="s">
        <v>872</v>
      </c>
      <c r="D288">
        <v>4.8</v>
      </c>
      <c r="E288">
        <v>2876</v>
      </c>
      <c r="F288">
        <v>21</v>
      </c>
      <c r="G288">
        <v>2012</v>
      </c>
      <c r="H288" s="81" t="s">
        <v>382</v>
      </c>
    </row>
    <row r="289" spans="1:8">
      <c r="A289">
        <v>449</v>
      </c>
      <c r="B289" s="81" t="s">
        <v>875</v>
      </c>
      <c r="C289" s="81" t="s">
        <v>876</v>
      </c>
      <c r="D289">
        <v>4.5</v>
      </c>
      <c r="E289">
        <v>3601</v>
      </c>
      <c r="F289">
        <v>18</v>
      </c>
      <c r="G289">
        <v>2018</v>
      </c>
      <c r="H289" s="81" t="s">
        <v>382</v>
      </c>
    </row>
    <row r="290" spans="1:8">
      <c r="A290">
        <v>450</v>
      </c>
      <c r="B290" s="81" t="s">
        <v>877</v>
      </c>
      <c r="C290" s="81" t="s">
        <v>876</v>
      </c>
      <c r="D290">
        <v>4.4000000000000004</v>
      </c>
      <c r="E290">
        <v>7058</v>
      </c>
      <c r="F290">
        <v>17</v>
      </c>
      <c r="G290">
        <v>2018</v>
      </c>
      <c r="H290" s="81" t="s">
        <v>382</v>
      </c>
    </row>
    <row r="291" spans="1:8">
      <c r="A291">
        <v>451</v>
      </c>
      <c r="B291" s="81" t="s">
        <v>878</v>
      </c>
      <c r="C291" s="81" t="s">
        <v>879</v>
      </c>
      <c r="D291">
        <v>4.8</v>
      </c>
      <c r="E291">
        <v>9784</v>
      </c>
      <c r="F291">
        <v>5</v>
      </c>
      <c r="G291">
        <v>2017</v>
      </c>
      <c r="H291" s="81" t="s">
        <v>385</v>
      </c>
    </row>
    <row r="292" spans="1:8">
      <c r="A292">
        <v>453</v>
      </c>
      <c r="B292" s="81" t="s">
        <v>880</v>
      </c>
      <c r="C292" s="81" t="s">
        <v>881</v>
      </c>
      <c r="D292">
        <v>4.5999999999999996</v>
      </c>
      <c r="E292">
        <v>10795</v>
      </c>
      <c r="F292">
        <v>21</v>
      </c>
      <c r="G292">
        <v>2012</v>
      </c>
      <c r="H292" s="81" t="s">
        <v>382</v>
      </c>
    </row>
    <row r="293" spans="1:8">
      <c r="A293">
        <v>454</v>
      </c>
      <c r="B293" s="81" t="s">
        <v>882</v>
      </c>
      <c r="C293" s="81" t="s">
        <v>610</v>
      </c>
      <c r="D293">
        <v>4.3</v>
      </c>
      <c r="E293">
        <v>10191</v>
      </c>
      <c r="F293">
        <v>18</v>
      </c>
      <c r="G293">
        <v>2018</v>
      </c>
      <c r="H293" s="81" t="s">
        <v>385</v>
      </c>
    </row>
    <row r="294" spans="1:8">
      <c r="A294">
        <v>455</v>
      </c>
      <c r="B294" s="81" t="s">
        <v>883</v>
      </c>
      <c r="C294" s="81" t="s">
        <v>750</v>
      </c>
      <c r="D294">
        <v>4.3</v>
      </c>
      <c r="E294">
        <v>14493</v>
      </c>
      <c r="F294">
        <v>18</v>
      </c>
      <c r="G294">
        <v>2012</v>
      </c>
      <c r="H294" s="81" t="s">
        <v>385</v>
      </c>
    </row>
    <row r="295" spans="1:8">
      <c r="A295">
        <v>456</v>
      </c>
      <c r="B295" s="81" t="s">
        <v>884</v>
      </c>
      <c r="C295" s="81" t="s">
        <v>706</v>
      </c>
      <c r="D295">
        <v>4.5999999999999996</v>
      </c>
      <c r="E295">
        <v>2186</v>
      </c>
      <c r="F295">
        <v>12</v>
      </c>
      <c r="G295">
        <v>2010</v>
      </c>
      <c r="H295" s="81" t="s">
        <v>385</v>
      </c>
    </row>
    <row r="296" spans="1:8">
      <c r="A296">
        <v>457</v>
      </c>
      <c r="B296" s="81" t="s">
        <v>885</v>
      </c>
      <c r="C296" s="81" t="s">
        <v>886</v>
      </c>
      <c r="D296">
        <v>4.5999999999999996</v>
      </c>
      <c r="E296">
        <v>1204</v>
      </c>
      <c r="F296">
        <v>14</v>
      </c>
      <c r="G296">
        <v>2010</v>
      </c>
      <c r="H296" s="81" t="s">
        <v>382</v>
      </c>
    </row>
    <row r="297" spans="1:8">
      <c r="A297">
        <v>458</v>
      </c>
      <c r="B297" s="81" t="s">
        <v>887</v>
      </c>
      <c r="C297" s="81" t="s">
        <v>706</v>
      </c>
      <c r="D297">
        <v>4.8</v>
      </c>
      <c r="E297">
        <v>2091</v>
      </c>
      <c r="F297">
        <v>12</v>
      </c>
      <c r="G297">
        <v>2012</v>
      </c>
      <c r="H297" s="81" t="s">
        <v>385</v>
      </c>
    </row>
    <row r="298" spans="1:8">
      <c r="A298">
        <v>459</v>
      </c>
      <c r="B298" s="81" t="s">
        <v>888</v>
      </c>
      <c r="C298" s="81" t="s">
        <v>889</v>
      </c>
      <c r="D298">
        <v>4.5999999999999996</v>
      </c>
      <c r="E298">
        <v>19720</v>
      </c>
      <c r="F298">
        <v>8</v>
      </c>
      <c r="G298">
        <v>2009</v>
      </c>
      <c r="H298" s="81" t="s">
        <v>385</v>
      </c>
    </row>
    <row r="299" spans="1:8">
      <c r="A299">
        <v>461</v>
      </c>
      <c r="B299" s="81" t="s">
        <v>890</v>
      </c>
      <c r="C299" s="81" t="s">
        <v>448</v>
      </c>
      <c r="D299">
        <v>4.5999999999999996</v>
      </c>
      <c r="E299">
        <v>2122</v>
      </c>
      <c r="F299">
        <v>0</v>
      </c>
      <c r="G299">
        <v>2010</v>
      </c>
      <c r="H299" s="81" t="s">
        <v>385</v>
      </c>
    </row>
    <row r="300" spans="1:8">
      <c r="A300">
        <v>462</v>
      </c>
      <c r="B300" s="81" t="s">
        <v>891</v>
      </c>
      <c r="C300" s="81" t="s">
        <v>892</v>
      </c>
      <c r="D300">
        <v>4.5</v>
      </c>
      <c r="E300">
        <v>27536</v>
      </c>
      <c r="F300">
        <v>14</v>
      </c>
      <c r="G300">
        <v>2019</v>
      </c>
      <c r="H300" s="81" t="s">
        <v>385</v>
      </c>
    </row>
    <row r="301" spans="1:8">
      <c r="A301">
        <v>463</v>
      </c>
      <c r="B301" s="81" t="s">
        <v>893</v>
      </c>
      <c r="C301" s="81" t="s">
        <v>706</v>
      </c>
      <c r="D301">
        <v>4.8</v>
      </c>
      <c r="E301">
        <v>4290</v>
      </c>
      <c r="F301">
        <v>10</v>
      </c>
      <c r="G301">
        <v>2011</v>
      </c>
      <c r="H301" s="81" t="s">
        <v>385</v>
      </c>
    </row>
    <row r="302" spans="1:8">
      <c r="A302">
        <v>464</v>
      </c>
      <c r="B302" s="81" t="s">
        <v>894</v>
      </c>
      <c r="C302" s="81" t="s">
        <v>895</v>
      </c>
      <c r="D302">
        <v>4.5999999999999996</v>
      </c>
      <c r="E302">
        <v>26490</v>
      </c>
      <c r="F302">
        <v>15</v>
      </c>
      <c r="G302">
        <v>2017</v>
      </c>
      <c r="H302" s="81" t="s">
        <v>382</v>
      </c>
    </row>
    <row r="303" spans="1:8">
      <c r="A303">
        <v>467</v>
      </c>
      <c r="B303" s="81" t="s">
        <v>896</v>
      </c>
      <c r="C303" s="81" t="s">
        <v>674</v>
      </c>
      <c r="D303">
        <v>4.7</v>
      </c>
      <c r="E303">
        <v>5487</v>
      </c>
      <c r="F303">
        <v>9</v>
      </c>
      <c r="G303">
        <v>2017</v>
      </c>
      <c r="H303" s="81" t="s">
        <v>382</v>
      </c>
    </row>
    <row r="304" spans="1:8">
      <c r="A304">
        <v>468</v>
      </c>
      <c r="B304" s="81" t="s">
        <v>897</v>
      </c>
      <c r="C304" s="81" t="s">
        <v>453</v>
      </c>
      <c r="D304">
        <v>4.7</v>
      </c>
      <c r="E304">
        <v>6377</v>
      </c>
      <c r="F304">
        <v>7</v>
      </c>
      <c r="G304">
        <v>2012</v>
      </c>
      <c r="H304" s="81" t="s">
        <v>385</v>
      </c>
    </row>
    <row r="305" spans="1:8">
      <c r="A305">
        <v>469</v>
      </c>
      <c r="B305" s="81" t="s">
        <v>898</v>
      </c>
      <c r="C305" s="81" t="s">
        <v>706</v>
      </c>
      <c r="D305">
        <v>4.7</v>
      </c>
      <c r="E305">
        <v>1463</v>
      </c>
      <c r="F305">
        <v>10</v>
      </c>
      <c r="G305">
        <v>2011</v>
      </c>
      <c r="H305" s="81" t="s">
        <v>385</v>
      </c>
    </row>
    <row r="306" spans="1:8">
      <c r="A306">
        <v>470</v>
      </c>
      <c r="B306" s="81" t="s">
        <v>899</v>
      </c>
      <c r="C306" s="81" t="s">
        <v>900</v>
      </c>
      <c r="D306">
        <v>4.4000000000000004</v>
      </c>
      <c r="E306">
        <v>3759</v>
      </c>
      <c r="F306">
        <v>6</v>
      </c>
      <c r="G306">
        <v>2009</v>
      </c>
      <c r="H306" s="81" t="s">
        <v>385</v>
      </c>
    </row>
    <row r="307" spans="1:8">
      <c r="A307">
        <v>471</v>
      </c>
      <c r="B307" s="81" t="s">
        <v>901</v>
      </c>
      <c r="C307" s="81" t="s">
        <v>476</v>
      </c>
      <c r="D307">
        <v>4.4000000000000004</v>
      </c>
      <c r="E307">
        <v>3503</v>
      </c>
      <c r="F307">
        <v>9</v>
      </c>
      <c r="G307">
        <v>2009</v>
      </c>
      <c r="H307" s="81" t="s">
        <v>382</v>
      </c>
    </row>
    <row r="308" spans="1:8">
      <c r="A308">
        <v>472</v>
      </c>
      <c r="B308" s="81" t="s">
        <v>902</v>
      </c>
      <c r="C308" s="81" t="s">
        <v>903</v>
      </c>
      <c r="D308">
        <v>4.7</v>
      </c>
      <c r="E308">
        <v>11550</v>
      </c>
      <c r="F308">
        <v>10</v>
      </c>
      <c r="G308">
        <v>2019</v>
      </c>
      <c r="H308" s="81" t="s">
        <v>382</v>
      </c>
    </row>
    <row r="309" spans="1:8">
      <c r="A309">
        <v>473</v>
      </c>
      <c r="B309" s="81" t="s">
        <v>904</v>
      </c>
      <c r="C309" s="81" t="s">
        <v>448</v>
      </c>
      <c r="D309">
        <v>4.7</v>
      </c>
      <c r="E309">
        <v>3801</v>
      </c>
      <c r="F309">
        <v>82</v>
      </c>
      <c r="G309">
        <v>2009</v>
      </c>
      <c r="H309" s="81" t="s">
        <v>385</v>
      </c>
    </row>
    <row r="310" spans="1:8">
      <c r="A310">
        <v>474</v>
      </c>
      <c r="B310" s="81" t="s">
        <v>905</v>
      </c>
      <c r="C310" s="81" t="s">
        <v>453</v>
      </c>
      <c r="D310">
        <v>4.8</v>
      </c>
      <c r="E310">
        <v>3796</v>
      </c>
      <c r="F310">
        <v>12</v>
      </c>
      <c r="G310">
        <v>2010</v>
      </c>
      <c r="H310" s="81" t="s">
        <v>385</v>
      </c>
    </row>
    <row r="311" spans="1:8">
      <c r="A311">
        <v>475</v>
      </c>
      <c r="B311" s="81" t="s">
        <v>906</v>
      </c>
      <c r="C311" s="81" t="s">
        <v>907</v>
      </c>
      <c r="D311">
        <v>4.7</v>
      </c>
      <c r="E311">
        <v>9030</v>
      </c>
      <c r="F311">
        <v>10</v>
      </c>
      <c r="G311">
        <v>2019</v>
      </c>
      <c r="H311" s="81" t="s">
        <v>382</v>
      </c>
    </row>
    <row r="312" spans="1:8">
      <c r="A312">
        <v>476</v>
      </c>
      <c r="B312" s="81" t="s">
        <v>908</v>
      </c>
      <c r="C312" s="81" t="s">
        <v>909</v>
      </c>
      <c r="D312">
        <v>4.9000000000000004</v>
      </c>
      <c r="E312">
        <v>19546</v>
      </c>
      <c r="F312">
        <v>5</v>
      </c>
      <c r="G312">
        <v>2013</v>
      </c>
      <c r="H312" s="81" t="s">
        <v>385</v>
      </c>
    </row>
    <row r="313" spans="1:8">
      <c r="A313">
        <v>483</v>
      </c>
      <c r="B313" s="81" t="s">
        <v>910</v>
      </c>
      <c r="C313" s="81" t="s">
        <v>911</v>
      </c>
      <c r="D313">
        <v>4.5999999999999996</v>
      </c>
      <c r="E313">
        <v>7508</v>
      </c>
      <c r="F313">
        <v>16</v>
      </c>
      <c r="G313">
        <v>2015</v>
      </c>
      <c r="H313" s="81" t="s">
        <v>382</v>
      </c>
    </row>
    <row r="314" spans="1:8">
      <c r="A314">
        <v>486</v>
      </c>
      <c r="B314" s="81" t="s">
        <v>912</v>
      </c>
      <c r="C314" s="81" t="s">
        <v>913</v>
      </c>
      <c r="D314">
        <v>4.9000000000000004</v>
      </c>
      <c r="E314">
        <v>8842</v>
      </c>
      <c r="F314">
        <v>10</v>
      </c>
      <c r="G314">
        <v>2016</v>
      </c>
      <c r="H314" s="81" t="s">
        <v>385</v>
      </c>
    </row>
    <row r="315" spans="1:8">
      <c r="A315">
        <v>490</v>
      </c>
      <c r="B315" s="81" t="s">
        <v>914</v>
      </c>
      <c r="C315" s="81" t="s">
        <v>915</v>
      </c>
      <c r="D315">
        <v>4.8</v>
      </c>
      <c r="E315">
        <v>30183</v>
      </c>
      <c r="F315">
        <v>4</v>
      </c>
      <c r="G315">
        <v>2018</v>
      </c>
      <c r="H315" s="81" t="s">
        <v>385</v>
      </c>
    </row>
    <row r="316" spans="1:8">
      <c r="A316">
        <v>492</v>
      </c>
      <c r="B316" s="81" t="s">
        <v>916</v>
      </c>
      <c r="C316" s="81" t="s">
        <v>917</v>
      </c>
      <c r="D316">
        <v>4.7</v>
      </c>
      <c r="E316">
        <v>6169</v>
      </c>
      <c r="F316">
        <v>16</v>
      </c>
      <c r="G316">
        <v>2015</v>
      </c>
      <c r="H316" s="81" t="s">
        <v>382</v>
      </c>
    </row>
    <row r="317" spans="1:8">
      <c r="A317">
        <v>493</v>
      </c>
      <c r="B317" s="81" t="s">
        <v>918</v>
      </c>
      <c r="C317" s="81" t="s">
        <v>919</v>
      </c>
      <c r="D317">
        <v>4.7</v>
      </c>
      <c r="E317">
        <v>7034</v>
      </c>
      <c r="F317">
        <v>15</v>
      </c>
      <c r="G317">
        <v>2013</v>
      </c>
      <c r="H317" s="81" t="s">
        <v>382</v>
      </c>
    </row>
    <row r="318" spans="1:8">
      <c r="A318">
        <v>494</v>
      </c>
      <c r="B318" s="81" t="s">
        <v>920</v>
      </c>
      <c r="C318" s="81" t="s">
        <v>921</v>
      </c>
      <c r="D318">
        <v>4.5999999999999996</v>
      </c>
      <c r="E318">
        <v>11034</v>
      </c>
      <c r="F318">
        <v>19</v>
      </c>
      <c r="G318">
        <v>2011</v>
      </c>
      <c r="H318" s="81" t="s">
        <v>382</v>
      </c>
    </row>
    <row r="319" spans="1:8">
      <c r="A319">
        <v>496</v>
      </c>
      <c r="B319" s="81" t="s">
        <v>922</v>
      </c>
      <c r="C319" s="81" t="s">
        <v>923</v>
      </c>
      <c r="D319">
        <v>4.5</v>
      </c>
      <c r="E319">
        <v>7932</v>
      </c>
      <c r="F319">
        <v>9</v>
      </c>
      <c r="G319">
        <v>2017</v>
      </c>
      <c r="H319" s="81" t="s">
        <v>385</v>
      </c>
    </row>
    <row r="320" spans="1:8">
      <c r="A320">
        <v>497</v>
      </c>
      <c r="B320" s="81" t="s">
        <v>924</v>
      </c>
      <c r="C320" s="81" t="s">
        <v>925</v>
      </c>
      <c r="D320">
        <v>4.5</v>
      </c>
      <c r="E320">
        <v>1904</v>
      </c>
      <c r="F320">
        <v>23</v>
      </c>
      <c r="G320">
        <v>2012</v>
      </c>
      <c r="H320" s="81" t="s">
        <v>382</v>
      </c>
    </row>
    <row r="321" spans="1:8">
      <c r="A321">
        <v>498</v>
      </c>
      <c r="B321" s="81" t="s">
        <v>926</v>
      </c>
      <c r="C321" s="81" t="s">
        <v>927</v>
      </c>
      <c r="D321">
        <v>4.3</v>
      </c>
      <c r="E321">
        <v>3319</v>
      </c>
      <c r="F321">
        <v>11</v>
      </c>
      <c r="G321">
        <v>2009</v>
      </c>
      <c r="H321" s="81" t="s">
        <v>382</v>
      </c>
    </row>
    <row r="322" spans="1:8">
      <c r="A322">
        <v>500</v>
      </c>
      <c r="B322" s="81" t="s">
        <v>928</v>
      </c>
      <c r="C322" s="81" t="s">
        <v>929</v>
      </c>
      <c r="D322">
        <v>4.5999999999999996</v>
      </c>
      <c r="E322">
        <v>11128</v>
      </c>
      <c r="F322">
        <v>23</v>
      </c>
      <c r="G322">
        <v>2014</v>
      </c>
      <c r="H322" s="81" t="s">
        <v>382</v>
      </c>
    </row>
    <row r="323" spans="1:8">
      <c r="A323">
        <v>504</v>
      </c>
      <c r="B323" s="81" t="s">
        <v>930</v>
      </c>
      <c r="C323" s="81" t="s">
        <v>931</v>
      </c>
      <c r="D323">
        <v>4.3</v>
      </c>
      <c r="E323">
        <v>5977</v>
      </c>
      <c r="F323">
        <v>12</v>
      </c>
      <c r="G323">
        <v>2011</v>
      </c>
      <c r="H323" s="81" t="s">
        <v>382</v>
      </c>
    </row>
    <row r="324" spans="1:8">
      <c r="A324">
        <v>505</v>
      </c>
      <c r="B324" s="81" t="s">
        <v>932</v>
      </c>
      <c r="C324" s="81" t="s">
        <v>557</v>
      </c>
      <c r="D324">
        <v>4.8</v>
      </c>
      <c r="E324">
        <v>26234</v>
      </c>
      <c r="F324">
        <v>0</v>
      </c>
      <c r="G324">
        <v>2013</v>
      </c>
      <c r="H324" s="81" t="s">
        <v>385</v>
      </c>
    </row>
    <row r="325" spans="1:8">
      <c r="A325">
        <v>510</v>
      </c>
      <c r="B325" s="81" t="s">
        <v>933</v>
      </c>
      <c r="C325" s="81" t="s">
        <v>756</v>
      </c>
      <c r="D325">
        <v>4.5999999999999996</v>
      </c>
      <c r="E325">
        <v>4360</v>
      </c>
      <c r="F325">
        <v>21</v>
      </c>
      <c r="G325">
        <v>2017</v>
      </c>
      <c r="H325" s="81" t="s">
        <v>382</v>
      </c>
    </row>
    <row r="326" spans="1:8">
      <c r="A326">
        <v>511</v>
      </c>
      <c r="B326" s="81" t="s">
        <v>934</v>
      </c>
      <c r="C326" s="81" t="s">
        <v>935</v>
      </c>
      <c r="D326">
        <v>4.8</v>
      </c>
      <c r="E326">
        <v>2282</v>
      </c>
      <c r="F326">
        <v>21</v>
      </c>
      <c r="G326">
        <v>2010</v>
      </c>
      <c r="H326" s="81" t="s">
        <v>385</v>
      </c>
    </row>
    <row r="327" spans="1:8">
      <c r="A327">
        <v>512</v>
      </c>
      <c r="B327" s="81" t="s">
        <v>936</v>
      </c>
      <c r="C327" s="81" t="s">
        <v>937</v>
      </c>
      <c r="D327">
        <v>4.5</v>
      </c>
      <c r="E327">
        <v>438</v>
      </c>
      <c r="F327">
        <v>15</v>
      </c>
      <c r="G327">
        <v>2009</v>
      </c>
      <c r="H327" s="81" t="s">
        <v>382</v>
      </c>
    </row>
    <row r="328" spans="1:8">
      <c r="A328">
        <v>513</v>
      </c>
      <c r="B328" s="81" t="s">
        <v>938</v>
      </c>
      <c r="C328" s="81" t="s">
        <v>448</v>
      </c>
      <c r="D328">
        <v>4.7</v>
      </c>
      <c r="E328">
        <v>11676</v>
      </c>
      <c r="F328">
        <v>9</v>
      </c>
      <c r="G328">
        <v>2009</v>
      </c>
      <c r="H328" s="81" t="s">
        <v>385</v>
      </c>
    </row>
    <row r="329" spans="1:8">
      <c r="A329">
        <v>514</v>
      </c>
      <c r="B329" s="81" t="s">
        <v>939</v>
      </c>
      <c r="C329" s="81" t="s">
        <v>433</v>
      </c>
      <c r="D329">
        <v>4.5</v>
      </c>
      <c r="E329">
        <v>2586</v>
      </c>
      <c r="F329">
        <v>5</v>
      </c>
      <c r="G329">
        <v>2014</v>
      </c>
      <c r="H329" s="81" t="s">
        <v>385</v>
      </c>
    </row>
    <row r="330" spans="1:8">
      <c r="A330">
        <v>515</v>
      </c>
      <c r="B330" s="81" t="s">
        <v>940</v>
      </c>
      <c r="C330" s="81" t="s">
        <v>941</v>
      </c>
      <c r="D330">
        <v>4.8</v>
      </c>
      <c r="E330">
        <v>29673</v>
      </c>
      <c r="F330">
        <v>16</v>
      </c>
      <c r="G330">
        <v>2010</v>
      </c>
      <c r="H330" s="81" t="s">
        <v>382</v>
      </c>
    </row>
    <row r="331" spans="1:8">
      <c r="A331">
        <v>520</v>
      </c>
      <c r="B331" s="81" t="s">
        <v>942</v>
      </c>
      <c r="C331" s="81" t="s">
        <v>384</v>
      </c>
      <c r="D331">
        <v>4.3</v>
      </c>
      <c r="E331">
        <v>6740</v>
      </c>
      <c r="F331">
        <v>20</v>
      </c>
      <c r="G331">
        <v>2009</v>
      </c>
      <c r="H331" s="81" t="s">
        <v>385</v>
      </c>
    </row>
    <row r="332" spans="1:8">
      <c r="A332">
        <v>521</v>
      </c>
      <c r="B332" s="81" t="s">
        <v>943</v>
      </c>
      <c r="C332" s="81" t="s">
        <v>652</v>
      </c>
      <c r="D332">
        <v>4.9000000000000004</v>
      </c>
      <c r="E332">
        <v>5956</v>
      </c>
      <c r="F332">
        <v>11</v>
      </c>
      <c r="G332">
        <v>2019</v>
      </c>
      <c r="H332" s="81" t="s">
        <v>382</v>
      </c>
    </row>
    <row r="333" spans="1:8">
      <c r="A333">
        <v>522</v>
      </c>
      <c r="B333" s="81" t="s">
        <v>944</v>
      </c>
      <c r="C333" s="81" t="s">
        <v>945</v>
      </c>
      <c r="D333">
        <v>4.8</v>
      </c>
      <c r="E333">
        <v>6108</v>
      </c>
      <c r="F333">
        <v>4</v>
      </c>
      <c r="G333">
        <v>2019</v>
      </c>
      <c r="H333" s="81" t="s">
        <v>382</v>
      </c>
    </row>
    <row r="334" spans="1:8">
      <c r="A334">
        <v>523</v>
      </c>
      <c r="B334" s="81" t="s">
        <v>946</v>
      </c>
      <c r="C334" s="81" t="s">
        <v>624</v>
      </c>
      <c r="D334">
        <v>4.7</v>
      </c>
      <c r="E334">
        <v>4585</v>
      </c>
      <c r="F334">
        <v>9</v>
      </c>
      <c r="G334">
        <v>2016</v>
      </c>
      <c r="H334" s="81" t="s">
        <v>382</v>
      </c>
    </row>
    <row r="335" spans="1:8">
      <c r="A335">
        <v>524</v>
      </c>
      <c r="B335" s="81" t="s">
        <v>947</v>
      </c>
      <c r="C335" s="81" t="s">
        <v>948</v>
      </c>
      <c r="D335">
        <v>4.8</v>
      </c>
      <c r="E335">
        <v>3829</v>
      </c>
      <c r="F335">
        <v>42</v>
      </c>
      <c r="G335">
        <v>2009</v>
      </c>
      <c r="H335" s="81" t="s">
        <v>385</v>
      </c>
    </row>
    <row r="336" spans="1:8">
      <c r="A336">
        <v>525</v>
      </c>
      <c r="B336" s="81" t="s">
        <v>949</v>
      </c>
      <c r="C336" s="81" t="s">
        <v>950</v>
      </c>
      <c r="D336">
        <v>4.5</v>
      </c>
      <c r="E336">
        <v>8958</v>
      </c>
      <c r="F336">
        <v>12</v>
      </c>
      <c r="G336">
        <v>2011</v>
      </c>
      <c r="H336" s="81" t="s">
        <v>385</v>
      </c>
    </row>
    <row r="337" spans="1:8">
      <c r="A337">
        <v>526</v>
      </c>
      <c r="B337" s="81" t="s">
        <v>951</v>
      </c>
      <c r="C337" s="81" t="s">
        <v>952</v>
      </c>
      <c r="D337">
        <v>4.5999999999999996</v>
      </c>
      <c r="E337">
        <v>5492</v>
      </c>
      <c r="F337">
        <v>18</v>
      </c>
      <c r="G337">
        <v>2017</v>
      </c>
      <c r="H337" s="81" t="s">
        <v>382</v>
      </c>
    </row>
    <row r="338" spans="1:8">
      <c r="A338">
        <v>527</v>
      </c>
      <c r="B338" s="81" t="s">
        <v>953</v>
      </c>
      <c r="C338" s="81" t="s">
        <v>954</v>
      </c>
      <c r="D338">
        <v>4.7</v>
      </c>
      <c r="E338">
        <v>9292</v>
      </c>
      <c r="F338">
        <v>17</v>
      </c>
      <c r="G338">
        <v>2014</v>
      </c>
      <c r="H338" s="81" t="s">
        <v>382</v>
      </c>
    </row>
    <row r="339" spans="1:8">
      <c r="A339">
        <v>528</v>
      </c>
      <c r="B339" s="81" t="s">
        <v>955</v>
      </c>
      <c r="C339" s="81" t="s">
        <v>692</v>
      </c>
      <c r="D339">
        <v>4.7</v>
      </c>
      <c r="E339">
        <v>1873</v>
      </c>
      <c r="F339">
        <v>14</v>
      </c>
      <c r="G339">
        <v>2015</v>
      </c>
      <c r="H339" s="81" t="s">
        <v>385</v>
      </c>
    </row>
    <row r="340" spans="1:8">
      <c r="A340">
        <v>529</v>
      </c>
      <c r="B340" s="81" t="s">
        <v>956</v>
      </c>
      <c r="C340" s="81" t="s">
        <v>957</v>
      </c>
      <c r="D340">
        <v>4.8</v>
      </c>
      <c r="E340">
        <v>8170</v>
      </c>
      <c r="F340">
        <v>13</v>
      </c>
      <c r="G340">
        <v>2019</v>
      </c>
      <c r="H340" s="81" t="s">
        <v>385</v>
      </c>
    </row>
    <row r="341" spans="1:8">
      <c r="A341">
        <v>530</v>
      </c>
      <c r="B341" s="81" t="s">
        <v>958</v>
      </c>
      <c r="C341" s="81" t="s">
        <v>959</v>
      </c>
      <c r="D341">
        <v>4.4000000000000004</v>
      </c>
      <c r="E341">
        <v>3341</v>
      </c>
      <c r="F341">
        <v>9</v>
      </c>
      <c r="G341">
        <v>2011</v>
      </c>
      <c r="H341" s="81" t="s">
        <v>382</v>
      </c>
    </row>
    <row r="342" spans="1:8">
      <c r="A342">
        <v>531</v>
      </c>
      <c r="B342" s="81" t="s">
        <v>960</v>
      </c>
      <c r="C342" s="81" t="s">
        <v>961</v>
      </c>
      <c r="D342">
        <v>4.4000000000000004</v>
      </c>
      <c r="E342">
        <v>7497</v>
      </c>
      <c r="F342">
        <v>6</v>
      </c>
      <c r="G342">
        <v>2012</v>
      </c>
      <c r="H342" s="81" t="s">
        <v>382</v>
      </c>
    </row>
    <row r="343" spans="1:8">
      <c r="A343">
        <v>533</v>
      </c>
      <c r="B343" s="81" t="s">
        <v>962</v>
      </c>
      <c r="C343" s="81" t="s">
        <v>963</v>
      </c>
      <c r="D343">
        <v>4.8</v>
      </c>
      <c r="E343">
        <v>13779</v>
      </c>
      <c r="F343">
        <v>14</v>
      </c>
      <c r="G343">
        <v>2016</v>
      </c>
      <c r="H343" s="81" t="s">
        <v>382</v>
      </c>
    </row>
    <row r="344" spans="1:8">
      <c r="A344">
        <v>534</v>
      </c>
      <c r="B344" s="81" t="s">
        <v>964</v>
      </c>
      <c r="C344" s="81" t="s">
        <v>965</v>
      </c>
      <c r="D344">
        <v>4.8</v>
      </c>
      <c r="E344">
        <v>87841</v>
      </c>
      <c r="F344">
        <v>15</v>
      </c>
      <c r="G344">
        <v>2019</v>
      </c>
      <c r="H344" s="81" t="s">
        <v>385</v>
      </c>
    </row>
    <row r="345" spans="1:8">
      <c r="A345">
        <v>535</v>
      </c>
      <c r="B345" s="81" t="s">
        <v>966</v>
      </c>
      <c r="C345" s="81" t="s">
        <v>967</v>
      </c>
      <c r="D345">
        <v>4.8</v>
      </c>
      <c r="E345">
        <v>9967</v>
      </c>
      <c r="F345">
        <v>13</v>
      </c>
      <c r="G345">
        <v>2009</v>
      </c>
      <c r="H345" s="81" t="s">
        <v>385</v>
      </c>
    </row>
    <row r="346" spans="1:8">
      <c r="A346">
        <v>536</v>
      </c>
      <c r="B346" s="81" t="s">
        <v>968</v>
      </c>
      <c r="C346" s="81" t="s">
        <v>969</v>
      </c>
      <c r="D346">
        <v>4.5999999999999996</v>
      </c>
      <c r="E346">
        <v>6669</v>
      </c>
      <c r="F346">
        <v>12</v>
      </c>
      <c r="G346">
        <v>2018</v>
      </c>
      <c r="H346" s="81" t="s">
        <v>382</v>
      </c>
    </row>
    <row r="347" spans="1:8">
      <c r="A347">
        <v>537</v>
      </c>
      <c r="B347" s="81" t="s">
        <v>970</v>
      </c>
      <c r="C347" s="81" t="s">
        <v>971</v>
      </c>
      <c r="D347">
        <v>4.4000000000000004</v>
      </c>
      <c r="E347">
        <v>17044</v>
      </c>
      <c r="F347">
        <v>18</v>
      </c>
      <c r="G347">
        <v>2012</v>
      </c>
      <c r="H347" s="81" t="s">
        <v>382</v>
      </c>
    </row>
    <row r="348" spans="1:8">
      <c r="A348">
        <v>538</v>
      </c>
      <c r="B348" s="81" t="s">
        <v>972</v>
      </c>
      <c r="C348" s="81" t="s">
        <v>973</v>
      </c>
      <c r="D348">
        <v>4.5</v>
      </c>
      <c r="E348">
        <v>10760</v>
      </c>
      <c r="F348">
        <v>15</v>
      </c>
      <c r="G348">
        <v>2012</v>
      </c>
      <c r="H348" s="81" t="s">
        <v>385</v>
      </c>
    </row>
    <row r="349" spans="1:8">
      <c r="A349">
        <v>539</v>
      </c>
      <c r="B349" s="81" t="s">
        <v>974</v>
      </c>
      <c r="C349" s="81" t="s">
        <v>975</v>
      </c>
      <c r="D349">
        <v>4.2</v>
      </c>
      <c r="E349">
        <v>1302</v>
      </c>
      <c r="F349">
        <v>11</v>
      </c>
      <c r="G349">
        <v>2010</v>
      </c>
      <c r="H349" s="81" t="s">
        <v>382</v>
      </c>
    </row>
    <row r="350" spans="1:8">
      <c r="A350">
        <v>540</v>
      </c>
      <c r="B350" s="81" t="s">
        <v>976</v>
      </c>
      <c r="C350" s="81" t="s">
        <v>977</v>
      </c>
      <c r="D350">
        <v>4.8</v>
      </c>
      <c r="E350">
        <v>21625</v>
      </c>
      <c r="F350">
        <v>9</v>
      </c>
      <c r="G350">
        <v>2013</v>
      </c>
      <c r="H350" s="81" t="s">
        <v>385</v>
      </c>
    </row>
    <row r="351" spans="1:8">
      <c r="A351">
        <v>545</v>
      </c>
      <c r="B351" s="81" t="s">
        <v>978</v>
      </c>
      <c r="C351" s="81" t="s">
        <v>453</v>
      </c>
      <c r="D351">
        <v>4.9000000000000004</v>
      </c>
      <c r="E351">
        <v>9413</v>
      </c>
      <c r="F351">
        <v>8</v>
      </c>
      <c r="G351">
        <v>2019</v>
      </c>
      <c r="H351" s="81" t="s">
        <v>385</v>
      </c>
    </row>
    <row r="352" spans="1:8">
      <c r="A352">
        <v>546</v>
      </c>
      <c r="B352" s="81" t="s">
        <v>979</v>
      </c>
      <c r="C352" s="81" t="s">
        <v>980</v>
      </c>
      <c r="D352">
        <v>4.7</v>
      </c>
      <c r="E352">
        <v>14331</v>
      </c>
      <c r="F352">
        <v>8</v>
      </c>
      <c r="G352">
        <v>2016</v>
      </c>
      <c r="H352" s="81" t="s">
        <v>382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D65D-45F9-4069-83FD-7568949B567D}">
  <sheetPr codeName="Sheet22"/>
  <dimension ref="A1:M15"/>
  <sheetViews>
    <sheetView workbookViewId="0">
      <selection activeCell="J15" sqref="J15"/>
    </sheetView>
  </sheetViews>
  <sheetFormatPr defaultRowHeight="14.5"/>
  <cols>
    <col min="1" max="1" width="29.26953125" customWidth="1"/>
  </cols>
  <sheetData>
    <row r="1" spans="1:13">
      <c r="A1" t="s">
        <v>982</v>
      </c>
      <c r="J1" t="s">
        <v>981</v>
      </c>
    </row>
    <row r="2" spans="1:13">
      <c r="A2">
        <v>1</v>
      </c>
      <c r="C2" t="s">
        <v>983</v>
      </c>
      <c r="J2" t="s">
        <v>990</v>
      </c>
      <c r="K2" t="s">
        <v>990</v>
      </c>
      <c r="M2" t="s">
        <v>990</v>
      </c>
    </row>
    <row r="3" spans="1:13">
      <c r="A3">
        <v>2</v>
      </c>
      <c r="C3" t="s">
        <v>984</v>
      </c>
      <c r="J3" t="s">
        <v>991</v>
      </c>
      <c r="K3" t="s">
        <v>991</v>
      </c>
      <c r="M3" t="s">
        <v>990</v>
      </c>
    </row>
    <row r="4" spans="1:13">
      <c r="A4">
        <v>3</v>
      </c>
      <c r="C4" t="s">
        <v>985</v>
      </c>
      <c r="J4" t="s">
        <v>992</v>
      </c>
      <c r="K4" t="s">
        <v>992</v>
      </c>
      <c r="M4" t="s">
        <v>990</v>
      </c>
    </row>
    <row r="5" spans="1:13">
      <c r="A5">
        <v>4</v>
      </c>
      <c r="C5" t="s">
        <v>986</v>
      </c>
      <c r="J5" t="s">
        <v>993</v>
      </c>
      <c r="K5" t="s">
        <v>993</v>
      </c>
      <c r="M5" t="s">
        <v>990</v>
      </c>
    </row>
    <row r="6" spans="1:13">
      <c r="A6">
        <v>5</v>
      </c>
      <c r="C6" t="s">
        <v>987</v>
      </c>
      <c r="J6" t="s">
        <v>994</v>
      </c>
      <c r="K6" t="s">
        <v>994</v>
      </c>
      <c r="M6" t="s">
        <v>990</v>
      </c>
    </row>
    <row r="7" spans="1:13">
      <c r="A7">
        <v>6</v>
      </c>
      <c r="C7" t="s">
        <v>988</v>
      </c>
      <c r="J7" t="s">
        <v>995</v>
      </c>
      <c r="K7" t="s">
        <v>995</v>
      </c>
      <c r="M7" t="s">
        <v>990</v>
      </c>
    </row>
    <row r="8" spans="1:13">
      <c r="A8">
        <v>7</v>
      </c>
      <c r="C8" t="s">
        <v>989</v>
      </c>
      <c r="J8" t="s">
        <v>996</v>
      </c>
      <c r="K8" t="s">
        <v>996</v>
      </c>
      <c r="M8" t="s">
        <v>990</v>
      </c>
    </row>
    <row r="9" spans="1:13">
      <c r="A9">
        <v>8</v>
      </c>
      <c r="C9" t="s">
        <v>983</v>
      </c>
      <c r="J9" t="s">
        <v>997</v>
      </c>
      <c r="K9" t="s">
        <v>997</v>
      </c>
      <c r="M9" t="s">
        <v>990</v>
      </c>
    </row>
    <row r="10" spans="1:13">
      <c r="A10">
        <v>9</v>
      </c>
      <c r="C10" t="s">
        <v>984</v>
      </c>
      <c r="J10" t="s">
        <v>998</v>
      </c>
      <c r="K10" t="s">
        <v>998</v>
      </c>
      <c r="M10" t="s">
        <v>990</v>
      </c>
    </row>
    <row r="11" spans="1:13">
      <c r="A11">
        <v>10</v>
      </c>
      <c r="C11" t="s">
        <v>985</v>
      </c>
    </row>
    <row r="12" spans="1:13">
      <c r="E12" t="s">
        <v>999</v>
      </c>
      <c r="F12" t="s">
        <v>1000</v>
      </c>
      <c r="G12" t="s">
        <v>1001</v>
      </c>
      <c r="H12" t="s">
        <v>999</v>
      </c>
      <c r="I12" t="s">
        <v>999</v>
      </c>
      <c r="J12" t="s">
        <v>999</v>
      </c>
    </row>
    <row r="13" spans="1:13">
      <c r="E13" t="s">
        <v>1002</v>
      </c>
      <c r="F13" t="s">
        <v>1003</v>
      </c>
      <c r="G13" t="s">
        <v>1004</v>
      </c>
      <c r="H13" t="s">
        <v>1002</v>
      </c>
      <c r="I13" t="s">
        <v>1002</v>
      </c>
    </row>
    <row r="14" spans="1:13">
      <c r="E14" t="s">
        <v>999</v>
      </c>
      <c r="F14" t="s">
        <v>1005</v>
      </c>
      <c r="G14" t="s">
        <v>1006</v>
      </c>
      <c r="H14" t="s">
        <v>999</v>
      </c>
      <c r="I14" t="s">
        <v>999</v>
      </c>
    </row>
    <row r="15" spans="1:13">
      <c r="E15" t="s">
        <v>1002</v>
      </c>
      <c r="F15" t="s">
        <v>1007</v>
      </c>
      <c r="G15" t="s">
        <v>1008</v>
      </c>
      <c r="H15" t="s">
        <v>1002</v>
      </c>
      <c r="I15" t="s">
        <v>1002</v>
      </c>
    </row>
  </sheetData>
  <phoneticPr fontId="2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749C-3530-4FE0-BC03-FEC824494E16}">
  <dimension ref="A1:J21"/>
  <sheetViews>
    <sheetView topLeftCell="A3" zoomScale="91" zoomScaleNormal="91" workbookViewId="0">
      <selection activeCell="B1" sqref="B1:F21"/>
    </sheetView>
  </sheetViews>
  <sheetFormatPr defaultRowHeight="14.5"/>
  <cols>
    <col min="2" max="2" width="13.7265625" customWidth="1"/>
    <col min="9" max="9" width="5" customWidth="1"/>
  </cols>
  <sheetData>
    <row r="1" spans="1:10" ht="15.5">
      <c r="A1" s="84" t="s">
        <v>1015</v>
      </c>
      <c r="B1" s="84" t="s">
        <v>96</v>
      </c>
      <c r="C1" s="84" t="s">
        <v>1009</v>
      </c>
      <c r="D1" s="84" t="s">
        <v>1010</v>
      </c>
      <c r="E1" s="84" t="s">
        <v>1011</v>
      </c>
      <c r="F1" s="84" t="s">
        <v>1012</v>
      </c>
      <c r="G1" s="84" t="s">
        <v>1013</v>
      </c>
      <c r="H1" s="84" t="s">
        <v>1014</v>
      </c>
    </row>
    <row r="2" spans="1:10">
      <c r="A2">
        <v>1</v>
      </c>
      <c r="B2" t="s">
        <v>103</v>
      </c>
      <c r="C2">
        <v>345</v>
      </c>
      <c r="D2">
        <v>135</v>
      </c>
      <c r="E2">
        <v>123</v>
      </c>
      <c r="F2">
        <v>234</v>
      </c>
      <c r="G2">
        <v>141</v>
      </c>
      <c r="H2">
        <v>455</v>
      </c>
      <c r="J2">
        <v>1</v>
      </c>
    </row>
    <row r="3" spans="1:10">
      <c r="A3">
        <v>2</v>
      </c>
      <c r="B3" t="s">
        <v>108</v>
      </c>
      <c r="C3">
        <v>345</v>
      </c>
      <c r="D3">
        <v>322</v>
      </c>
      <c r="E3">
        <v>320</v>
      </c>
      <c r="F3">
        <v>178</v>
      </c>
      <c r="G3">
        <v>535</v>
      </c>
      <c r="H3">
        <v>234</v>
      </c>
      <c r="J3">
        <v>2</v>
      </c>
    </row>
    <row r="4" spans="1:10">
      <c r="A4">
        <v>3</v>
      </c>
      <c r="B4" t="s">
        <v>110</v>
      </c>
      <c r="C4">
        <v>543</v>
      </c>
      <c r="D4">
        <v>235</v>
      </c>
      <c r="E4">
        <v>127</v>
      </c>
      <c r="F4">
        <v>176</v>
      </c>
      <c r="G4">
        <v>145</v>
      </c>
      <c r="H4">
        <v>238</v>
      </c>
      <c r="J4">
        <v>3</v>
      </c>
    </row>
    <row r="5" spans="1:10">
      <c r="A5">
        <v>4</v>
      </c>
      <c r="B5" t="s">
        <v>114</v>
      </c>
      <c r="C5">
        <v>546</v>
      </c>
      <c r="D5">
        <v>235</v>
      </c>
      <c r="E5">
        <v>129</v>
      </c>
      <c r="F5">
        <v>423</v>
      </c>
      <c r="G5">
        <v>147</v>
      </c>
      <c r="H5">
        <v>534</v>
      </c>
      <c r="J5">
        <v>4</v>
      </c>
    </row>
    <row r="6" spans="1:10">
      <c r="A6">
        <v>5</v>
      </c>
      <c r="B6" t="s">
        <v>116</v>
      </c>
      <c r="C6">
        <v>135</v>
      </c>
      <c r="D6">
        <v>324</v>
      </c>
      <c r="E6">
        <v>321</v>
      </c>
      <c r="F6">
        <v>434</v>
      </c>
      <c r="G6">
        <v>149</v>
      </c>
      <c r="H6">
        <v>246</v>
      </c>
      <c r="J6">
        <v>5</v>
      </c>
    </row>
    <row r="7" spans="1:10">
      <c r="A7">
        <v>6</v>
      </c>
      <c r="B7" t="s">
        <v>118</v>
      </c>
      <c r="C7">
        <v>424</v>
      </c>
      <c r="D7">
        <v>424</v>
      </c>
      <c r="E7">
        <v>143</v>
      </c>
      <c r="F7">
        <v>170</v>
      </c>
      <c r="G7">
        <v>370</v>
      </c>
      <c r="H7">
        <v>250</v>
      </c>
      <c r="J7">
        <v>6</v>
      </c>
    </row>
    <row r="8" spans="1:10">
      <c r="A8">
        <v>7</v>
      </c>
      <c r="B8" t="s">
        <v>121</v>
      </c>
      <c r="C8">
        <v>234</v>
      </c>
      <c r="D8">
        <v>124</v>
      </c>
      <c r="E8">
        <v>145</v>
      </c>
      <c r="F8">
        <v>532</v>
      </c>
      <c r="G8">
        <v>533</v>
      </c>
      <c r="H8">
        <v>543</v>
      </c>
      <c r="J8">
        <v>7</v>
      </c>
    </row>
    <row r="9" spans="1:10">
      <c r="A9">
        <v>8</v>
      </c>
      <c r="B9" t="s">
        <v>123</v>
      </c>
      <c r="C9">
        <v>543</v>
      </c>
      <c r="D9">
        <v>432</v>
      </c>
      <c r="E9">
        <v>147</v>
      </c>
      <c r="F9">
        <v>166</v>
      </c>
      <c r="G9">
        <v>366</v>
      </c>
      <c r="H9">
        <v>258</v>
      </c>
      <c r="J9">
        <v>8</v>
      </c>
    </row>
    <row r="10" spans="1:10">
      <c r="A10">
        <v>9</v>
      </c>
      <c r="B10" t="s">
        <v>124</v>
      </c>
      <c r="C10">
        <v>345</v>
      </c>
      <c r="D10">
        <v>312</v>
      </c>
      <c r="E10">
        <v>432</v>
      </c>
      <c r="F10">
        <v>164</v>
      </c>
      <c r="G10">
        <v>532</v>
      </c>
      <c r="H10">
        <v>436</v>
      </c>
      <c r="J10">
        <v>9</v>
      </c>
    </row>
    <row r="11" spans="1:10">
      <c r="A11">
        <v>10</v>
      </c>
      <c r="B11" t="s">
        <v>125</v>
      </c>
      <c r="C11">
        <v>323</v>
      </c>
      <c r="D11">
        <v>413</v>
      </c>
      <c r="E11">
        <v>141</v>
      </c>
      <c r="F11">
        <v>162</v>
      </c>
      <c r="G11">
        <v>231</v>
      </c>
      <c r="H11">
        <v>543</v>
      </c>
      <c r="J11">
        <v>10</v>
      </c>
    </row>
    <row r="12" spans="1:10">
      <c r="A12">
        <v>11</v>
      </c>
      <c r="B12" t="s">
        <v>126</v>
      </c>
      <c r="C12">
        <v>432</v>
      </c>
      <c r="D12">
        <v>312</v>
      </c>
      <c r="E12">
        <v>143</v>
      </c>
      <c r="F12">
        <v>325</v>
      </c>
      <c r="G12">
        <v>360</v>
      </c>
      <c r="H12">
        <v>270</v>
      </c>
      <c r="J12">
        <v>11</v>
      </c>
    </row>
    <row r="13" spans="1:10">
      <c r="A13">
        <v>12</v>
      </c>
      <c r="B13" t="s">
        <v>127</v>
      </c>
      <c r="C13">
        <v>213</v>
      </c>
      <c r="D13">
        <v>466</v>
      </c>
      <c r="E13">
        <v>145</v>
      </c>
      <c r="F13">
        <v>158</v>
      </c>
      <c r="G13">
        <v>222</v>
      </c>
      <c r="H13">
        <v>325</v>
      </c>
      <c r="J13">
        <v>12</v>
      </c>
    </row>
    <row r="14" spans="1:10">
      <c r="A14">
        <v>13</v>
      </c>
      <c r="B14" t="s">
        <v>128</v>
      </c>
      <c r="C14">
        <v>645</v>
      </c>
      <c r="D14">
        <v>645</v>
      </c>
      <c r="E14">
        <v>423</v>
      </c>
      <c r="F14">
        <v>156</v>
      </c>
      <c r="G14">
        <v>532</v>
      </c>
      <c r="H14">
        <v>278</v>
      </c>
    </row>
    <row r="15" spans="1:10">
      <c r="A15">
        <v>14</v>
      </c>
      <c r="B15" t="s">
        <v>130</v>
      </c>
      <c r="C15">
        <v>647</v>
      </c>
      <c r="D15">
        <v>656</v>
      </c>
      <c r="E15">
        <v>149</v>
      </c>
      <c r="F15">
        <v>154</v>
      </c>
      <c r="G15">
        <v>354</v>
      </c>
      <c r="H15">
        <v>543</v>
      </c>
    </row>
    <row r="16" spans="1:10">
      <c r="A16">
        <v>15</v>
      </c>
      <c r="B16" t="s">
        <v>131</v>
      </c>
      <c r="C16">
        <v>345</v>
      </c>
      <c r="D16">
        <v>465</v>
      </c>
      <c r="E16">
        <v>151</v>
      </c>
      <c r="F16">
        <v>152</v>
      </c>
      <c r="G16">
        <v>453</v>
      </c>
      <c r="H16">
        <v>286</v>
      </c>
    </row>
    <row r="17" spans="1:8">
      <c r="A17">
        <v>16</v>
      </c>
      <c r="B17" t="s">
        <v>132</v>
      </c>
      <c r="C17">
        <v>424</v>
      </c>
      <c r="D17">
        <v>546</v>
      </c>
      <c r="E17">
        <v>231</v>
      </c>
      <c r="F17">
        <v>523</v>
      </c>
      <c r="G17">
        <v>350</v>
      </c>
      <c r="H17">
        <v>290</v>
      </c>
    </row>
    <row r="18" spans="1:8">
      <c r="A18">
        <v>17</v>
      </c>
      <c r="B18" t="s">
        <v>134</v>
      </c>
      <c r="C18">
        <v>423</v>
      </c>
      <c r="D18">
        <v>456</v>
      </c>
      <c r="E18">
        <v>155</v>
      </c>
      <c r="F18">
        <v>148</v>
      </c>
      <c r="G18">
        <v>456</v>
      </c>
      <c r="H18">
        <v>141</v>
      </c>
    </row>
    <row r="19" spans="1:8">
      <c r="A19">
        <v>18</v>
      </c>
      <c r="B19" t="s">
        <v>135</v>
      </c>
      <c r="C19">
        <v>423</v>
      </c>
      <c r="D19">
        <v>45</v>
      </c>
      <c r="E19">
        <v>532</v>
      </c>
      <c r="F19">
        <v>146</v>
      </c>
      <c r="G19">
        <v>231</v>
      </c>
      <c r="H19">
        <v>143</v>
      </c>
    </row>
    <row r="20" spans="1:8">
      <c r="A20">
        <v>19</v>
      </c>
      <c r="B20" t="s">
        <v>136</v>
      </c>
      <c r="C20">
        <v>423</v>
      </c>
      <c r="D20">
        <v>646</v>
      </c>
      <c r="E20">
        <v>159</v>
      </c>
      <c r="F20">
        <v>525</v>
      </c>
      <c r="G20">
        <v>344</v>
      </c>
      <c r="H20">
        <v>145</v>
      </c>
    </row>
    <row r="21" spans="1:8">
      <c r="A21">
        <v>20</v>
      </c>
      <c r="B21" t="s">
        <v>137</v>
      </c>
      <c r="C21">
        <v>243</v>
      </c>
      <c r="D21">
        <v>556</v>
      </c>
      <c r="E21">
        <v>161</v>
      </c>
      <c r="F21">
        <v>142</v>
      </c>
      <c r="G21">
        <v>45</v>
      </c>
      <c r="H21">
        <v>147</v>
      </c>
    </row>
  </sheetData>
  <conditionalFormatting sqref="C2:H21 J2:J13">
    <cfRule type="top10" dxfId="23" priority="4" percent="1" bottom="1" rank="10"/>
    <cfRule type="cellIs" dxfId="22" priority="5" operator="greaterThan">
      <formula>350.5</formula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:B2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2964-4E6F-438C-B947-70EF461988A0}">
  <dimension ref="A1:E22"/>
  <sheetViews>
    <sheetView workbookViewId="0">
      <selection activeCell="F12" sqref="F12"/>
    </sheetView>
  </sheetViews>
  <sheetFormatPr defaultRowHeight="14.5"/>
  <cols>
    <col min="1" max="1" width="13.08984375" customWidth="1"/>
  </cols>
  <sheetData>
    <row r="1" spans="1:5" ht="17.5" thickBot="1">
      <c r="A1" s="85" t="s">
        <v>96</v>
      </c>
      <c r="B1" s="85" t="s">
        <v>1009</v>
      </c>
      <c r="C1" s="85" t="s">
        <v>1010</v>
      </c>
      <c r="D1" s="85" t="s">
        <v>1011</v>
      </c>
      <c r="E1" s="85" t="s">
        <v>1012</v>
      </c>
    </row>
    <row r="2" spans="1:5" ht="18" thickTop="1" thickBot="1">
      <c r="A2" s="86" t="s">
        <v>103</v>
      </c>
      <c r="B2" s="86">
        <v>345</v>
      </c>
      <c r="C2" s="86">
        <v>135</v>
      </c>
      <c r="D2" s="86">
        <v>123</v>
      </c>
      <c r="E2" s="86">
        <v>234</v>
      </c>
    </row>
    <row r="3" spans="1:5" ht="18" thickTop="1" thickBot="1">
      <c r="A3" s="86" t="s">
        <v>108</v>
      </c>
      <c r="B3" s="86">
        <v>345</v>
      </c>
      <c r="C3" s="86">
        <v>322</v>
      </c>
      <c r="D3" s="86">
        <v>320</v>
      </c>
      <c r="E3" s="86">
        <v>178</v>
      </c>
    </row>
    <row r="4" spans="1:5" ht="18" thickTop="1" thickBot="1">
      <c r="A4" s="86" t="s">
        <v>110</v>
      </c>
      <c r="B4" s="86">
        <v>543</v>
      </c>
      <c r="C4" s="86">
        <v>235</v>
      </c>
      <c r="D4" s="86">
        <v>127</v>
      </c>
      <c r="E4" s="86">
        <v>176</v>
      </c>
    </row>
    <row r="5" spans="1:5" ht="18" thickTop="1" thickBot="1">
      <c r="A5" s="86" t="s">
        <v>114</v>
      </c>
      <c r="B5" s="86">
        <v>546</v>
      </c>
      <c r="C5" s="86">
        <v>235</v>
      </c>
      <c r="D5" s="86">
        <v>129</v>
      </c>
      <c r="E5" s="86">
        <v>423</v>
      </c>
    </row>
    <row r="6" spans="1:5" ht="18" thickTop="1" thickBot="1">
      <c r="A6" s="86" t="s">
        <v>116</v>
      </c>
      <c r="B6" s="86">
        <v>135</v>
      </c>
      <c r="C6" s="86">
        <v>324</v>
      </c>
      <c r="D6" s="86">
        <v>321</v>
      </c>
      <c r="E6" s="86">
        <v>434</v>
      </c>
    </row>
    <row r="7" spans="1:5" ht="18" thickTop="1" thickBot="1">
      <c r="A7" s="86" t="s">
        <v>118</v>
      </c>
      <c r="B7" s="86">
        <v>424</v>
      </c>
      <c r="C7" s="86">
        <v>424</v>
      </c>
      <c r="D7" s="86">
        <v>143</v>
      </c>
      <c r="E7" s="86">
        <v>170</v>
      </c>
    </row>
    <row r="8" spans="1:5" ht="18" thickTop="1" thickBot="1">
      <c r="A8" s="86" t="s">
        <v>121</v>
      </c>
      <c r="B8" s="86">
        <v>234</v>
      </c>
      <c r="C8" s="86">
        <v>124</v>
      </c>
      <c r="D8" s="86">
        <v>145</v>
      </c>
      <c r="E8" s="86">
        <v>532</v>
      </c>
    </row>
    <row r="9" spans="1:5" ht="18" thickTop="1" thickBot="1">
      <c r="A9" s="86" t="s">
        <v>123</v>
      </c>
      <c r="B9" s="86">
        <v>543</v>
      </c>
      <c r="C9" s="86">
        <v>432</v>
      </c>
      <c r="D9" s="86">
        <v>147</v>
      </c>
      <c r="E9" s="86">
        <v>166</v>
      </c>
    </row>
    <row r="10" spans="1:5" ht="18" thickTop="1" thickBot="1">
      <c r="A10" s="86" t="s">
        <v>124</v>
      </c>
      <c r="B10" s="86">
        <v>345</v>
      </c>
      <c r="C10" s="86">
        <v>312</v>
      </c>
      <c r="D10" s="86">
        <v>432</v>
      </c>
      <c r="E10" s="86">
        <v>164</v>
      </c>
    </row>
    <row r="11" spans="1:5" ht="18" thickTop="1" thickBot="1">
      <c r="A11" s="86" t="s">
        <v>125</v>
      </c>
      <c r="B11" s="86">
        <v>323</v>
      </c>
      <c r="C11" s="86">
        <v>413</v>
      </c>
      <c r="D11" s="86">
        <v>141</v>
      </c>
      <c r="E11" s="86">
        <v>162</v>
      </c>
    </row>
    <row r="12" spans="1:5" ht="18" thickTop="1" thickBot="1">
      <c r="A12" s="86" t="s">
        <v>126</v>
      </c>
      <c r="B12" s="86">
        <v>432</v>
      </c>
      <c r="C12" s="86">
        <v>312</v>
      </c>
      <c r="D12" s="86">
        <v>143</v>
      </c>
      <c r="E12" s="86">
        <v>325</v>
      </c>
    </row>
    <row r="13" spans="1:5" ht="18" thickTop="1" thickBot="1">
      <c r="A13" s="86" t="s">
        <v>127</v>
      </c>
      <c r="B13" s="86">
        <v>213</v>
      </c>
      <c r="C13" s="86">
        <v>466</v>
      </c>
      <c r="D13" s="86">
        <v>145</v>
      </c>
      <c r="E13" s="86">
        <v>158</v>
      </c>
    </row>
    <row r="14" spans="1:5" ht="18" thickTop="1" thickBot="1">
      <c r="A14" s="86" t="s">
        <v>128</v>
      </c>
      <c r="B14" s="86">
        <v>645</v>
      </c>
      <c r="C14" s="86">
        <v>645</v>
      </c>
      <c r="D14" s="86">
        <v>423</v>
      </c>
      <c r="E14" s="86">
        <v>156</v>
      </c>
    </row>
    <row r="15" spans="1:5" ht="18" thickTop="1" thickBot="1">
      <c r="A15" s="86" t="s">
        <v>130</v>
      </c>
      <c r="B15" s="86">
        <v>647</v>
      </c>
      <c r="C15" s="86">
        <v>656</v>
      </c>
      <c r="D15" s="86">
        <v>149</v>
      </c>
      <c r="E15" s="86">
        <v>154</v>
      </c>
    </row>
    <row r="16" spans="1:5" ht="18" thickTop="1" thickBot="1">
      <c r="A16" s="86" t="s">
        <v>131</v>
      </c>
      <c r="B16" s="86">
        <v>345</v>
      </c>
      <c r="C16" s="86">
        <v>465</v>
      </c>
      <c r="D16" s="86">
        <v>151</v>
      </c>
      <c r="E16" s="86">
        <v>152</v>
      </c>
    </row>
    <row r="17" spans="1:5" ht="18" thickTop="1" thickBot="1">
      <c r="A17" s="86" t="s">
        <v>132</v>
      </c>
      <c r="B17" s="86">
        <v>424</v>
      </c>
      <c r="C17" s="86">
        <v>546</v>
      </c>
      <c r="D17" s="86">
        <v>231</v>
      </c>
      <c r="E17" s="86">
        <v>523</v>
      </c>
    </row>
    <row r="18" spans="1:5" ht="18" thickTop="1" thickBot="1">
      <c r="A18" s="86" t="s">
        <v>134</v>
      </c>
      <c r="B18" s="86">
        <v>423</v>
      </c>
      <c r="C18" s="86">
        <v>456</v>
      </c>
      <c r="D18" s="86">
        <v>155</v>
      </c>
      <c r="E18" s="86">
        <v>148</v>
      </c>
    </row>
    <row r="19" spans="1:5" ht="18" thickTop="1" thickBot="1">
      <c r="A19" s="86" t="s">
        <v>135</v>
      </c>
      <c r="B19" s="86">
        <v>423</v>
      </c>
      <c r="C19" s="86">
        <v>45</v>
      </c>
      <c r="D19" s="86">
        <v>532</v>
      </c>
      <c r="E19" s="86">
        <v>146</v>
      </c>
    </row>
    <row r="20" spans="1:5" ht="18" thickTop="1" thickBot="1">
      <c r="A20" s="86" t="s">
        <v>136</v>
      </c>
      <c r="B20" s="86">
        <v>423</v>
      </c>
      <c r="C20" s="86">
        <v>646</v>
      </c>
      <c r="D20" s="86">
        <v>159</v>
      </c>
      <c r="E20" s="86">
        <v>525</v>
      </c>
    </row>
    <row r="21" spans="1:5" ht="18" thickTop="1" thickBot="1">
      <c r="A21" s="86" t="s">
        <v>137</v>
      </c>
      <c r="B21" s="86">
        <v>243</v>
      </c>
      <c r="C21" s="86">
        <v>556</v>
      </c>
      <c r="D21" s="86">
        <v>161</v>
      </c>
      <c r="E21" s="86">
        <v>142</v>
      </c>
    </row>
    <row r="22" spans="1:5" ht="15" thickTop="1"/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B08B-82C3-4C6F-81D3-99AB0EB3EEBE}">
  <dimension ref="B2:H15"/>
  <sheetViews>
    <sheetView workbookViewId="0">
      <selection activeCell="H16" sqref="H16"/>
    </sheetView>
  </sheetViews>
  <sheetFormatPr defaultRowHeight="14.5"/>
  <sheetData>
    <row r="2" spans="2:8">
      <c r="B2" s="3" t="s">
        <v>1016</v>
      </c>
      <c r="C2" s="3" t="s">
        <v>1017</v>
      </c>
      <c r="D2" s="3" t="s">
        <v>1018</v>
      </c>
      <c r="E2" s="3" t="s">
        <v>1019</v>
      </c>
      <c r="F2" s="3" t="s">
        <v>1020</v>
      </c>
      <c r="G2" s="3" t="s">
        <v>1021</v>
      </c>
      <c r="H2" s="3" t="s">
        <v>1022</v>
      </c>
    </row>
    <row r="3" spans="2:8">
      <c r="B3">
        <v>1</v>
      </c>
      <c r="C3" t="s">
        <v>1023</v>
      </c>
      <c r="D3">
        <v>46</v>
      </c>
      <c r="E3">
        <v>32</v>
      </c>
      <c r="F3">
        <v>24</v>
      </c>
      <c r="G3">
        <v>35</v>
      </c>
      <c r="H3">
        <v>45</v>
      </c>
    </row>
    <row r="4" spans="2:8">
      <c r="B4">
        <v>2</v>
      </c>
      <c r="C4" t="s">
        <v>1024</v>
      </c>
      <c r="D4">
        <v>32</v>
      </c>
      <c r="E4">
        <v>44</v>
      </c>
      <c r="F4">
        <v>42</v>
      </c>
      <c r="G4">
        <v>53</v>
      </c>
      <c r="H4">
        <v>43</v>
      </c>
    </row>
    <row r="5" spans="2:8">
      <c r="B5">
        <v>3</v>
      </c>
      <c r="C5" t="s">
        <v>1025</v>
      </c>
      <c r="D5">
        <v>53</v>
      </c>
      <c r="E5">
        <v>24</v>
      </c>
      <c r="F5">
        <v>45</v>
      </c>
      <c r="G5">
        <v>86</v>
      </c>
      <c r="H5">
        <v>24</v>
      </c>
    </row>
    <row r="6" spans="2:8">
      <c r="B6">
        <v>4</v>
      </c>
      <c r="C6" t="s">
        <v>1026</v>
      </c>
      <c r="D6">
        <v>45</v>
      </c>
      <c r="E6">
        <v>45</v>
      </c>
      <c r="F6">
        <v>33</v>
      </c>
      <c r="G6">
        <v>97</v>
      </c>
      <c r="H6">
        <v>32</v>
      </c>
    </row>
    <row r="7" spans="2:8">
      <c r="B7">
        <v>5</v>
      </c>
      <c r="C7" t="s">
        <v>1027</v>
      </c>
      <c r="D7">
        <v>76</v>
      </c>
      <c r="E7">
        <v>24</v>
      </c>
      <c r="F7">
        <v>54</v>
      </c>
      <c r="G7">
        <v>46</v>
      </c>
      <c r="H7">
        <v>42</v>
      </c>
    </row>
    <row r="8" spans="2:8">
      <c r="B8">
        <v>6</v>
      </c>
      <c r="C8" t="s">
        <v>345</v>
      </c>
      <c r="D8">
        <v>53</v>
      </c>
      <c r="E8">
        <v>7</v>
      </c>
      <c r="F8">
        <v>24</v>
      </c>
      <c r="G8">
        <v>57</v>
      </c>
      <c r="H8">
        <v>6</v>
      </c>
    </row>
    <row r="9" spans="2:8">
      <c r="B9">
        <v>7</v>
      </c>
      <c r="C9" t="s">
        <v>1028</v>
      </c>
      <c r="D9">
        <v>75</v>
      </c>
      <c r="E9">
        <v>5</v>
      </c>
      <c r="F9">
        <v>23</v>
      </c>
      <c r="G9">
        <v>768</v>
      </c>
      <c r="H9">
        <v>47</v>
      </c>
    </row>
    <row r="10" spans="2:8">
      <c r="B10">
        <v>8</v>
      </c>
      <c r="C10" t="s">
        <v>1029</v>
      </c>
      <c r="D10">
        <v>53</v>
      </c>
      <c r="E10">
        <v>42</v>
      </c>
      <c r="F10">
        <v>42</v>
      </c>
      <c r="G10">
        <v>97</v>
      </c>
      <c r="H10">
        <v>87</v>
      </c>
    </row>
    <row r="11" spans="2:8">
      <c r="B11">
        <v>9</v>
      </c>
      <c r="C11" t="s">
        <v>1030</v>
      </c>
      <c r="D11">
        <v>35</v>
      </c>
      <c r="E11">
        <v>35</v>
      </c>
      <c r="F11">
        <v>53</v>
      </c>
      <c r="G11">
        <v>43</v>
      </c>
      <c r="H11">
        <v>98</v>
      </c>
    </row>
    <row r="14" spans="2:8">
      <c r="H14" t="s">
        <v>1031</v>
      </c>
    </row>
    <row r="15" spans="2:8">
      <c r="H15" t="s">
        <v>1032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D9C67155-B354-4597-A2A4-B59379BC075D}">
          <x14:colorSeries theme="9" tint="-0.249977111117893"/>
          <x14:colorNegative rgb="FF000000"/>
          <x14:colorAxis rgb="FF000000"/>
          <x14:colorMarkers theme="8" tint="-0.499984740745262"/>
          <x14:colorFirst rgb="FF000000"/>
          <x14:colorLast rgb="FF000000"/>
          <x14:colorHigh rgb="FF000000"/>
          <x14:colorLow rgb="FF000000"/>
          <x14:sparklines>
            <x14:sparkline>
              <xm:f>Sparklines!D3:H3</xm:f>
              <xm:sqref>J3</xm:sqref>
            </x14:sparkline>
            <x14:sparkline>
              <xm:f>Sparklines!D4:H4</xm:f>
              <xm:sqref>J4</xm:sqref>
            </x14:sparkline>
            <x14:sparkline>
              <xm:f>Sparklines!D5:H5</xm:f>
              <xm:sqref>J5</xm:sqref>
            </x14:sparkline>
            <x14:sparkline>
              <xm:f>Sparklines!D6:H6</xm:f>
              <xm:sqref>J6</xm:sqref>
            </x14:sparkline>
            <x14:sparkline>
              <xm:f>Sparklines!D7:H7</xm:f>
              <xm:sqref>J7</xm:sqref>
            </x14:sparkline>
            <x14:sparkline>
              <xm:f>Sparklines!D8:H8</xm:f>
              <xm:sqref>J8</xm:sqref>
            </x14:sparkline>
            <x14:sparkline>
              <xm:f>Sparklines!D9:H9</xm:f>
              <xm:sqref>J9</xm:sqref>
            </x14:sparkline>
            <x14:sparkline>
              <xm:f>Sparklines!D10:H10</xm:f>
              <xm:sqref>J10</xm:sqref>
            </x14:sparkline>
            <x14:sparkline>
              <xm:f>Sparklines!D11:H11</xm:f>
              <xm:sqref>J11</xm:sqref>
            </x14:sparkline>
            <x14:sparkline>
              <xm:f>Sparklines!E3:I3</xm:f>
              <xm:sqref>K3</xm:sqref>
            </x14:sparkline>
            <x14:sparkline>
              <xm:f>Sparklines!F3:J3</xm:f>
              <xm:sqref>L3</xm:sqref>
            </x14:sparkline>
            <x14:sparkline>
              <xm:f>Sparklines!G3:K3</xm:f>
              <xm:sqref>M3</xm:sqref>
            </x14:sparkline>
            <x14:sparkline>
              <xm:f>Sparklines!H3:L3</xm:f>
              <xm:sqref>N3</xm:sqref>
            </x14:sparkline>
          </x14:sparklines>
        </x14:sparklineGroup>
      </x14:sparklineGroup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7FDE-8FA5-435C-BA74-C91318D6F7D1}">
  <dimension ref="A1:N15"/>
  <sheetViews>
    <sheetView workbookViewId="0">
      <selection activeCell="G13" sqref="G13"/>
    </sheetView>
  </sheetViews>
  <sheetFormatPr defaultRowHeight="14.5"/>
  <sheetData>
    <row r="1" spans="1:14" ht="15.5">
      <c r="A1" s="82" t="s">
        <v>96</v>
      </c>
      <c r="B1" s="83" t="s">
        <v>1009</v>
      </c>
      <c r="C1" s="83" t="s">
        <v>1010</v>
      </c>
      <c r="D1" s="83" t="s">
        <v>1011</v>
      </c>
      <c r="E1" s="83" t="s">
        <v>1012</v>
      </c>
    </row>
    <row r="2" spans="1:14">
      <c r="A2" s="45" t="s">
        <v>103</v>
      </c>
      <c r="B2" s="45">
        <v>345</v>
      </c>
      <c r="C2" s="45">
        <v>135</v>
      </c>
      <c r="D2" s="45">
        <v>123</v>
      </c>
      <c r="E2" s="45">
        <v>234</v>
      </c>
      <c r="G2" s="3" t="s">
        <v>1033</v>
      </c>
    </row>
    <row r="3" spans="1:14">
      <c r="A3" s="45" t="s">
        <v>108</v>
      </c>
      <c r="B3" s="45">
        <v>345</v>
      </c>
      <c r="C3" s="45">
        <v>322</v>
      </c>
      <c r="D3" s="45">
        <v>320</v>
      </c>
      <c r="E3" s="45">
        <v>178</v>
      </c>
    </row>
    <row r="4" spans="1:14">
      <c r="A4" s="45" t="s">
        <v>110</v>
      </c>
      <c r="B4" s="45">
        <v>543</v>
      </c>
      <c r="C4" s="45">
        <v>235</v>
      </c>
      <c r="D4" s="45">
        <v>127</v>
      </c>
      <c r="E4" s="45">
        <v>176</v>
      </c>
      <c r="H4" s="83" t="s">
        <v>1009</v>
      </c>
      <c r="I4" s="83" t="s">
        <v>1010</v>
      </c>
      <c r="J4" s="83" t="s">
        <v>1011</v>
      </c>
      <c r="K4" s="83" t="s">
        <v>1012</v>
      </c>
    </row>
    <row r="5" spans="1:14">
      <c r="A5" s="45" t="s">
        <v>114</v>
      </c>
      <c r="B5" s="45">
        <v>546</v>
      </c>
      <c r="C5" s="45">
        <v>235</v>
      </c>
      <c r="D5" s="45">
        <v>129</v>
      </c>
      <c r="E5" s="45">
        <v>423</v>
      </c>
    </row>
    <row r="6" spans="1:14">
      <c r="A6" s="45" t="s">
        <v>116</v>
      </c>
      <c r="B6" s="45">
        <v>135</v>
      </c>
      <c r="C6" s="45">
        <v>324</v>
      </c>
      <c r="D6" s="45">
        <v>321</v>
      </c>
      <c r="E6" s="45">
        <v>434</v>
      </c>
      <c r="I6">
        <f>SUM(C2:C14)</f>
        <v>4379</v>
      </c>
      <c r="K6">
        <f>SUM(D2:D15)</f>
        <v>2888</v>
      </c>
      <c r="L6">
        <f>SUM(E2:E15)</f>
        <v>3432</v>
      </c>
      <c r="N6">
        <f>SUM(B2:B15)</f>
        <v>5720</v>
      </c>
    </row>
    <row r="7" spans="1:14">
      <c r="A7" s="45" t="s">
        <v>118</v>
      </c>
      <c r="B7" s="45">
        <v>424</v>
      </c>
      <c r="C7" s="45">
        <v>424</v>
      </c>
      <c r="D7" s="45">
        <v>143</v>
      </c>
      <c r="E7" s="45">
        <v>170</v>
      </c>
    </row>
    <row r="8" spans="1:14">
      <c r="A8" s="45" t="s">
        <v>121</v>
      </c>
      <c r="B8" s="45">
        <v>234</v>
      </c>
      <c r="C8" s="45">
        <v>124</v>
      </c>
      <c r="D8" s="45">
        <v>145</v>
      </c>
      <c r="E8" s="45">
        <v>532</v>
      </c>
    </row>
    <row r="9" spans="1:14">
      <c r="A9" s="45" t="s">
        <v>123</v>
      </c>
      <c r="B9" s="45">
        <v>543</v>
      </c>
      <c r="C9" s="45">
        <v>432</v>
      </c>
      <c r="D9" s="45">
        <v>147</v>
      </c>
      <c r="E9" s="45">
        <v>166</v>
      </c>
      <c r="G9" s="3" t="s">
        <v>1034</v>
      </c>
    </row>
    <row r="10" spans="1:14">
      <c r="A10" s="45" t="s">
        <v>124</v>
      </c>
      <c r="B10" s="45">
        <v>345</v>
      </c>
      <c r="C10" s="45">
        <v>312</v>
      </c>
      <c r="D10" s="45">
        <v>432</v>
      </c>
      <c r="E10" s="45">
        <v>164</v>
      </c>
    </row>
    <row r="11" spans="1:14">
      <c r="A11" s="45" t="s">
        <v>125</v>
      </c>
      <c r="B11" s="45">
        <v>323</v>
      </c>
      <c r="C11" s="45">
        <v>413</v>
      </c>
      <c r="D11" s="45">
        <v>141</v>
      </c>
      <c r="E11" s="45">
        <v>162</v>
      </c>
      <c r="J11">
        <f>SUM(I6,K6)</f>
        <v>7267</v>
      </c>
      <c r="L11">
        <f>K6+L6+N6</f>
        <v>12040</v>
      </c>
      <c r="N11">
        <f>I6+K6+L6</f>
        <v>10699</v>
      </c>
    </row>
    <row r="12" spans="1:14">
      <c r="A12" s="45" t="s">
        <v>126</v>
      </c>
      <c r="B12" s="45">
        <v>432</v>
      </c>
      <c r="C12" s="45">
        <v>312</v>
      </c>
      <c r="D12" s="45">
        <v>143</v>
      </c>
      <c r="E12" s="45">
        <v>325</v>
      </c>
    </row>
    <row r="13" spans="1:14">
      <c r="A13" s="45" t="s">
        <v>127</v>
      </c>
      <c r="B13" s="45">
        <v>213</v>
      </c>
      <c r="C13" s="45">
        <v>466</v>
      </c>
      <c r="D13" s="45">
        <v>145</v>
      </c>
      <c r="E13" s="45">
        <v>158</v>
      </c>
    </row>
    <row r="14" spans="1:14">
      <c r="A14" s="45" t="s">
        <v>128</v>
      </c>
      <c r="B14" s="45">
        <v>645</v>
      </c>
      <c r="C14" s="45">
        <v>645</v>
      </c>
      <c r="D14" s="45">
        <v>423</v>
      </c>
      <c r="E14" s="45">
        <v>156</v>
      </c>
    </row>
    <row r="15" spans="1:14">
      <c r="A15" s="45" t="s">
        <v>130</v>
      </c>
      <c r="B15" s="45">
        <v>647</v>
      </c>
      <c r="C15" s="45">
        <v>656</v>
      </c>
      <c r="D15" s="45">
        <v>149</v>
      </c>
      <c r="E15" s="45">
        <v>154</v>
      </c>
      <c r="I15" t="s">
        <v>1035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F854-80A7-46F0-9E60-A3118AE98054}">
  <dimension ref="A1:Q15"/>
  <sheetViews>
    <sheetView workbookViewId="0">
      <selection activeCell="L11" sqref="L11"/>
    </sheetView>
  </sheetViews>
  <sheetFormatPr defaultRowHeight="14.5"/>
  <sheetData>
    <row r="1" spans="1:17" ht="15.5">
      <c r="A1" s="35" t="s">
        <v>96</v>
      </c>
      <c r="B1" s="35" t="s">
        <v>97</v>
      </c>
      <c r="C1" s="35" t="s">
        <v>98</v>
      </c>
      <c r="D1" s="36" t="s">
        <v>5</v>
      </c>
      <c r="E1" s="36" t="s">
        <v>99</v>
      </c>
      <c r="F1" s="37" t="s">
        <v>100</v>
      </c>
      <c r="G1" s="36" t="s">
        <v>101</v>
      </c>
      <c r="H1" s="38" t="s">
        <v>1036</v>
      </c>
      <c r="J1" s="87"/>
      <c r="K1" s="87"/>
    </row>
    <row r="2" spans="1:17">
      <c r="A2" s="39" t="s">
        <v>103</v>
      </c>
      <c r="B2" s="39" t="s">
        <v>104</v>
      </c>
      <c r="C2" s="39">
        <v>67</v>
      </c>
      <c r="D2" s="39" t="s">
        <v>105</v>
      </c>
      <c r="E2" s="39" t="s">
        <v>106</v>
      </c>
      <c r="F2" s="39">
        <v>2848</v>
      </c>
      <c r="G2" s="40">
        <v>44927</v>
      </c>
      <c r="H2" s="39" t="s">
        <v>107</v>
      </c>
      <c r="J2" s="87"/>
      <c r="K2" s="87"/>
    </row>
    <row r="3" spans="1:17">
      <c r="A3" s="39" t="s">
        <v>108</v>
      </c>
      <c r="B3" s="39" t="s">
        <v>104</v>
      </c>
      <c r="C3" s="39">
        <v>28</v>
      </c>
      <c r="D3" s="39" t="s">
        <v>105</v>
      </c>
      <c r="E3" s="39" t="s">
        <v>109</v>
      </c>
      <c r="F3" s="39">
        <v>1742</v>
      </c>
      <c r="G3" s="40">
        <v>44959</v>
      </c>
      <c r="H3" s="39" t="s">
        <v>107</v>
      </c>
      <c r="J3" s="90" t="s">
        <v>1037</v>
      </c>
      <c r="K3" s="88" t="s">
        <v>1038</v>
      </c>
    </row>
    <row r="4" spans="1:17">
      <c r="A4" s="39" t="s">
        <v>110</v>
      </c>
      <c r="B4" s="39" t="s">
        <v>111</v>
      </c>
      <c r="C4" s="39">
        <v>21</v>
      </c>
      <c r="D4" s="39" t="s">
        <v>112</v>
      </c>
      <c r="E4" s="39" t="s">
        <v>109</v>
      </c>
      <c r="F4" s="39">
        <v>6968</v>
      </c>
      <c r="G4" s="40">
        <v>44991</v>
      </c>
      <c r="H4" s="39" t="s">
        <v>113</v>
      </c>
      <c r="J4" s="90" t="s">
        <v>1039</v>
      </c>
      <c r="K4" s="88" t="s">
        <v>1040</v>
      </c>
    </row>
    <row r="5" spans="1:17" ht="15.5">
      <c r="A5" s="39" t="s">
        <v>114</v>
      </c>
      <c r="B5" s="39" t="s">
        <v>111</v>
      </c>
      <c r="C5" s="39">
        <v>20</v>
      </c>
      <c r="D5" s="39" t="s">
        <v>112</v>
      </c>
      <c r="E5" s="39" t="s">
        <v>106</v>
      </c>
      <c r="F5" s="39">
        <v>2114</v>
      </c>
      <c r="G5" s="40">
        <v>45023</v>
      </c>
      <c r="H5" s="39" t="s">
        <v>115</v>
      </c>
      <c r="J5" s="90" t="s">
        <v>1041</v>
      </c>
      <c r="K5" s="88" t="s">
        <v>1042</v>
      </c>
      <c r="M5" s="1" t="s">
        <v>1043</v>
      </c>
      <c r="N5" s="1"/>
      <c r="O5" s="1"/>
      <c r="P5" s="1"/>
      <c r="Q5" s="1"/>
    </row>
    <row r="6" spans="1:17" ht="15.5">
      <c r="A6" s="39" t="s">
        <v>116</v>
      </c>
      <c r="B6" s="39" t="s">
        <v>104</v>
      </c>
      <c r="C6" s="39">
        <v>66</v>
      </c>
      <c r="D6" s="39" t="s">
        <v>112</v>
      </c>
      <c r="E6" s="39" t="s">
        <v>117</v>
      </c>
      <c r="F6" s="39">
        <v>7917</v>
      </c>
      <c r="G6" s="40">
        <v>45055</v>
      </c>
      <c r="H6" s="39" t="s">
        <v>107</v>
      </c>
      <c r="J6" s="88" t="s">
        <v>1044</v>
      </c>
      <c r="K6" s="88" t="s">
        <v>1045</v>
      </c>
      <c r="M6" s="1" t="s">
        <v>1046</v>
      </c>
      <c r="N6" s="1"/>
      <c r="O6" s="1"/>
      <c r="P6" s="1"/>
      <c r="Q6" s="1"/>
    </row>
    <row r="7" spans="1:17" ht="15.5">
      <c r="A7" s="39" t="s">
        <v>118</v>
      </c>
      <c r="B7" s="39" t="s">
        <v>119</v>
      </c>
      <c r="C7" s="39">
        <v>53</v>
      </c>
      <c r="D7" s="39" t="s">
        <v>120</v>
      </c>
      <c r="E7" s="39" t="s">
        <v>106</v>
      </c>
      <c r="F7" s="39">
        <v>3865</v>
      </c>
      <c r="G7" s="40">
        <v>45087</v>
      </c>
      <c r="H7" s="39" t="s">
        <v>115</v>
      </c>
      <c r="J7" s="88" t="s">
        <v>1047</v>
      </c>
      <c r="K7" s="88" t="s">
        <v>1048</v>
      </c>
      <c r="M7" s="1" t="s">
        <v>1049</v>
      </c>
      <c r="N7" s="1"/>
      <c r="O7" s="1"/>
      <c r="P7" s="1"/>
      <c r="Q7" s="1"/>
    </row>
    <row r="8" spans="1:17" ht="15.5">
      <c r="A8" s="39" t="s">
        <v>121</v>
      </c>
      <c r="B8" s="39" t="s">
        <v>104</v>
      </c>
      <c r="C8" s="39">
        <v>28</v>
      </c>
      <c r="D8" s="39" t="s">
        <v>120</v>
      </c>
      <c r="E8" s="39" t="s">
        <v>122</v>
      </c>
      <c r="F8" s="39">
        <v>4083</v>
      </c>
      <c r="G8" s="40">
        <v>45119</v>
      </c>
      <c r="H8" s="39" t="s">
        <v>107</v>
      </c>
      <c r="J8" s="88" t="s">
        <v>1050</v>
      </c>
      <c r="K8" s="88" t="s">
        <v>1051</v>
      </c>
      <c r="M8" s="1" t="s">
        <v>1052</v>
      </c>
      <c r="N8" s="1"/>
      <c r="O8" s="1"/>
      <c r="P8" s="1"/>
      <c r="Q8" s="1"/>
    </row>
    <row r="9" spans="1:17">
      <c r="A9" s="39" t="s">
        <v>123</v>
      </c>
      <c r="B9" s="39" t="s">
        <v>104</v>
      </c>
      <c r="C9" s="39">
        <v>32</v>
      </c>
      <c r="D9" s="39" t="s">
        <v>105</v>
      </c>
      <c r="E9" s="39" t="s">
        <v>122</v>
      </c>
      <c r="F9" s="39">
        <v>6836</v>
      </c>
      <c r="G9" s="40">
        <v>45151</v>
      </c>
      <c r="H9" s="39" t="s">
        <v>107</v>
      </c>
      <c r="J9" s="88" t="s">
        <v>1053</v>
      </c>
      <c r="K9" s="88" t="s">
        <v>1042</v>
      </c>
    </row>
    <row r="10" spans="1:17">
      <c r="A10" s="39" t="s">
        <v>124</v>
      </c>
      <c r="B10" s="39" t="s">
        <v>111</v>
      </c>
      <c r="C10" s="39">
        <v>69</v>
      </c>
      <c r="D10" s="39" t="s">
        <v>105</v>
      </c>
      <c r="E10" s="39" t="s">
        <v>122</v>
      </c>
      <c r="F10" s="39">
        <v>9470</v>
      </c>
      <c r="G10" s="40">
        <v>45183</v>
      </c>
      <c r="H10" s="39" t="s">
        <v>107</v>
      </c>
      <c r="J10" s="88" t="s">
        <v>1054</v>
      </c>
      <c r="K10" s="88" t="s">
        <v>1048</v>
      </c>
    </row>
    <row r="15" spans="1:17">
      <c r="E15" s="8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151C-476C-4AF7-9483-D138FBA2BC94}">
  <dimension ref="A1:M18"/>
  <sheetViews>
    <sheetView zoomScaleNormal="100" workbookViewId="0">
      <selection activeCell="L15" sqref="L15"/>
    </sheetView>
  </sheetViews>
  <sheetFormatPr defaultRowHeight="14.5"/>
  <cols>
    <col min="1" max="1" width="14.453125" bestFit="1" customWidth="1"/>
    <col min="9" max="9" width="10.54296875" customWidth="1"/>
  </cols>
  <sheetData>
    <row r="1" spans="1:13" ht="15.5">
      <c r="A1" s="82" t="s">
        <v>96</v>
      </c>
      <c r="B1" s="82"/>
      <c r="C1" s="83" t="s">
        <v>1009</v>
      </c>
      <c r="D1" s="83" t="s">
        <v>1010</v>
      </c>
      <c r="E1" s="83" t="s">
        <v>1011</v>
      </c>
    </row>
    <row r="2" spans="1:13">
      <c r="A2" s="45" t="s">
        <v>1071</v>
      </c>
      <c r="B2" s="45" t="s">
        <v>303</v>
      </c>
      <c r="C2" s="45">
        <v>345</v>
      </c>
      <c r="D2" s="45">
        <v>135</v>
      </c>
      <c r="E2" s="45">
        <v>123</v>
      </c>
      <c r="G2" t="s">
        <v>1055</v>
      </c>
      <c r="I2" t="s">
        <v>1069</v>
      </c>
      <c r="K2" t="s">
        <v>1064</v>
      </c>
    </row>
    <row r="3" spans="1:13">
      <c r="A3" s="45" t="s">
        <v>1071</v>
      </c>
      <c r="B3" s="45" t="s">
        <v>1066</v>
      </c>
      <c r="C3" s="45">
        <v>345</v>
      </c>
      <c r="D3" s="45">
        <v>322</v>
      </c>
      <c r="E3" s="45">
        <v>320</v>
      </c>
      <c r="G3">
        <f>SUM(E2:E15)</f>
        <v>2888</v>
      </c>
    </row>
    <row r="4" spans="1:13">
      <c r="A4" s="45" t="s">
        <v>1071</v>
      </c>
      <c r="B4" s="45" t="s">
        <v>1067</v>
      </c>
      <c r="C4" s="45">
        <v>543</v>
      </c>
      <c r="D4" s="45">
        <v>235</v>
      </c>
      <c r="E4" s="45">
        <v>127</v>
      </c>
      <c r="G4">
        <f t="shared" ref="G4:G5" si="0">SUM(E3:E16)</f>
        <v>2765</v>
      </c>
      <c r="I4">
        <f>AVERAGE(D2:D15,E2:E15)</f>
        <v>282.96428571428572</v>
      </c>
      <c r="K4">
        <f>MINA(E2:E15,D2:D15)</f>
        <v>123</v>
      </c>
      <c r="M4" t="s">
        <v>1059</v>
      </c>
    </row>
    <row r="5" spans="1:13">
      <c r="A5" s="45" t="s">
        <v>1071</v>
      </c>
      <c r="B5" s="45" t="s">
        <v>1068</v>
      </c>
      <c r="C5" s="45">
        <v>546</v>
      </c>
      <c r="D5" s="45">
        <v>235</v>
      </c>
      <c r="E5" s="45">
        <v>129</v>
      </c>
      <c r="G5">
        <f t="shared" si="0"/>
        <v>2445</v>
      </c>
    </row>
    <row r="6" spans="1:13">
      <c r="A6" s="45" t="s">
        <v>1071</v>
      </c>
      <c r="B6" s="45" t="s">
        <v>303</v>
      </c>
      <c r="C6" s="45">
        <v>135</v>
      </c>
      <c r="D6" s="45">
        <v>324</v>
      </c>
      <c r="E6" s="45">
        <v>321</v>
      </c>
      <c r="I6" t="s">
        <v>1058</v>
      </c>
      <c r="K6" t="s">
        <v>1065</v>
      </c>
      <c r="M6">
        <f>COUNTIF(B2:B15,B4)</f>
        <v>3</v>
      </c>
    </row>
    <row r="7" spans="1:13">
      <c r="A7" s="45" t="s">
        <v>1071</v>
      </c>
      <c r="B7" s="45" t="s">
        <v>1066</v>
      </c>
      <c r="C7" s="45">
        <v>424</v>
      </c>
      <c r="D7" s="45">
        <v>424</v>
      </c>
      <c r="E7" s="45">
        <v>143</v>
      </c>
      <c r="G7" t="s">
        <v>1057</v>
      </c>
    </row>
    <row r="8" spans="1:13">
      <c r="A8" s="45" t="s">
        <v>1072</v>
      </c>
      <c r="B8" s="45" t="s">
        <v>1067</v>
      </c>
      <c r="C8" s="45">
        <v>234</v>
      </c>
      <c r="D8" s="45">
        <v>124</v>
      </c>
      <c r="E8" s="45">
        <v>145</v>
      </c>
      <c r="I8">
        <f>AVERAGEIF($B$2:$B$15,$B$2,$E$2:$E$15)</f>
        <v>324.75</v>
      </c>
      <c r="K8">
        <f>MAXA(E2:E14)</f>
        <v>432</v>
      </c>
      <c r="M8">
        <f>COUNTIF(A2:A15,A6)</f>
        <v>6</v>
      </c>
    </row>
    <row r="9" spans="1:13">
      <c r="A9" s="45" t="s">
        <v>1072</v>
      </c>
      <c r="B9" s="45" t="s">
        <v>1068</v>
      </c>
      <c r="C9" s="45">
        <v>543</v>
      </c>
      <c r="D9" s="45">
        <v>432</v>
      </c>
      <c r="E9" s="45">
        <v>147</v>
      </c>
      <c r="G9">
        <f>SUMIF(B2:B15,B6,C2:E15)</f>
        <v>1470</v>
      </c>
    </row>
    <row r="10" spans="1:13">
      <c r="A10" s="45" t="s">
        <v>1072</v>
      </c>
      <c r="B10" s="45" t="s">
        <v>303</v>
      </c>
      <c r="C10" s="45">
        <v>345</v>
      </c>
      <c r="D10" s="45">
        <v>312</v>
      </c>
      <c r="E10" s="45">
        <v>432</v>
      </c>
    </row>
    <row r="11" spans="1:13">
      <c r="A11" s="45" t="s">
        <v>1072</v>
      </c>
      <c r="B11" s="45" t="s">
        <v>1066</v>
      </c>
      <c r="C11" s="45">
        <v>323</v>
      </c>
      <c r="D11" s="45">
        <v>413</v>
      </c>
      <c r="E11" s="45">
        <v>141</v>
      </c>
      <c r="I11" t="s">
        <v>1070</v>
      </c>
      <c r="K11" t="s">
        <v>1074</v>
      </c>
      <c r="M11" t="s">
        <v>1060</v>
      </c>
    </row>
    <row r="12" spans="1:13">
      <c r="A12" s="45" t="s">
        <v>1073</v>
      </c>
      <c r="B12" s="45" t="s">
        <v>1067</v>
      </c>
      <c r="C12" s="45">
        <v>432</v>
      </c>
      <c r="D12" s="45">
        <v>312</v>
      </c>
      <c r="E12" s="45">
        <v>143</v>
      </c>
      <c r="G12" t="s">
        <v>1061</v>
      </c>
    </row>
    <row r="13" spans="1:13">
      <c r="A13" s="45" t="s">
        <v>1073</v>
      </c>
      <c r="B13" s="45" t="s">
        <v>1068</v>
      </c>
      <c r="C13" s="45">
        <v>213</v>
      </c>
      <c r="D13" s="45">
        <v>466</v>
      </c>
      <c r="E13" s="45">
        <v>145</v>
      </c>
      <c r="I13">
        <f>AVERAGEIFS($E$2:$E$15,$B$2:$B$15,$B$7,$A$2:$A$15,$A$6)</f>
        <v>231.5</v>
      </c>
      <c r="K13">
        <f>COUNT(E2:E15)</f>
        <v>14</v>
      </c>
      <c r="M13">
        <f>COUNTIFS(B2:B15,B2,A2:A15,A2)</f>
        <v>2</v>
      </c>
    </row>
    <row r="14" spans="1:13">
      <c r="A14" s="45" t="s">
        <v>1073</v>
      </c>
      <c r="B14" s="45" t="s">
        <v>303</v>
      </c>
      <c r="C14" s="45">
        <v>645</v>
      </c>
      <c r="D14" s="45">
        <v>645</v>
      </c>
      <c r="E14" s="45">
        <v>423</v>
      </c>
      <c r="G14">
        <f>SUMIFS(C2:C15,B2:B15,"Books",A2:A15,"Mary Harris")</f>
        <v>0</v>
      </c>
      <c r="K14" t="s">
        <v>1056</v>
      </c>
    </row>
    <row r="15" spans="1:13">
      <c r="A15" s="45" t="s">
        <v>1073</v>
      </c>
      <c r="B15" s="45" t="s">
        <v>1066</v>
      </c>
      <c r="C15" s="45">
        <v>647</v>
      </c>
      <c r="D15" s="45">
        <v>656</v>
      </c>
      <c r="E15" s="45">
        <v>149</v>
      </c>
    </row>
    <row r="16" spans="1:13">
      <c r="H16" t="s">
        <v>1062</v>
      </c>
      <c r="I16" t="s">
        <v>1063</v>
      </c>
      <c r="K16">
        <f>COUNTA(E2:E15)</f>
        <v>14</v>
      </c>
    </row>
    <row r="17" spans="8:11">
      <c r="K17">
        <f>COUNTA(E2:E15,D2:D15)</f>
        <v>28</v>
      </c>
    </row>
    <row r="18" spans="8:11">
      <c r="H18">
        <f>MIN(I8,I13)</f>
        <v>231.5</v>
      </c>
      <c r="I18">
        <f>MAX(I8,I13,H18,I4)</f>
        <v>324.75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1573-F36D-480B-BC06-F9EC2FCC54AA}">
  <dimension ref="A1:N24"/>
  <sheetViews>
    <sheetView zoomScale="90" zoomScaleNormal="90" workbookViewId="0">
      <selection sqref="A1:F16"/>
    </sheetView>
  </sheetViews>
  <sheetFormatPr defaultRowHeight="14.5"/>
  <cols>
    <col min="8" max="8" width="16.7265625" customWidth="1"/>
  </cols>
  <sheetData>
    <row r="1" spans="1:14" ht="15.5">
      <c r="A1" s="102" t="s">
        <v>96</v>
      </c>
      <c r="B1" s="92" t="s">
        <v>97</v>
      </c>
      <c r="C1" s="93" t="s">
        <v>98</v>
      </c>
      <c r="D1" s="94" t="s">
        <v>5</v>
      </c>
      <c r="E1" s="94" t="s">
        <v>99</v>
      </c>
      <c r="F1" s="95" t="s">
        <v>100</v>
      </c>
      <c r="G1" s="94" t="s">
        <v>101</v>
      </c>
      <c r="H1" s="103" t="s">
        <v>102</v>
      </c>
      <c r="J1" s="3" t="s">
        <v>1055</v>
      </c>
      <c r="K1" s="3" t="s">
        <v>1057</v>
      </c>
      <c r="L1" s="3" t="s">
        <v>1061</v>
      </c>
    </row>
    <row r="2" spans="1:14" ht="15.5">
      <c r="A2" s="96" t="s">
        <v>103</v>
      </c>
      <c r="B2" s="97" t="s">
        <v>104</v>
      </c>
      <c r="C2" s="96">
        <v>67</v>
      </c>
      <c r="D2" s="96" t="s">
        <v>105</v>
      </c>
      <c r="E2" s="96" t="s">
        <v>106</v>
      </c>
      <c r="F2" s="96">
        <v>2848</v>
      </c>
      <c r="G2" s="98">
        <v>44927</v>
      </c>
      <c r="H2" s="104" t="s">
        <v>107</v>
      </c>
      <c r="N2" s="1" t="s">
        <v>1075</v>
      </c>
    </row>
    <row r="3" spans="1:14" ht="15.5">
      <c r="A3" s="99" t="s">
        <v>108</v>
      </c>
      <c r="B3" s="100" t="s">
        <v>104</v>
      </c>
      <c r="C3" s="99">
        <v>28</v>
      </c>
      <c r="D3" s="99" t="s">
        <v>105</v>
      </c>
      <c r="E3" s="99" t="s">
        <v>109</v>
      </c>
      <c r="F3" s="99">
        <v>1742</v>
      </c>
      <c r="G3" s="101">
        <v>44959</v>
      </c>
      <c r="H3" s="105" t="s">
        <v>107</v>
      </c>
      <c r="J3">
        <f>SUM(C2:C24)</f>
        <v>963</v>
      </c>
      <c r="K3">
        <f>SUMIF(Table3[payment_method],"Credit Card",Table3[Profit])</f>
        <v>68224</v>
      </c>
      <c r="L3" t="e">
        <f>SUMIFS(Table3[Profit],I10,"Clothing")</f>
        <v>#VALUE!</v>
      </c>
      <c r="N3" s="1" t="s">
        <v>1076</v>
      </c>
    </row>
    <row r="4" spans="1:14">
      <c r="A4" s="99" t="s">
        <v>110</v>
      </c>
      <c r="B4" s="100" t="s">
        <v>111</v>
      </c>
      <c r="C4" s="99">
        <v>21</v>
      </c>
      <c r="D4" s="99" t="s">
        <v>112</v>
      </c>
      <c r="E4" s="99" t="s">
        <v>109</v>
      </c>
      <c r="F4" s="99">
        <v>6968</v>
      </c>
      <c r="G4" s="101">
        <v>44991</v>
      </c>
      <c r="H4" s="105" t="s">
        <v>113</v>
      </c>
      <c r="L4">
        <f>SUMIFS(Table3[Profit],Table3[Category],"Clothing",Table3[Region],"West")</f>
        <v>11872</v>
      </c>
    </row>
    <row r="5" spans="1:14">
      <c r="A5" s="99" t="s">
        <v>114</v>
      </c>
      <c r="B5" s="100" t="s">
        <v>111</v>
      </c>
      <c r="C5" s="99">
        <v>20</v>
      </c>
      <c r="D5" s="99" t="s">
        <v>112</v>
      </c>
      <c r="E5" s="99" t="s">
        <v>106</v>
      </c>
      <c r="F5" s="99">
        <v>2114</v>
      </c>
      <c r="G5" s="101">
        <v>45023</v>
      </c>
      <c r="H5" s="105" t="s">
        <v>115</v>
      </c>
      <c r="J5" s="3" t="s">
        <v>1077</v>
      </c>
    </row>
    <row r="6" spans="1:14">
      <c r="A6" s="99" t="s">
        <v>116</v>
      </c>
      <c r="B6" s="100" t="s">
        <v>104</v>
      </c>
      <c r="C6" s="99">
        <v>66</v>
      </c>
      <c r="D6" s="99" t="s">
        <v>112</v>
      </c>
      <c r="E6" s="99" t="s">
        <v>117</v>
      </c>
      <c r="F6" s="99">
        <v>7917</v>
      </c>
      <c r="G6" s="101">
        <v>45055</v>
      </c>
      <c r="H6" s="105" t="s">
        <v>107</v>
      </c>
    </row>
    <row r="7" spans="1:14" ht="15.5">
      <c r="A7" s="99" t="s">
        <v>118</v>
      </c>
      <c r="B7" s="100" t="s">
        <v>119</v>
      </c>
      <c r="C7" s="99">
        <v>53</v>
      </c>
      <c r="D7" s="99" t="s">
        <v>120</v>
      </c>
      <c r="E7" s="99" t="s">
        <v>106</v>
      </c>
      <c r="F7" s="99">
        <v>3865</v>
      </c>
      <c r="G7" s="101">
        <v>45087</v>
      </c>
      <c r="H7" s="105" t="s">
        <v>115</v>
      </c>
      <c r="K7" s="1" t="s">
        <v>1078</v>
      </c>
    </row>
    <row r="8" spans="1:14">
      <c r="A8" s="99" t="s">
        <v>121</v>
      </c>
      <c r="B8" s="100" t="s">
        <v>104</v>
      </c>
      <c r="C8" s="99">
        <v>28</v>
      </c>
      <c r="D8" s="99" t="s">
        <v>120</v>
      </c>
      <c r="E8" s="99" t="s">
        <v>122</v>
      </c>
      <c r="F8" s="99">
        <v>4083</v>
      </c>
      <c r="G8" s="101">
        <v>45119</v>
      </c>
      <c r="H8" s="105" t="s">
        <v>107</v>
      </c>
    </row>
    <row r="9" spans="1:14">
      <c r="A9" s="99" t="s">
        <v>123</v>
      </c>
      <c r="B9" s="100" t="s">
        <v>104</v>
      </c>
      <c r="C9" s="99">
        <v>32</v>
      </c>
      <c r="D9" s="99" t="s">
        <v>105</v>
      </c>
      <c r="E9" s="99" t="s">
        <v>122</v>
      </c>
      <c r="F9" s="99">
        <v>6836</v>
      </c>
      <c r="G9" s="101">
        <v>45151</v>
      </c>
      <c r="H9" s="105" t="s">
        <v>107</v>
      </c>
    </row>
    <row r="10" spans="1:14">
      <c r="A10" s="99" t="s">
        <v>124</v>
      </c>
      <c r="B10" s="100" t="s">
        <v>111</v>
      </c>
      <c r="C10" s="99">
        <v>69</v>
      </c>
      <c r="D10" s="99" t="s">
        <v>105</v>
      </c>
      <c r="E10" s="99" t="s">
        <v>122</v>
      </c>
      <c r="F10" s="99">
        <v>9470</v>
      </c>
      <c r="G10" s="101">
        <v>45183</v>
      </c>
      <c r="H10" s="105" t="s">
        <v>107</v>
      </c>
    </row>
    <row r="11" spans="1:14">
      <c r="A11" s="99" t="s">
        <v>125</v>
      </c>
      <c r="B11" s="100" t="s">
        <v>104</v>
      </c>
      <c r="C11" s="99">
        <v>60</v>
      </c>
      <c r="D11" s="99" t="s">
        <v>105</v>
      </c>
      <c r="E11" s="99" t="s">
        <v>106</v>
      </c>
      <c r="F11" s="99">
        <v>7559</v>
      </c>
      <c r="G11" s="101">
        <v>45215</v>
      </c>
      <c r="H11" s="105" t="s">
        <v>107</v>
      </c>
    </row>
    <row r="12" spans="1:14">
      <c r="A12" s="99" t="s">
        <v>126</v>
      </c>
      <c r="B12" s="100" t="s">
        <v>104</v>
      </c>
      <c r="C12" s="99">
        <v>36</v>
      </c>
      <c r="D12" s="99" t="s">
        <v>120</v>
      </c>
      <c r="E12" s="99" t="s">
        <v>117</v>
      </c>
      <c r="F12" s="99">
        <v>6540</v>
      </c>
      <c r="G12" s="101">
        <v>45247</v>
      </c>
      <c r="H12" s="105" t="s">
        <v>115</v>
      </c>
      <c r="J12" s="3" t="s">
        <v>1074</v>
      </c>
      <c r="K12" s="3" t="s">
        <v>1079</v>
      </c>
      <c r="L12" s="3" t="s">
        <v>1060</v>
      </c>
    </row>
    <row r="13" spans="1:14">
      <c r="A13" s="99" t="s">
        <v>127</v>
      </c>
      <c r="B13" s="100" t="s">
        <v>104</v>
      </c>
      <c r="C13" s="99">
        <v>29</v>
      </c>
      <c r="D13" s="99" t="s">
        <v>105</v>
      </c>
      <c r="E13" s="99" t="s">
        <v>106</v>
      </c>
      <c r="F13" s="99">
        <v>1465</v>
      </c>
      <c r="G13" s="101">
        <v>45279</v>
      </c>
      <c r="H13" s="105" t="s">
        <v>107</v>
      </c>
    </row>
    <row r="14" spans="1:14">
      <c r="A14" s="99" t="s">
        <v>128</v>
      </c>
      <c r="B14" s="100" t="s">
        <v>104</v>
      </c>
      <c r="C14" s="99">
        <v>67</v>
      </c>
      <c r="D14" s="99" t="s">
        <v>129</v>
      </c>
      <c r="E14" s="99" t="s">
        <v>106</v>
      </c>
      <c r="F14" s="99">
        <v>9634</v>
      </c>
      <c r="G14" s="101">
        <v>45311</v>
      </c>
      <c r="H14" s="105" t="s">
        <v>113</v>
      </c>
      <c r="J14">
        <f>COUNT(Table3[Profit])</f>
        <v>23</v>
      </c>
      <c r="K14">
        <f>COUNTIF(Table3[payment_method],"Cash")</f>
        <v>8</v>
      </c>
      <c r="L14">
        <f>COUNTIFS(Table3[payment_method],"Credit Card",Table3[Category],"Furniture")</f>
        <v>2</v>
      </c>
    </row>
    <row r="15" spans="1:14">
      <c r="A15" s="99" t="s">
        <v>130</v>
      </c>
      <c r="B15" s="100" t="s">
        <v>111</v>
      </c>
      <c r="C15" s="99">
        <v>25</v>
      </c>
      <c r="D15" s="99" t="s">
        <v>105</v>
      </c>
      <c r="E15" s="99" t="s">
        <v>122</v>
      </c>
      <c r="F15" s="99">
        <v>6354</v>
      </c>
      <c r="G15" s="101">
        <v>45343</v>
      </c>
      <c r="H15" s="105" t="s">
        <v>115</v>
      </c>
      <c r="J15">
        <f>COUNT(Table3[[#All],[Profit]])</f>
        <v>23</v>
      </c>
    </row>
    <row r="16" spans="1:14">
      <c r="A16" s="99" t="s">
        <v>131</v>
      </c>
      <c r="B16" s="100" t="s">
        <v>111</v>
      </c>
      <c r="C16" s="99">
        <v>24</v>
      </c>
      <c r="D16" s="99" t="s">
        <v>120</v>
      </c>
      <c r="E16" s="99" t="s">
        <v>117</v>
      </c>
      <c r="F16" s="99">
        <v>5255</v>
      </c>
      <c r="G16" s="101">
        <v>45375</v>
      </c>
      <c r="H16" s="105" t="s">
        <v>107</v>
      </c>
    </row>
    <row r="17" spans="1:12">
      <c r="A17" s="99" t="s">
        <v>132</v>
      </c>
      <c r="B17" s="100" t="s">
        <v>111</v>
      </c>
      <c r="C17" s="99">
        <v>65</v>
      </c>
      <c r="D17" s="99" t="s">
        <v>120</v>
      </c>
      <c r="E17" s="99" t="s">
        <v>133</v>
      </c>
      <c r="F17" s="99">
        <v>1806</v>
      </c>
      <c r="G17" s="101">
        <v>45407</v>
      </c>
      <c r="H17" s="105" t="s">
        <v>113</v>
      </c>
      <c r="L17" s="3" t="s">
        <v>1080</v>
      </c>
    </row>
    <row r="18" spans="1:12">
      <c r="A18" s="99" t="s">
        <v>134</v>
      </c>
      <c r="B18" s="100" t="s">
        <v>119</v>
      </c>
      <c r="C18" s="99">
        <v>42</v>
      </c>
      <c r="D18" s="99" t="s">
        <v>120</v>
      </c>
      <c r="E18" s="99" t="s">
        <v>133</v>
      </c>
      <c r="F18" s="99">
        <v>8843</v>
      </c>
      <c r="G18" s="101">
        <v>45439</v>
      </c>
      <c r="H18" s="105" t="s">
        <v>107</v>
      </c>
    </row>
    <row r="19" spans="1:12">
      <c r="A19" s="99" t="s">
        <v>135</v>
      </c>
      <c r="B19" s="100" t="s">
        <v>104</v>
      </c>
      <c r="C19" s="99">
        <v>46</v>
      </c>
      <c r="D19" s="99" t="s">
        <v>105</v>
      </c>
      <c r="E19" s="99" t="s">
        <v>133</v>
      </c>
      <c r="F19" s="99">
        <v>1248</v>
      </c>
      <c r="G19" s="101">
        <v>45471</v>
      </c>
      <c r="H19" s="105" t="s">
        <v>115</v>
      </c>
      <c r="K19" s="3" t="s">
        <v>1081</v>
      </c>
    </row>
    <row r="20" spans="1:12">
      <c r="A20" s="99" t="s">
        <v>136</v>
      </c>
      <c r="B20" s="100" t="s">
        <v>111</v>
      </c>
      <c r="C20" s="99">
        <v>24</v>
      </c>
      <c r="D20" s="99" t="s">
        <v>120</v>
      </c>
      <c r="E20" s="99" t="s">
        <v>106</v>
      </c>
      <c r="F20" s="99">
        <v>9259</v>
      </c>
      <c r="G20" s="101">
        <v>45503</v>
      </c>
      <c r="H20" s="105" t="s">
        <v>115</v>
      </c>
    </row>
    <row r="21" spans="1:12">
      <c r="A21" s="99" t="s">
        <v>137</v>
      </c>
      <c r="B21" s="100" t="s">
        <v>111</v>
      </c>
      <c r="C21" s="99">
        <v>23</v>
      </c>
      <c r="D21" s="99" t="s">
        <v>120</v>
      </c>
      <c r="E21" s="99" t="s">
        <v>122</v>
      </c>
      <c r="F21" s="99">
        <v>6819</v>
      </c>
      <c r="G21" s="101">
        <v>45535</v>
      </c>
      <c r="H21" s="105" t="s">
        <v>107</v>
      </c>
      <c r="J21" s="3" t="s">
        <v>1082</v>
      </c>
    </row>
    <row r="22" spans="1:12">
      <c r="A22" s="99" t="s">
        <v>138</v>
      </c>
      <c r="B22" s="100" t="s">
        <v>111</v>
      </c>
      <c r="C22" s="99">
        <v>52</v>
      </c>
      <c r="D22" s="99" t="s">
        <v>105</v>
      </c>
      <c r="E22" s="99" t="s">
        <v>109</v>
      </c>
      <c r="F22" s="99">
        <v>5387</v>
      </c>
      <c r="G22" s="101">
        <v>45567</v>
      </c>
      <c r="H22" s="105" t="s">
        <v>107</v>
      </c>
      <c r="J22" s="3" t="s">
        <v>1083</v>
      </c>
    </row>
    <row r="23" spans="1:12">
      <c r="A23" s="99" t="s">
        <v>139</v>
      </c>
      <c r="B23" s="100" t="s">
        <v>111</v>
      </c>
      <c r="C23" s="99">
        <v>44</v>
      </c>
      <c r="D23" s="99" t="s">
        <v>105</v>
      </c>
      <c r="E23" s="99" t="s">
        <v>133</v>
      </c>
      <c r="F23" s="99">
        <v>1184</v>
      </c>
      <c r="G23" s="101">
        <v>45599</v>
      </c>
      <c r="H23" s="105" t="s">
        <v>115</v>
      </c>
    </row>
    <row r="24" spans="1:12">
      <c r="A24" s="99" t="s">
        <v>317</v>
      </c>
      <c r="B24" s="106" t="s">
        <v>104</v>
      </c>
      <c r="C24" s="107">
        <v>42</v>
      </c>
      <c r="D24" s="107" t="s">
        <v>105</v>
      </c>
      <c r="E24" s="107" t="s">
        <v>109</v>
      </c>
      <c r="F24" s="107">
        <v>3641</v>
      </c>
      <c r="G24" s="108">
        <v>45631</v>
      </c>
      <c r="H24" s="109" t="s">
        <v>115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088D-4F08-4316-8F6D-3E98A4E97642}">
  <dimension ref="A1:N16"/>
  <sheetViews>
    <sheetView workbookViewId="0">
      <selection activeCell="N14" sqref="N14"/>
    </sheetView>
  </sheetViews>
  <sheetFormatPr defaultRowHeight="14.5"/>
  <cols>
    <col min="5" max="5" width="10.26953125" customWidth="1"/>
  </cols>
  <sheetData>
    <row r="1" spans="1:14">
      <c r="A1" t="s">
        <v>96</v>
      </c>
      <c r="B1" t="s">
        <v>97</v>
      </c>
      <c r="C1" t="s">
        <v>98</v>
      </c>
      <c r="D1" t="s">
        <v>5</v>
      </c>
      <c r="E1" t="s">
        <v>99</v>
      </c>
      <c r="F1" t="s">
        <v>100</v>
      </c>
    </row>
    <row r="2" spans="1:14">
      <c r="A2" t="s">
        <v>103</v>
      </c>
      <c r="B2" t="s">
        <v>104</v>
      </c>
      <c r="C2">
        <v>67</v>
      </c>
      <c r="D2" t="s">
        <v>105</v>
      </c>
      <c r="E2" t="s">
        <v>106</v>
      </c>
      <c r="F2">
        <v>2848</v>
      </c>
      <c r="I2" t="s">
        <v>1055</v>
      </c>
      <c r="J2" t="s">
        <v>1057</v>
      </c>
      <c r="K2" t="s">
        <v>1061</v>
      </c>
    </row>
    <row r="3" spans="1:14">
      <c r="A3" t="s">
        <v>108</v>
      </c>
      <c r="B3" t="s">
        <v>104</v>
      </c>
      <c r="C3">
        <v>28</v>
      </c>
      <c r="D3" t="s">
        <v>105</v>
      </c>
      <c r="E3" t="s">
        <v>109</v>
      </c>
      <c r="F3">
        <v>1742</v>
      </c>
      <c r="I3">
        <f>SUM(Table10[Profit])</f>
        <v>82650</v>
      </c>
      <c r="J3">
        <f>SUMIF(Table10[gender],B2,Table10[Profit])</f>
        <v>48624</v>
      </c>
      <c r="K3">
        <f>SUMIFS(Table10[Profit],Table10[Category],E4,Table10[Region],D5)</f>
        <v>22444</v>
      </c>
    </row>
    <row r="4" spans="1:14">
      <c r="A4" t="s">
        <v>110</v>
      </c>
      <c r="B4" t="s">
        <v>111</v>
      </c>
      <c r="C4">
        <v>21</v>
      </c>
      <c r="D4" t="s">
        <v>112</v>
      </c>
      <c r="E4" t="s">
        <v>109</v>
      </c>
      <c r="F4">
        <v>6968</v>
      </c>
    </row>
    <row r="5" spans="1:14">
      <c r="A5" t="s">
        <v>114</v>
      </c>
      <c r="B5" t="s">
        <v>111</v>
      </c>
      <c r="C5">
        <v>20</v>
      </c>
      <c r="D5" t="s">
        <v>112</v>
      </c>
      <c r="E5" t="s">
        <v>106</v>
      </c>
      <c r="F5">
        <v>2114</v>
      </c>
    </row>
    <row r="6" spans="1:14">
      <c r="A6" t="s">
        <v>116</v>
      </c>
      <c r="B6" t="s">
        <v>104</v>
      </c>
      <c r="C6">
        <v>66</v>
      </c>
      <c r="D6" t="s">
        <v>112</v>
      </c>
      <c r="E6" t="s">
        <v>109</v>
      </c>
      <c r="F6">
        <v>7917</v>
      </c>
    </row>
    <row r="7" spans="1:14">
      <c r="A7" t="s">
        <v>118</v>
      </c>
      <c r="B7" t="s">
        <v>119</v>
      </c>
      <c r="C7">
        <v>53</v>
      </c>
      <c r="D7" t="s">
        <v>120</v>
      </c>
      <c r="E7" t="s">
        <v>106</v>
      </c>
      <c r="F7">
        <v>3865</v>
      </c>
      <c r="I7" t="s">
        <v>1074</v>
      </c>
      <c r="K7" t="s">
        <v>1059</v>
      </c>
      <c r="M7" t="s">
        <v>1060</v>
      </c>
    </row>
    <row r="8" spans="1:14">
      <c r="A8" t="s">
        <v>121</v>
      </c>
      <c r="B8" t="s">
        <v>104</v>
      </c>
      <c r="C8">
        <v>28</v>
      </c>
      <c r="D8" t="s">
        <v>120</v>
      </c>
      <c r="E8" t="s">
        <v>122</v>
      </c>
      <c r="F8">
        <v>4083</v>
      </c>
    </row>
    <row r="9" spans="1:14">
      <c r="A9" t="s">
        <v>123</v>
      </c>
      <c r="B9" t="s">
        <v>104</v>
      </c>
      <c r="C9">
        <v>32</v>
      </c>
      <c r="D9" t="s">
        <v>105</v>
      </c>
      <c r="E9" t="s">
        <v>122</v>
      </c>
      <c r="F9">
        <v>6836</v>
      </c>
      <c r="I9">
        <f>COUNT(Table10[Category],Table10[age])</f>
        <v>15</v>
      </c>
      <c r="K9">
        <f>COUNTIF(Table10[Region],D3)</f>
        <v>6</v>
      </c>
      <c r="M9">
        <f>COUNTIFS(Table10[Region],D4,Table10[Category],E4)</f>
        <v>3</v>
      </c>
    </row>
    <row r="10" spans="1:14">
      <c r="A10" t="s">
        <v>124</v>
      </c>
      <c r="B10" t="s">
        <v>111</v>
      </c>
      <c r="C10">
        <v>69</v>
      </c>
      <c r="D10" t="s">
        <v>105</v>
      </c>
      <c r="E10" t="s">
        <v>122</v>
      </c>
      <c r="F10">
        <v>9470</v>
      </c>
    </row>
    <row r="11" spans="1:14">
      <c r="A11" t="s">
        <v>125</v>
      </c>
      <c r="B11" t="s">
        <v>104</v>
      </c>
      <c r="C11">
        <v>60</v>
      </c>
      <c r="D11" t="s">
        <v>112</v>
      </c>
      <c r="E11" t="s">
        <v>109</v>
      </c>
      <c r="F11">
        <v>7559</v>
      </c>
    </row>
    <row r="12" spans="1:14">
      <c r="A12" t="s">
        <v>126</v>
      </c>
      <c r="B12" t="s">
        <v>104</v>
      </c>
      <c r="C12">
        <v>36</v>
      </c>
      <c r="D12" t="s">
        <v>120</v>
      </c>
      <c r="E12" t="s">
        <v>117</v>
      </c>
      <c r="F12">
        <v>6540</v>
      </c>
      <c r="I12">
        <f>COUNT(Table10[Category],Table10[age])</f>
        <v>15</v>
      </c>
      <c r="L12" t="s">
        <v>1085</v>
      </c>
      <c r="N12" t="s">
        <v>1058</v>
      </c>
    </row>
    <row r="13" spans="1:14">
      <c r="A13" t="s">
        <v>127</v>
      </c>
      <c r="B13" t="s">
        <v>104</v>
      </c>
      <c r="C13">
        <v>29</v>
      </c>
      <c r="D13" t="s">
        <v>105</v>
      </c>
      <c r="E13" t="s">
        <v>106</v>
      </c>
      <c r="F13">
        <v>1465</v>
      </c>
    </row>
    <row r="14" spans="1:14">
      <c r="A14" t="s">
        <v>128</v>
      </c>
      <c r="B14" t="s">
        <v>104</v>
      </c>
      <c r="C14">
        <v>67</v>
      </c>
      <c r="D14" t="s">
        <v>129</v>
      </c>
      <c r="E14" t="s">
        <v>106</v>
      </c>
      <c r="F14">
        <v>9634</v>
      </c>
      <c r="L14">
        <f>AVERAGE(Table10[age])</f>
        <v>41.666666666666664</v>
      </c>
      <c r="N14">
        <f>AVERAGEIF(Table10[Region],D4,Table10[Profit])</f>
        <v>6139.5</v>
      </c>
    </row>
    <row r="15" spans="1:14">
      <c r="A15" t="s">
        <v>130</v>
      </c>
      <c r="B15" t="s">
        <v>111</v>
      </c>
      <c r="C15">
        <v>25</v>
      </c>
      <c r="D15" t="s">
        <v>105</v>
      </c>
      <c r="E15" t="s">
        <v>122</v>
      </c>
      <c r="F15">
        <v>6354</v>
      </c>
    </row>
    <row r="16" spans="1:14">
      <c r="A16" t="s">
        <v>131</v>
      </c>
      <c r="B16" t="s">
        <v>111</v>
      </c>
      <c r="C16">
        <v>24</v>
      </c>
      <c r="D16" t="s">
        <v>120</v>
      </c>
      <c r="E16" t="s">
        <v>117</v>
      </c>
      <c r="F16">
        <v>5255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7AE8-6C55-42DD-BCEE-4B20DADEA5AD}">
  <dimension ref="A1:N15"/>
  <sheetViews>
    <sheetView workbookViewId="0">
      <selection activeCell="N2" sqref="N2:N11"/>
    </sheetView>
  </sheetViews>
  <sheetFormatPr defaultRowHeight="14.5"/>
  <sheetData>
    <row r="1" spans="1:14" ht="72.5">
      <c r="A1" s="112" t="s">
        <v>1086</v>
      </c>
      <c r="B1" s="113" t="s">
        <v>1087</v>
      </c>
      <c r="C1" s="113" t="s">
        <v>1088</v>
      </c>
      <c r="D1" s="114" t="s">
        <v>1089</v>
      </c>
      <c r="E1" s="115" t="s">
        <v>1090</v>
      </c>
      <c r="F1" s="115" t="s">
        <v>1091</v>
      </c>
      <c r="G1" s="115" t="s">
        <v>1092</v>
      </c>
      <c r="H1" s="115" t="s">
        <v>1093</v>
      </c>
      <c r="I1" s="115" t="s">
        <v>1094</v>
      </c>
      <c r="J1" s="115" t="s">
        <v>1095</v>
      </c>
      <c r="K1" s="115" t="s">
        <v>1096</v>
      </c>
      <c r="L1" s="115" t="s">
        <v>1097</v>
      </c>
      <c r="M1" s="115" t="s">
        <v>1098</v>
      </c>
      <c r="N1" s="115" t="s">
        <v>1099</v>
      </c>
    </row>
    <row r="2" spans="1:14">
      <c r="A2" s="116" t="s">
        <v>1100</v>
      </c>
      <c r="B2" s="117">
        <v>5</v>
      </c>
      <c r="C2" s="117">
        <v>120000</v>
      </c>
      <c r="D2" s="118">
        <v>10000</v>
      </c>
      <c r="E2">
        <f>B2</f>
        <v>5</v>
      </c>
      <c r="F2">
        <f>C2+D2</f>
        <v>130000</v>
      </c>
      <c r="G2" s="119">
        <f>D2/C2</f>
        <v>8.3333333333333329E-2</v>
      </c>
      <c r="H2">
        <f>D2+C2</f>
        <v>130000</v>
      </c>
      <c r="I2" t="b">
        <f>F2=H2</f>
        <v>1</v>
      </c>
      <c r="J2" t="b">
        <f>D2&gt;C2</f>
        <v>0</v>
      </c>
      <c r="K2" t="b">
        <f>C14&lt;=B2</f>
        <v>1</v>
      </c>
      <c r="L2" t="b">
        <f>C15&gt;=C2</f>
        <v>0</v>
      </c>
      <c r="M2">
        <f>K2+L2</f>
        <v>1</v>
      </c>
      <c r="N2">
        <f>L2+M2</f>
        <v>1</v>
      </c>
    </row>
    <row r="3" spans="1:14">
      <c r="A3" s="116" t="s">
        <v>1101</v>
      </c>
      <c r="B3" s="117">
        <v>4</v>
      </c>
      <c r="C3" s="117">
        <v>135000</v>
      </c>
      <c r="D3" s="118">
        <v>12000</v>
      </c>
      <c r="E3">
        <f t="shared" ref="E3:E11" si="0">B3</f>
        <v>4</v>
      </c>
      <c r="F3">
        <f t="shared" ref="F3:F11" si="1">C3+D3</f>
        <v>147000</v>
      </c>
      <c r="G3" s="119">
        <f t="shared" ref="G3:G11" si="2">D3/C3</f>
        <v>8.8888888888888892E-2</v>
      </c>
      <c r="H3">
        <f t="shared" ref="H3:H11" si="3">D3+C3</f>
        <v>147000</v>
      </c>
      <c r="I3" t="b">
        <f t="shared" ref="I3:I11" si="4">F3=H3</f>
        <v>1</v>
      </c>
      <c r="J3" t="b">
        <f t="shared" ref="J3:J11" si="5">D3&gt;C3</f>
        <v>0</v>
      </c>
      <c r="K3" t="b">
        <f t="shared" ref="K3:K11" si="6">C15&lt;=B3</f>
        <v>0</v>
      </c>
      <c r="L3" t="b">
        <f t="shared" ref="L3:L11" si="7">C16&gt;=C3</f>
        <v>0</v>
      </c>
      <c r="M3">
        <f t="shared" ref="M3:M11" si="8">K3+L3</f>
        <v>0</v>
      </c>
      <c r="N3">
        <f t="shared" ref="N3:N11" si="9">L3+M3</f>
        <v>0</v>
      </c>
    </row>
    <row r="4" spans="1:14">
      <c r="A4" s="116" t="s">
        <v>1102</v>
      </c>
      <c r="B4" s="117">
        <v>2</v>
      </c>
      <c r="C4" s="117">
        <v>75000</v>
      </c>
      <c r="D4" s="118">
        <v>5000</v>
      </c>
      <c r="E4">
        <f t="shared" si="0"/>
        <v>2</v>
      </c>
      <c r="F4">
        <f t="shared" si="1"/>
        <v>80000</v>
      </c>
      <c r="G4" s="119">
        <f t="shared" si="2"/>
        <v>6.6666666666666666E-2</v>
      </c>
      <c r="H4">
        <f t="shared" si="3"/>
        <v>80000</v>
      </c>
      <c r="I4" t="b">
        <f t="shared" si="4"/>
        <v>1</v>
      </c>
      <c r="J4" t="b">
        <f t="shared" si="5"/>
        <v>0</v>
      </c>
      <c r="K4" t="b">
        <f t="shared" si="6"/>
        <v>1</v>
      </c>
      <c r="L4" t="b">
        <f t="shared" si="7"/>
        <v>0</v>
      </c>
      <c r="M4">
        <f t="shared" si="8"/>
        <v>1</v>
      </c>
      <c r="N4">
        <f t="shared" si="9"/>
        <v>1</v>
      </c>
    </row>
    <row r="5" spans="1:14">
      <c r="A5" s="116" t="s">
        <v>1103</v>
      </c>
      <c r="B5" s="117">
        <v>6</v>
      </c>
      <c r="C5" s="117">
        <v>110000</v>
      </c>
      <c r="D5" s="118">
        <v>8000</v>
      </c>
      <c r="E5">
        <f t="shared" si="0"/>
        <v>6</v>
      </c>
      <c r="F5">
        <f t="shared" si="1"/>
        <v>118000</v>
      </c>
      <c r="G5" s="119">
        <f t="shared" si="2"/>
        <v>7.2727272727272724E-2</v>
      </c>
      <c r="H5">
        <f t="shared" si="3"/>
        <v>118000</v>
      </c>
      <c r="I5" t="b">
        <f t="shared" si="4"/>
        <v>1</v>
      </c>
      <c r="J5" t="b">
        <f t="shared" si="5"/>
        <v>0</v>
      </c>
      <c r="K5" t="b">
        <f t="shared" si="6"/>
        <v>1</v>
      </c>
      <c r="L5" t="b">
        <f t="shared" si="7"/>
        <v>0</v>
      </c>
      <c r="M5">
        <f t="shared" si="8"/>
        <v>1</v>
      </c>
      <c r="N5">
        <f t="shared" si="9"/>
        <v>1</v>
      </c>
    </row>
    <row r="6" spans="1:14">
      <c r="A6" s="116" t="s">
        <v>1104</v>
      </c>
      <c r="B6" s="117">
        <v>3</v>
      </c>
      <c r="C6" s="117">
        <v>125000</v>
      </c>
      <c r="D6" s="118">
        <v>11000</v>
      </c>
      <c r="E6">
        <f t="shared" si="0"/>
        <v>3</v>
      </c>
      <c r="F6">
        <f t="shared" si="1"/>
        <v>136000</v>
      </c>
      <c r="G6" s="119">
        <f t="shared" si="2"/>
        <v>8.7999999999999995E-2</v>
      </c>
      <c r="H6">
        <f t="shared" si="3"/>
        <v>136000</v>
      </c>
      <c r="I6" t="b">
        <f t="shared" si="4"/>
        <v>1</v>
      </c>
      <c r="J6" t="b">
        <f t="shared" si="5"/>
        <v>0</v>
      </c>
      <c r="K6" t="b">
        <f t="shared" si="6"/>
        <v>1</v>
      </c>
      <c r="L6" t="b">
        <f t="shared" si="7"/>
        <v>0</v>
      </c>
      <c r="M6">
        <f t="shared" si="8"/>
        <v>1</v>
      </c>
      <c r="N6">
        <f t="shared" si="9"/>
        <v>1</v>
      </c>
    </row>
    <row r="7" spans="1:14">
      <c r="A7" s="116" t="s">
        <v>1105</v>
      </c>
      <c r="B7" s="117">
        <v>7</v>
      </c>
      <c r="C7" s="117">
        <v>90000</v>
      </c>
      <c r="D7" s="118">
        <v>7000</v>
      </c>
      <c r="E7">
        <f t="shared" si="0"/>
        <v>7</v>
      </c>
      <c r="F7">
        <f t="shared" si="1"/>
        <v>97000</v>
      </c>
      <c r="G7" s="119">
        <f t="shared" si="2"/>
        <v>7.7777777777777779E-2</v>
      </c>
      <c r="H7">
        <f t="shared" si="3"/>
        <v>97000</v>
      </c>
      <c r="I7" t="b">
        <f t="shared" si="4"/>
        <v>1</v>
      </c>
      <c r="J7" t="b">
        <f t="shared" si="5"/>
        <v>0</v>
      </c>
      <c r="K7" t="b">
        <f t="shared" si="6"/>
        <v>1</v>
      </c>
      <c r="L7" t="b">
        <f t="shared" si="7"/>
        <v>0</v>
      </c>
      <c r="M7">
        <f t="shared" si="8"/>
        <v>1</v>
      </c>
      <c r="N7">
        <f t="shared" si="9"/>
        <v>1</v>
      </c>
    </row>
    <row r="8" spans="1:14">
      <c r="A8" s="116" t="s">
        <v>1106</v>
      </c>
      <c r="B8" s="117">
        <v>10</v>
      </c>
      <c r="C8" s="117">
        <v>150000</v>
      </c>
      <c r="D8" s="118">
        <v>15000</v>
      </c>
      <c r="E8">
        <f t="shared" si="0"/>
        <v>10</v>
      </c>
      <c r="F8">
        <f t="shared" si="1"/>
        <v>165000</v>
      </c>
      <c r="G8" s="119">
        <f t="shared" si="2"/>
        <v>0.1</v>
      </c>
      <c r="H8">
        <f t="shared" si="3"/>
        <v>165000</v>
      </c>
      <c r="I8" t="b">
        <f t="shared" si="4"/>
        <v>1</v>
      </c>
      <c r="J8" t="b">
        <f t="shared" si="5"/>
        <v>0</v>
      </c>
      <c r="K8" t="b">
        <f t="shared" si="6"/>
        <v>1</v>
      </c>
      <c r="L8" t="b">
        <f t="shared" si="7"/>
        <v>0</v>
      </c>
      <c r="M8">
        <f t="shared" si="8"/>
        <v>1</v>
      </c>
      <c r="N8">
        <f t="shared" si="9"/>
        <v>1</v>
      </c>
    </row>
    <row r="9" spans="1:14">
      <c r="A9" s="116" t="s">
        <v>1107</v>
      </c>
      <c r="B9" s="117">
        <v>8</v>
      </c>
      <c r="C9" s="117">
        <v>130000</v>
      </c>
      <c r="D9" s="118">
        <v>13000</v>
      </c>
      <c r="E9">
        <f t="shared" si="0"/>
        <v>8</v>
      </c>
      <c r="F9">
        <f t="shared" si="1"/>
        <v>143000</v>
      </c>
      <c r="G9" s="119">
        <f t="shared" si="2"/>
        <v>0.1</v>
      </c>
      <c r="H9">
        <f t="shared" si="3"/>
        <v>143000</v>
      </c>
      <c r="I9" t="b">
        <f t="shared" si="4"/>
        <v>1</v>
      </c>
      <c r="J9" t="b">
        <f t="shared" si="5"/>
        <v>0</v>
      </c>
      <c r="K9" t="b">
        <f t="shared" si="6"/>
        <v>1</v>
      </c>
      <c r="L9" t="b">
        <f t="shared" si="7"/>
        <v>0</v>
      </c>
      <c r="M9">
        <f t="shared" si="8"/>
        <v>1</v>
      </c>
      <c r="N9">
        <f t="shared" si="9"/>
        <v>1</v>
      </c>
    </row>
    <row r="10" spans="1:14">
      <c r="A10" s="116" t="s">
        <v>1108</v>
      </c>
      <c r="B10" s="117">
        <v>3</v>
      </c>
      <c r="C10" s="117">
        <v>140000</v>
      </c>
      <c r="D10" s="118">
        <v>14000</v>
      </c>
      <c r="E10">
        <f t="shared" si="0"/>
        <v>3</v>
      </c>
      <c r="F10">
        <f t="shared" si="1"/>
        <v>154000</v>
      </c>
      <c r="G10" s="119">
        <f t="shared" si="2"/>
        <v>0.1</v>
      </c>
      <c r="H10">
        <f t="shared" si="3"/>
        <v>154000</v>
      </c>
      <c r="I10" t="b">
        <f t="shared" si="4"/>
        <v>1</v>
      </c>
      <c r="J10" t="b">
        <f t="shared" si="5"/>
        <v>0</v>
      </c>
      <c r="K10" t="b">
        <f t="shared" si="6"/>
        <v>1</v>
      </c>
      <c r="L10" t="b">
        <f t="shared" si="7"/>
        <v>0</v>
      </c>
      <c r="M10">
        <f t="shared" si="8"/>
        <v>1</v>
      </c>
      <c r="N10">
        <f t="shared" si="9"/>
        <v>1</v>
      </c>
    </row>
    <row r="11" spans="1:14" ht="15" thickBot="1">
      <c r="A11" s="120" t="s">
        <v>1109</v>
      </c>
      <c r="B11" s="121">
        <v>5</v>
      </c>
      <c r="C11" s="121">
        <v>115000</v>
      </c>
      <c r="D11" s="122">
        <v>9000</v>
      </c>
      <c r="E11">
        <f t="shared" si="0"/>
        <v>5</v>
      </c>
      <c r="F11">
        <f t="shared" si="1"/>
        <v>124000</v>
      </c>
      <c r="G11" s="119">
        <f t="shared" si="2"/>
        <v>7.8260869565217397E-2</v>
      </c>
      <c r="H11">
        <f t="shared" si="3"/>
        <v>124000</v>
      </c>
      <c r="I11" t="b">
        <f t="shared" si="4"/>
        <v>1</v>
      </c>
      <c r="J11" t="b">
        <f t="shared" si="5"/>
        <v>0</v>
      </c>
      <c r="K11" t="b">
        <f t="shared" si="6"/>
        <v>1</v>
      </c>
      <c r="L11" t="b">
        <f t="shared" si="7"/>
        <v>0</v>
      </c>
      <c r="M11">
        <f t="shared" si="8"/>
        <v>1</v>
      </c>
      <c r="N11">
        <f t="shared" si="9"/>
        <v>1</v>
      </c>
    </row>
    <row r="13" spans="1:14" ht="15" thickBot="1">
      <c r="A13" s="123" t="s">
        <v>1110</v>
      </c>
    </row>
    <row r="14" spans="1:14">
      <c r="A14" s="124" t="s">
        <v>1111</v>
      </c>
      <c r="B14" s="125"/>
      <c r="C14" s="126">
        <v>5</v>
      </c>
    </row>
    <row r="15" spans="1:14" ht="15" thickBot="1">
      <c r="A15" s="127" t="s">
        <v>1112</v>
      </c>
      <c r="B15" s="128"/>
      <c r="C15" s="126">
        <v>90000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281C-125D-4AC5-B935-1A0024FA9E7F}">
  <dimension ref="A1:Q66"/>
  <sheetViews>
    <sheetView topLeftCell="A45" zoomScale="80" zoomScaleNormal="80" workbookViewId="0">
      <selection activeCell="D19" sqref="D19"/>
    </sheetView>
  </sheetViews>
  <sheetFormatPr defaultRowHeight="14.5"/>
  <cols>
    <col min="7" max="7" width="39.7265625" bestFit="1" customWidth="1"/>
  </cols>
  <sheetData>
    <row r="1" spans="1:17" ht="20">
      <c r="A1" s="129" t="s">
        <v>1113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91"/>
      <c r="M1" s="91"/>
      <c r="N1" s="91"/>
      <c r="O1" s="91"/>
      <c r="P1" s="91"/>
      <c r="Q1" s="91"/>
    </row>
    <row r="2" spans="1:17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</row>
    <row r="3" spans="1:17">
      <c r="A3" s="233" t="s">
        <v>1114</v>
      </c>
      <c r="B3" s="233"/>
      <c r="C3" s="233"/>
      <c r="D3" s="91"/>
      <c r="E3" s="91"/>
      <c r="F3" s="130" t="s">
        <v>1115</v>
      </c>
      <c r="G3" s="131"/>
      <c r="H3" s="131"/>
      <c r="I3" s="131"/>
      <c r="J3" s="131"/>
      <c r="K3" s="131"/>
      <c r="L3" s="91"/>
      <c r="M3" s="91"/>
      <c r="N3" s="91"/>
      <c r="O3" s="91"/>
      <c r="P3" s="91"/>
      <c r="Q3" s="91"/>
    </row>
    <row r="4" spans="1:17">
      <c r="A4" s="132" t="s">
        <v>96</v>
      </c>
      <c r="B4" s="132" t="s">
        <v>74</v>
      </c>
      <c r="C4" s="132" t="s">
        <v>1116</v>
      </c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</row>
    <row r="5" spans="1:17">
      <c r="A5" s="133" t="s">
        <v>1117</v>
      </c>
      <c r="B5" s="134">
        <v>800</v>
      </c>
      <c r="C5" s="135" t="str">
        <f>IF(B5&gt;$G$5,"Yes","No")</f>
        <v>No</v>
      </c>
      <c r="D5" s="91"/>
      <c r="E5" s="91"/>
      <c r="F5" s="133" t="s">
        <v>1118</v>
      </c>
      <c r="G5" s="136">
        <v>1000</v>
      </c>
      <c r="H5" s="91"/>
      <c r="I5" s="91"/>
      <c r="J5" s="91"/>
      <c r="K5" s="91"/>
      <c r="L5" s="91"/>
      <c r="M5" s="91"/>
      <c r="N5" s="91"/>
      <c r="O5" s="91"/>
      <c r="P5" s="91"/>
      <c r="Q5" s="91"/>
    </row>
    <row r="6" spans="1:17">
      <c r="A6" s="133" t="s">
        <v>1119</v>
      </c>
      <c r="B6" s="134">
        <v>1200</v>
      </c>
      <c r="C6" s="135" t="str">
        <f t="shared" ref="C6:C11" si="0">IF(B6&gt;$G$5,"Yes","No")</f>
        <v>Yes</v>
      </c>
      <c r="D6" s="91"/>
      <c r="E6" s="91"/>
      <c r="F6" s="91"/>
      <c r="G6" s="91"/>
      <c r="H6" s="91"/>
      <c r="I6" s="91"/>
      <c r="J6" s="91"/>
      <c r="K6" s="91" t="str">
        <f>IF(B5&gt;G5,"Yes","No")</f>
        <v>No</v>
      </c>
      <c r="L6" s="91" t="str">
        <f>IF(B5&gt;=G5,"Yes","No")</f>
        <v>No</v>
      </c>
      <c r="M6" s="91"/>
      <c r="N6" s="91"/>
      <c r="O6" s="91"/>
      <c r="P6" s="91"/>
      <c r="Q6" s="91"/>
    </row>
    <row r="7" spans="1:17">
      <c r="A7" s="133" t="s">
        <v>1120</v>
      </c>
      <c r="B7" s="134">
        <v>1000</v>
      </c>
      <c r="C7" s="135" t="str">
        <f t="shared" si="0"/>
        <v>No</v>
      </c>
      <c r="D7" s="91"/>
      <c r="E7" s="91"/>
      <c r="F7" s="91"/>
      <c r="G7" s="91"/>
      <c r="H7" s="91"/>
      <c r="I7" s="91"/>
      <c r="J7" s="91"/>
      <c r="K7" s="91" t="str">
        <f t="shared" ref="K7:K13" si="1">IF(B6&gt;G6,"Yes","No")</f>
        <v>Yes</v>
      </c>
      <c r="L7" s="91" t="str">
        <f t="shared" ref="L7:L13" si="2">IF(B6&gt;=G6,"Yes","No")</f>
        <v>Yes</v>
      </c>
      <c r="M7" s="91"/>
      <c r="N7" s="91"/>
      <c r="O7" s="91"/>
      <c r="P7" s="91"/>
      <c r="Q7" s="91"/>
    </row>
    <row r="8" spans="1:17">
      <c r="A8" s="133" t="s">
        <v>1121</v>
      </c>
      <c r="B8" s="134">
        <v>750</v>
      </c>
      <c r="C8" s="135" t="str">
        <f t="shared" si="0"/>
        <v>No</v>
      </c>
      <c r="D8" s="91"/>
      <c r="E8" s="91"/>
      <c r="F8" s="91"/>
      <c r="G8" s="91"/>
      <c r="H8" s="91"/>
      <c r="I8" s="91"/>
      <c r="J8" s="91"/>
      <c r="K8" s="91" t="str">
        <f t="shared" si="1"/>
        <v>Yes</v>
      </c>
      <c r="L8" s="91" t="str">
        <f t="shared" si="2"/>
        <v>Yes</v>
      </c>
      <c r="M8" s="91"/>
      <c r="N8" s="91"/>
      <c r="O8" s="91"/>
      <c r="P8" s="91"/>
      <c r="Q8" s="91"/>
    </row>
    <row r="9" spans="1:17">
      <c r="A9" s="133" t="s">
        <v>1122</v>
      </c>
      <c r="B9" s="134">
        <v>500</v>
      </c>
      <c r="C9" s="135" t="str">
        <f t="shared" si="0"/>
        <v>No</v>
      </c>
      <c r="D9" s="91"/>
      <c r="E9" s="91"/>
      <c r="F9" s="110" t="s">
        <v>1123</v>
      </c>
      <c r="G9" s="91"/>
      <c r="H9" s="91"/>
      <c r="I9" s="91"/>
      <c r="J9" s="91"/>
      <c r="K9" s="91" t="str">
        <f t="shared" si="1"/>
        <v>Yes</v>
      </c>
      <c r="L9" s="91" t="str">
        <f t="shared" si="2"/>
        <v>Yes</v>
      </c>
      <c r="M9" s="91"/>
      <c r="N9" s="91"/>
      <c r="O9" s="91"/>
      <c r="P9" s="91"/>
      <c r="Q9" s="91"/>
    </row>
    <row r="10" spans="1:17">
      <c r="A10" s="133" t="s">
        <v>1124</v>
      </c>
      <c r="B10" s="134">
        <v>800</v>
      </c>
      <c r="C10" s="135" t="str">
        <f t="shared" si="0"/>
        <v>No</v>
      </c>
      <c r="D10" s="91"/>
      <c r="E10" s="91"/>
      <c r="F10" s="91"/>
      <c r="G10" s="91"/>
      <c r="H10" s="91"/>
      <c r="I10" s="91"/>
      <c r="J10" s="91"/>
      <c r="K10" s="91" t="str">
        <f>IF(B9&gt;G9,"Yes","No")</f>
        <v>Yes</v>
      </c>
      <c r="L10" s="91" t="str">
        <f t="shared" si="2"/>
        <v>Yes</v>
      </c>
      <c r="M10" s="91"/>
      <c r="N10" s="91"/>
      <c r="O10" s="91"/>
      <c r="P10" s="91"/>
      <c r="Q10" s="91"/>
    </row>
    <row r="11" spans="1:17" ht="15.5">
      <c r="A11" s="133" t="s">
        <v>1125</v>
      </c>
      <c r="B11" s="134">
        <v>1300</v>
      </c>
      <c r="C11" s="135" t="str">
        <f t="shared" si="0"/>
        <v>Yes</v>
      </c>
      <c r="D11" s="91"/>
      <c r="E11" s="91"/>
      <c r="F11" s="111" t="s">
        <v>1126</v>
      </c>
      <c r="G11" s="91"/>
      <c r="H11" s="91"/>
      <c r="I11" s="91"/>
      <c r="J11" s="91"/>
      <c r="K11" s="91" t="str">
        <f t="shared" si="1"/>
        <v>Yes</v>
      </c>
      <c r="L11" s="91" t="str">
        <f t="shared" si="2"/>
        <v>Yes</v>
      </c>
      <c r="M11" s="91"/>
      <c r="N11" s="91"/>
      <c r="O11" s="91"/>
      <c r="P11" s="91"/>
      <c r="Q11" s="91"/>
    </row>
    <row r="12" spans="1:17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 t="str">
        <f t="shared" si="1"/>
        <v>Yes</v>
      </c>
      <c r="L12" s="91" t="str">
        <f t="shared" si="2"/>
        <v>Yes</v>
      </c>
      <c r="M12" s="91"/>
      <c r="N12" s="91" t="s">
        <v>1127</v>
      </c>
      <c r="O12" s="91"/>
      <c r="P12" s="91"/>
      <c r="Q12" s="91"/>
    </row>
    <row r="13" spans="1:17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 t="str">
        <f t="shared" si="1"/>
        <v>No</v>
      </c>
      <c r="L13" s="91" t="str">
        <f t="shared" si="2"/>
        <v>Yes</v>
      </c>
      <c r="M13" s="91"/>
      <c r="N13" s="91"/>
      <c r="O13" s="91"/>
      <c r="P13" s="91"/>
      <c r="Q13" s="91"/>
    </row>
    <row r="14" spans="1:17" ht="15.5">
      <c r="A14" s="137" t="s">
        <v>1128</v>
      </c>
      <c r="B14" s="138"/>
      <c r="C14" s="138"/>
      <c r="D14" s="138"/>
      <c r="E14" s="138"/>
      <c r="F14" s="138"/>
      <c r="G14" s="138"/>
      <c r="H14" s="138"/>
      <c r="I14" s="91"/>
      <c r="J14" s="91"/>
      <c r="K14" s="91"/>
      <c r="L14" s="91"/>
      <c r="M14" s="91"/>
      <c r="N14" s="91"/>
      <c r="O14" s="91"/>
      <c r="P14" s="91"/>
      <c r="Q14" s="91"/>
    </row>
    <row r="15" spans="1:17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</row>
    <row r="16" spans="1:17" ht="15.5">
      <c r="A16" s="139" t="s">
        <v>96</v>
      </c>
      <c r="B16" s="139" t="s">
        <v>1129</v>
      </c>
      <c r="C16" s="139" t="s">
        <v>1130</v>
      </c>
      <c r="D16" s="91"/>
      <c r="E16" s="91"/>
      <c r="F16" s="91"/>
      <c r="G16" s="140" t="s">
        <v>1131</v>
      </c>
      <c r="H16" s="148">
        <v>85</v>
      </c>
      <c r="I16" s="91"/>
      <c r="J16" s="91"/>
      <c r="K16" s="91"/>
      <c r="L16" s="91"/>
      <c r="M16" s="91"/>
      <c r="N16" s="91"/>
      <c r="O16" s="91"/>
      <c r="P16" s="91"/>
      <c r="Q16" s="91"/>
    </row>
    <row r="17" spans="1:17">
      <c r="A17" s="141" t="s">
        <v>1000</v>
      </c>
      <c r="B17" s="141">
        <v>93</v>
      </c>
      <c r="C17" s="149" t="str">
        <f>IF(B17&gt;=H16,"Pass","Fail")</f>
        <v>Pass</v>
      </c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</row>
    <row r="18" spans="1:17">
      <c r="A18" s="141" t="s">
        <v>1132</v>
      </c>
      <c r="B18" s="141">
        <v>65</v>
      </c>
      <c r="C18" s="149" t="str">
        <f t="shared" ref="C18:C22" si="3">IF(B18&gt;=H17,"Pass","Fail")</f>
        <v>Pass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</row>
    <row r="19" spans="1:17">
      <c r="A19" s="141" t="s">
        <v>1133</v>
      </c>
      <c r="B19" s="141">
        <v>85</v>
      </c>
      <c r="C19" s="149" t="str">
        <f t="shared" si="3"/>
        <v>Pass</v>
      </c>
      <c r="D19" s="91"/>
      <c r="E19" s="91"/>
      <c r="F19" s="91"/>
      <c r="G19" s="91"/>
      <c r="H19" s="91"/>
      <c r="I19" s="91"/>
      <c r="J19" s="110" t="s">
        <v>1134</v>
      </c>
      <c r="K19" s="91"/>
      <c r="L19" s="91"/>
      <c r="M19" s="91"/>
      <c r="N19" s="91"/>
      <c r="O19" s="91"/>
      <c r="P19" s="91"/>
      <c r="Q19" s="91"/>
    </row>
    <row r="20" spans="1:17">
      <c r="A20" s="141" t="s">
        <v>1084</v>
      </c>
      <c r="B20" s="141">
        <v>79</v>
      </c>
      <c r="C20" s="149" t="str">
        <f t="shared" si="3"/>
        <v>Pass</v>
      </c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</row>
    <row r="21" spans="1:17" ht="15.5">
      <c r="A21" s="141" t="s">
        <v>1135</v>
      </c>
      <c r="B21" s="141">
        <v>90</v>
      </c>
      <c r="C21" s="149" t="str">
        <f t="shared" si="3"/>
        <v>Pass</v>
      </c>
      <c r="D21" s="91"/>
      <c r="E21" s="91"/>
      <c r="F21" s="91"/>
      <c r="G21" s="91"/>
      <c r="H21" s="91"/>
      <c r="I21" s="91"/>
      <c r="J21" s="111" t="s">
        <v>1136</v>
      </c>
      <c r="K21" s="91"/>
      <c r="L21" s="91"/>
      <c r="M21" s="91"/>
      <c r="N21" s="91"/>
      <c r="O21" s="91"/>
      <c r="P21" s="91"/>
      <c r="Q21" s="91"/>
    </row>
    <row r="22" spans="1:17">
      <c r="A22" s="141" t="s">
        <v>1137</v>
      </c>
      <c r="B22" s="141">
        <v>60</v>
      </c>
      <c r="C22" s="149" t="str">
        <f t="shared" si="3"/>
        <v>Pass</v>
      </c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</row>
    <row r="23" spans="1:17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</row>
    <row r="24" spans="1:17" ht="15.5">
      <c r="A24" s="137" t="s">
        <v>1138</v>
      </c>
      <c r="B24" s="138"/>
      <c r="C24" s="138"/>
      <c r="D24" s="138"/>
      <c r="E24" s="138"/>
      <c r="F24" s="138"/>
      <c r="G24" s="138"/>
      <c r="H24" s="138"/>
      <c r="I24" s="91"/>
      <c r="J24" s="91"/>
      <c r="K24" s="91"/>
      <c r="L24" s="91"/>
      <c r="M24" s="91"/>
      <c r="N24" s="91"/>
      <c r="O24" s="91"/>
      <c r="P24" s="91"/>
      <c r="Q24" s="91"/>
    </row>
    <row r="25" spans="1:17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</row>
    <row r="26" spans="1:17" ht="15.5">
      <c r="A26" s="139" t="s">
        <v>42</v>
      </c>
      <c r="B26" s="139" t="s">
        <v>1139</v>
      </c>
      <c r="C26" s="139" t="s">
        <v>204</v>
      </c>
      <c r="D26" s="139" t="s">
        <v>1140</v>
      </c>
      <c r="E26" s="142"/>
      <c r="F26" s="91"/>
      <c r="G26" s="140" t="s">
        <v>1141</v>
      </c>
      <c r="H26" s="133">
        <v>30</v>
      </c>
      <c r="I26" s="91"/>
      <c r="J26" s="91"/>
      <c r="K26" s="91"/>
      <c r="L26" s="91"/>
      <c r="M26" s="91"/>
      <c r="N26" s="91"/>
      <c r="O26" s="91"/>
      <c r="P26" s="91"/>
      <c r="Q26" s="91"/>
    </row>
    <row r="27" spans="1:17" ht="15.5">
      <c r="A27" s="141" t="s">
        <v>1142</v>
      </c>
      <c r="B27" s="143">
        <v>25</v>
      </c>
      <c r="C27" s="144">
        <v>500</v>
      </c>
      <c r="D27" s="145" t="str">
        <f>IF(B27&gt;=$H$26,C27*$H$27,"")</f>
        <v/>
      </c>
      <c r="E27" s="91"/>
      <c r="F27" s="91"/>
      <c r="G27" s="140" t="s">
        <v>1140</v>
      </c>
      <c r="H27" s="146">
        <v>0.2</v>
      </c>
      <c r="I27" s="91"/>
      <c r="J27" s="91" t="s">
        <v>1143</v>
      </c>
      <c r="K27" s="91"/>
      <c r="L27" s="91"/>
      <c r="M27" s="91"/>
      <c r="N27" s="91"/>
      <c r="O27" s="91"/>
      <c r="P27" s="91"/>
      <c r="Q27" s="91"/>
    </row>
    <row r="28" spans="1:17">
      <c r="A28" s="141" t="s">
        <v>1144</v>
      </c>
      <c r="B28" s="143">
        <v>50</v>
      </c>
      <c r="C28" s="144">
        <v>450</v>
      </c>
      <c r="D28" s="145">
        <f t="shared" ref="D28:D31" si="4">IF(B28&gt;=$H$26,C28*$H$27,"")</f>
        <v>90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</row>
    <row r="29" spans="1:17">
      <c r="A29" s="141" t="s">
        <v>1145</v>
      </c>
      <c r="B29" s="143">
        <v>30</v>
      </c>
      <c r="C29" s="144">
        <v>250</v>
      </c>
      <c r="D29" s="145">
        <f t="shared" si="4"/>
        <v>50</v>
      </c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</row>
    <row r="30" spans="1:17">
      <c r="A30" s="141" t="s">
        <v>1146</v>
      </c>
      <c r="B30" s="143">
        <v>20</v>
      </c>
      <c r="C30" s="144">
        <v>175</v>
      </c>
      <c r="D30" s="145" t="str">
        <f t="shared" si="4"/>
        <v/>
      </c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</row>
    <row r="31" spans="1:17">
      <c r="A31" s="141" t="s">
        <v>1147</v>
      </c>
      <c r="B31" s="143">
        <v>5</v>
      </c>
      <c r="C31" s="144">
        <v>600</v>
      </c>
      <c r="D31" s="145" t="str">
        <f t="shared" si="4"/>
        <v/>
      </c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</row>
    <row r="32" spans="1:17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</row>
    <row r="33" spans="1:17" ht="15.5">
      <c r="A33" s="147" t="s">
        <v>1148</v>
      </c>
      <c r="B33" s="138"/>
      <c r="C33" s="138" t="s">
        <v>1149</v>
      </c>
      <c r="D33" s="138"/>
      <c r="E33" s="138"/>
      <c r="F33" s="138"/>
      <c r="G33" s="138"/>
      <c r="H33" s="138"/>
      <c r="I33" s="91"/>
      <c r="J33" s="91"/>
      <c r="K33" s="91"/>
      <c r="L33" s="91"/>
      <c r="M33" s="91"/>
      <c r="N33" s="91"/>
      <c r="O33" s="91"/>
      <c r="P33" s="91"/>
      <c r="Q33" s="91"/>
    </row>
    <row r="34" spans="1:17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</row>
    <row r="35" spans="1:17" ht="15.5">
      <c r="A35" s="139" t="s">
        <v>96</v>
      </c>
      <c r="B35" s="139" t="s">
        <v>1150</v>
      </c>
      <c r="C35" s="139" t="s">
        <v>1151</v>
      </c>
      <c r="D35" s="139" t="s">
        <v>1130</v>
      </c>
      <c r="E35" s="91"/>
      <c r="F35" s="91"/>
      <c r="G35" s="140" t="s">
        <v>1152</v>
      </c>
      <c r="H35" s="133">
        <v>75</v>
      </c>
      <c r="I35" s="91"/>
      <c r="J35" s="91"/>
      <c r="K35" s="91"/>
      <c r="L35" s="91"/>
      <c r="M35" s="91"/>
      <c r="N35" s="91"/>
      <c r="O35" s="91"/>
      <c r="P35" s="91"/>
      <c r="Q35" s="91"/>
    </row>
    <row r="36" spans="1:17" ht="15.5">
      <c r="A36" s="141" t="s">
        <v>1153</v>
      </c>
      <c r="B36" s="141">
        <v>93</v>
      </c>
      <c r="C36" s="141">
        <v>80</v>
      </c>
      <c r="D36" s="141" t="str">
        <f>IF(AND(B36&gt;=$H$35,C36&gt;=$H$36),"Pass","Fail")</f>
        <v>Pass</v>
      </c>
      <c r="E36" s="91"/>
      <c r="F36" s="91"/>
      <c r="G36" s="140" t="s">
        <v>1154</v>
      </c>
      <c r="H36" s="133">
        <v>65</v>
      </c>
      <c r="I36" s="91"/>
      <c r="J36" s="91"/>
      <c r="K36" s="91"/>
      <c r="L36" s="91"/>
      <c r="M36" s="91"/>
      <c r="N36" s="91"/>
      <c r="O36" s="91"/>
      <c r="P36" s="91"/>
      <c r="Q36" s="91"/>
    </row>
    <row r="37" spans="1:17">
      <c r="A37" s="141" t="s">
        <v>1155</v>
      </c>
      <c r="B37" s="141">
        <v>65</v>
      </c>
      <c r="C37" s="141">
        <v>91</v>
      </c>
      <c r="D37" s="141" t="str">
        <f t="shared" ref="D37:D40" si="5">IF(AND(B37&gt;=$H$35,C37&gt;=$H$36),"Pass","Fail")</f>
        <v>Fail</v>
      </c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</row>
    <row r="38" spans="1:17">
      <c r="A38" s="141" t="s">
        <v>1156</v>
      </c>
      <c r="B38" s="141">
        <v>50</v>
      </c>
      <c r="C38" s="141">
        <v>72</v>
      </c>
      <c r="D38" s="141" t="str">
        <f t="shared" si="5"/>
        <v>Fail</v>
      </c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</row>
    <row r="39" spans="1:17">
      <c r="A39" s="141" t="s">
        <v>1157</v>
      </c>
      <c r="B39" s="141">
        <v>78</v>
      </c>
      <c r="C39" s="141">
        <v>93</v>
      </c>
      <c r="D39" s="141" t="str">
        <f t="shared" si="5"/>
        <v>Pass</v>
      </c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</row>
    <row r="40" spans="1:17">
      <c r="A40" s="141" t="s">
        <v>1158</v>
      </c>
      <c r="B40" s="141">
        <v>38</v>
      </c>
      <c r="C40" s="141">
        <v>30</v>
      </c>
      <c r="D40" s="141" t="str">
        <f t="shared" si="5"/>
        <v>Fail</v>
      </c>
      <c r="E40" s="91"/>
      <c r="F40" s="91" t="s">
        <v>1159</v>
      </c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</row>
    <row r="41" spans="1:17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</row>
    <row r="42" spans="1:17" ht="15.5">
      <c r="A42" s="147" t="s">
        <v>1160</v>
      </c>
      <c r="B42" s="138"/>
      <c r="C42" s="138"/>
      <c r="D42" s="138"/>
      <c r="E42" s="138"/>
      <c r="F42" s="138"/>
      <c r="G42" s="138"/>
      <c r="H42" s="138"/>
      <c r="I42" s="91"/>
      <c r="J42" s="91"/>
      <c r="K42" s="91"/>
      <c r="L42" s="91"/>
      <c r="M42" s="91"/>
      <c r="N42" s="91"/>
      <c r="O42" s="91"/>
      <c r="P42" s="91"/>
      <c r="Q42" s="91"/>
    </row>
    <row r="43" spans="1:17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</row>
    <row r="44" spans="1:17" ht="15.5">
      <c r="A44" s="139" t="s">
        <v>96</v>
      </c>
      <c r="B44" s="139" t="s">
        <v>1150</v>
      </c>
      <c r="C44" s="139" t="s">
        <v>1151</v>
      </c>
      <c r="D44" s="139" t="s">
        <v>1130</v>
      </c>
      <c r="E44" s="91"/>
      <c r="F44" s="91"/>
      <c r="G44" s="140" t="s">
        <v>1152</v>
      </c>
      <c r="H44" s="133">
        <v>75</v>
      </c>
      <c r="I44" s="91"/>
      <c r="J44" s="91"/>
      <c r="K44" s="91"/>
      <c r="L44" s="91"/>
      <c r="M44" s="91"/>
      <c r="N44" s="91"/>
      <c r="O44" s="91"/>
      <c r="P44" s="91"/>
      <c r="Q44" s="91"/>
    </row>
    <row r="45" spans="1:17" ht="15.5">
      <c r="A45" s="141" t="s">
        <v>1153</v>
      </c>
      <c r="B45" s="141">
        <v>93</v>
      </c>
      <c r="C45" s="141">
        <v>80</v>
      </c>
      <c r="D45" s="141" t="b">
        <f>OR(B45&gt;=$H$44,C45&gt;=$H$45)</f>
        <v>1</v>
      </c>
      <c r="E45" s="91" t="str">
        <f>IF(OR(B45&gt;=$H$44,C45&gt;=$H$45),"Pass","Fail")</f>
        <v>Pass</v>
      </c>
      <c r="F45" s="91"/>
      <c r="G45" s="140" t="s">
        <v>1154</v>
      </c>
      <c r="H45" s="133">
        <v>65</v>
      </c>
      <c r="I45" s="91"/>
      <c r="J45" s="91"/>
      <c r="K45" s="91"/>
      <c r="L45" s="91"/>
      <c r="M45" s="91"/>
      <c r="N45" s="91"/>
      <c r="O45" s="91"/>
      <c r="P45" s="91"/>
      <c r="Q45" s="91"/>
    </row>
    <row r="46" spans="1:17">
      <c r="A46" s="141" t="s">
        <v>1155</v>
      </c>
      <c r="B46" s="141">
        <v>65</v>
      </c>
      <c r="C46" s="141">
        <v>91</v>
      </c>
      <c r="D46" s="141" t="b">
        <f t="shared" ref="D46:D49" si="6">OR(B46&gt;=$H$44,C46&gt;=$H$45)</f>
        <v>1</v>
      </c>
      <c r="E46" s="91" t="str">
        <f t="shared" ref="E46:E49" si="7">IF(OR(B46&gt;=$H$44,C46&gt;=$H$45),"Pass","Fail")</f>
        <v>Pass</v>
      </c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</row>
    <row r="47" spans="1:17">
      <c r="A47" s="141" t="s">
        <v>1156</v>
      </c>
      <c r="B47" s="141">
        <v>50</v>
      </c>
      <c r="C47" s="141">
        <v>72</v>
      </c>
      <c r="D47" s="141" t="b">
        <f t="shared" si="6"/>
        <v>1</v>
      </c>
      <c r="E47" s="91" t="str">
        <f t="shared" si="7"/>
        <v>Pass</v>
      </c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</row>
    <row r="48" spans="1:17">
      <c r="A48" s="141" t="s">
        <v>1157</v>
      </c>
      <c r="B48" s="141">
        <v>78</v>
      </c>
      <c r="C48" s="141">
        <v>93</v>
      </c>
      <c r="D48" s="141" t="b">
        <f t="shared" si="6"/>
        <v>1</v>
      </c>
      <c r="E48" s="91" t="str">
        <f t="shared" si="7"/>
        <v>Pass</v>
      </c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</row>
    <row r="49" spans="1:17">
      <c r="A49" s="141" t="s">
        <v>1158</v>
      </c>
      <c r="B49" s="141">
        <v>38</v>
      </c>
      <c r="C49" s="141">
        <v>30</v>
      </c>
      <c r="D49" s="141" t="b">
        <f t="shared" si="6"/>
        <v>0</v>
      </c>
      <c r="E49" s="91" t="str">
        <f t="shared" si="7"/>
        <v>Fail</v>
      </c>
      <c r="F49" s="91"/>
      <c r="G49" s="91" t="s">
        <v>1161</v>
      </c>
      <c r="H49" s="91"/>
      <c r="I49" s="91"/>
      <c r="J49" s="91"/>
      <c r="K49" s="91"/>
      <c r="L49" s="91"/>
      <c r="M49" s="91"/>
      <c r="N49" s="91"/>
      <c r="O49" s="91"/>
      <c r="P49" s="91"/>
      <c r="Q49" s="91"/>
    </row>
    <row r="50" spans="1:17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</row>
    <row r="51" spans="1:17">
      <c r="A51" s="91"/>
      <c r="B51" s="91"/>
      <c r="C51" s="91"/>
      <c r="D51" s="91" t="s">
        <v>1162</v>
      </c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</row>
    <row r="52" spans="1:17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</row>
    <row r="53" spans="1:17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</row>
    <row r="54" spans="1:17" ht="15.5">
      <c r="A54" s="147" t="s">
        <v>1163</v>
      </c>
      <c r="B54" s="138"/>
      <c r="C54" s="138"/>
      <c r="D54" s="138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</row>
    <row r="55" spans="1:17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</row>
    <row r="56" spans="1:17" ht="15.5">
      <c r="A56" s="139" t="s">
        <v>96</v>
      </c>
      <c r="B56" s="139" t="s">
        <v>1150</v>
      </c>
      <c r="C56" s="139" t="s">
        <v>1151</v>
      </c>
      <c r="D56" s="139" t="s">
        <v>1130</v>
      </c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</row>
    <row r="57" spans="1:17">
      <c r="A57" s="141" t="s">
        <v>1153</v>
      </c>
      <c r="B57" s="141">
        <v>93</v>
      </c>
      <c r="C57" s="141">
        <v>80</v>
      </c>
      <c r="D57" s="141" t="b">
        <f>OR(B57&gt;=$H$44,C57&gt;=$H$45)</f>
        <v>1</v>
      </c>
      <c r="E57" s="91"/>
      <c r="F57" s="91" t="e">
        <f t="array" ref="F57:F62">_xlfn.SWITCH($C$56:$C$61,$C$57,"eighty")</f>
        <v>#N/A</v>
      </c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</row>
    <row r="58" spans="1:17">
      <c r="A58" s="141" t="s">
        <v>1155</v>
      </c>
      <c r="B58" s="141">
        <v>65</v>
      </c>
      <c r="C58" s="141">
        <v>91</v>
      </c>
      <c r="D58" s="141" t="b">
        <f t="shared" ref="D58:D61" si="8">OR(B58&gt;=$H$44,C58&gt;=$H$45)</f>
        <v>1</v>
      </c>
      <c r="E58" s="91"/>
      <c r="F58" s="91" t="str">
        <v>eighty</v>
      </c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</row>
    <row r="59" spans="1:17">
      <c r="A59" s="141" t="s">
        <v>1156</v>
      </c>
      <c r="B59" s="141">
        <v>50</v>
      </c>
      <c r="C59" s="141">
        <v>72</v>
      </c>
      <c r="D59" s="141" t="b">
        <f t="shared" si="8"/>
        <v>1</v>
      </c>
      <c r="E59" s="91"/>
      <c r="F59" s="91" t="e">
        <v>#N/A</v>
      </c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</row>
    <row r="60" spans="1:17">
      <c r="A60" s="141" t="s">
        <v>1157</v>
      </c>
      <c r="B60" s="141">
        <v>78</v>
      </c>
      <c r="C60" s="141">
        <v>93</v>
      </c>
      <c r="D60" s="141" t="b">
        <f t="shared" si="8"/>
        <v>1</v>
      </c>
      <c r="E60" s="91"/>
      <c r="F60" s="91" t="e">
        <v>#N/A</v>
      </c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</row>
    <row r="61" spans="1:17">
      <c r="A61" s="141" t="s">
        <v>1158</v>
      </c>
      <c r="B61" s="141">
        <v>38</v>
      </c>
      <c r="C61" s="141">
        <v>30</v>
      </c>
      <c r="D61" s="141" t="b">
        <f t="shared" si="8"/>
        <v>0</v>
      </c>
      <c r="E61" s="91"/>
      <c r="F61" s="91" t="e">
        <v>#N/A</v>
      </c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</row>
    <row r="62" spans="1:17">
      <c r="A62" s="91"/>
      <c r="B62" s="91"/>
      <c r="C62" s="91"/>
      <c r="D62" s="91"/>
      <c r="E62" s="91"/>
      <c r="F62" s="91" t="e">
        <v>#N/A</v>
      </c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</row>
    <row r="63" spans="1:17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</row>
    <row r="64" spans="1:17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</row>
    <row r="65" spans="1:17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</row>
    <row r="66" spans="1:17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</row>
  </sheetData>
  <mergeCells count="1">
    <mergeCell ref="A3:C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8422-E54D-4508-A187-9FCE7EA6C45A}">
  <dimension ref="A1:M26"/>
  <sheetViews>
    <sheetView topLeftCell="C1" zoomScale="90" zoomScaleNormal="90" workbookViewId="0">
      <selection activeCell="O6" sqref="O6"/>
    </sheetView>
  </sheetViews>
  <sheetFormatPr defaultRowHeight="14.5"/>
  <cols>
    <col min="4" max="4" width="25.7265625" bestFit="1" customWidth="1"/>
    <col min="5" max="6" width="10.6328125" bestFit="1" customWidth="1"/>
    <col min="7" max="7" width="23.08984375" bestFit="1" customWidth="1"/>
    <col min="8" max="8" width="23.08984375" customWidth="1"/>
    <col min="10" max="10" width="11.08984375" customWidth="1"/>
    <col min="11" max="11" width="10.1796875" customWidth="1"/>
    <col min="12" max="12" width="10.81640625" customWidth="1"/>
    <col min="13" max="13" width="10" customWidth="1"/>
  </cols>
  <sheetData>
    <row r="1" spans="1:13">
      <c r="A1" s="150" t="s">
        <v>1164</v>
      </c>
      <c r="B1" s="150" t="s">
        <v>1165</v>
      </c>
      <c r="C1" s="150" t="s">
        <v>340</v>
      </c>
      <c r="D1" s="150" t="s">
        <v>227</v>
      </c>
      <c r="E1" s="151" t="s">
        <v>1166</v>
      </c>
      <c r="F1" s="150" t="s">
        <v>1167</v>
      </c>
      <c r="G1" s="150" t="s">
        <v>1168</v>
      </c>
      <c r="H1" s="150"/>
      <c r="J1" s="150" t="s">
        <v>1169</v>
      </c>
      <c r="K1" s="150" t="s">
        <v>1170</v>
      </c>
      <c r="L1" s="150" t="s">
        <v>1148</v>
      </c>
      <c r="M1" s="150" t="s">
        <v>1160</v>
      </c>
    </row>
    <row r="2" spans="1:13">
      <c r="A2" s="80" t="s">
        <v>1171</v>
      </c>
      <c r="B2" s="80" t="s">
        <v>1172</v>
      </c>
      <c r="C2" s="80" t="s">
        <v>104</v>
      </c>
      <c r="D2" s="80" t="s">
        <v>1173</v>
      </c>
      <c r="E2" s="152">
        <v>96135.75</v>
      </c>
      <c r="F2" s="153">
        <v>44025</v>
      </c>
      <c r="G2" s="80" t="s">
        <v>344</v>
      </c>
      <c r="H2" s="80"/>
      <c r="J2" s="154" t="b">
        <f>E2&gt;90000</f>
        <v>1</v>
      </c>
      <c r="K2" s="154" t="str">
        <f>IF(J2,"Bonus","no Bonus")</f>
        <v>Bonus</v>
      </c>
      <c r="L2" s="154" t="str">
        <f>IF(AND(C2= "Female",D2 = "Training"), "Included","Excluded")</f>
        <v>Included</v>
      </c>
      <c r="M2" s="154" t="str">
        <f>IF(OR(C2="Female", D2 = "Training"), "Included","Excluded")</f>
        <v>Included</v>
      </c>
    </row>
    <row r="3" spans="1:13">
      <c r="A3" s="80" t="s">
        <v>1174</v>
      </c>
      <c r="B3" s="80" t="s">
        <v>1175</v>
      </c>
      <c r="C3" s="80" t="s">
        <v>104</v>
      </c>
      <c r="D3" s="80" t="s">
        <v>1176</v>
      </c>
      <c r="E3" s="152">
        <v>70649.460000000006</v>
      </c>
      <c r="F3" s="153">
        <v>43843</v>
      </c>
      <c r="G3" s="80" t="s">
        <v>350</v>
      </c>
      <c r="H3" s="80"/>
      <c r="J3" s="154" t="b">
        <f t="shared" ref="J3:J16" si="0">E3&gt;90000</f>
        <v>0</v>
      </c>
      <c r="K3" s="154" t="str">
        <f t="shared" ref="K3:K16" si="1">IF(J3,"Bonus","no Bonus")</f>
        <v>no Bonus</v>
      </c>
      <c r="L3" s="154" t="str">
        <f t="shared" ref="L3:L16" si="2">IF(AND(C3= "Female",D3 = "Training"), "Included","Excluded")</f>
        <v>Excluded</v>
      </c>
      <c r="M3" s="154" t="str">
        <f t="shared" ref="M3:M16" si="3">IF(OR(C3="Female", D3 = "Training"), "Included","Excluded")</f>
        <v>Included</v>
      </c>
    </row>
    <row r="4" spans="1:13">
      <c r="A4" s="80" t="s">
        <v>1177</v>
      </c>
      <c r="B4" s="80" t="s">
        <v>1178</v>
      </c>
      <c r="C4" s="80" t="s">
        <v>104</v>
      </c>
      <c r="D4" s="80" t="s">
        <v>1176</v>
      </c>
      <c r="E4" s="152">
        <v>80695.740000000005</v>
      </c>
      <c r="F4" s="153">
        <v>43360</v>
      </c>
      <c r="G4" s="80" t="s">
        <v>344</v>
      </c>
      <c r="H4" s="80"/>
      <c r="J4" s="154" t="b">
        <f t="shared" si="0"/>
        <v>0</v>
      </c>
      <c r="K4" s="154" t="str">
        <f t="shared" si="1"/>
        <v>no Bonus</v>
      </c>
      <c r="L4" s="154" t="str">
        <f t="shared" si="2"/>
        <v>Excluded</v>
      </c>
      <c r="M4" s="154" t="str">
        <f t="shared" si="3"/>
        <v>Included</v>
      </c>
    </row>
    <row r="5" spans="1:13">
      <c r="A5" s="80" t="s">
        <v>1177</v>
      </c>
      <c r="B5" s="80" t="s">
        <v>1178</v>
      </c>
      <c r="C5" s="80" t="s">
        <v>104</v>
      </c>
      <c r="D5" s="80" t="s">
        <v>1176</v>
      </c>
      <c r="E5" s="152">
        <v>80695.740000000005</v>
      </c>
      <c r="F5" s="153">
        <v>43360</v>
      </c>
      <c r="G5" s="80" t="s">
        <v>344</v>
      </c>
      <c r="H5" s="80"/>
      <c r="J5" s="154" t="b">
        <f t="shared" si="0"/>
        <v>0</v>
      </c>
      <c r="K5" s="154" t="str">
        <f t="shared" si="1"/>
        <v>no Bonus</v>
      </c>
      <c r="L5" s="154" t="str">
        <f t="shared" si="2"/>
        <v>Excluded</v>
      </c>
      <c r="M5" s="154" t="str">
        <f t="shared" si="3"/>
        <v>Included</v>
      </c>
    </row>
    <row r="6" spans="1:13">
      <c r="A6" s="80" t="s">
        <v>1179</v>
      </c>
      <c r="B6" s="80" t="s">
        <v>1180</v>
      </c>
      <c r="C6" s="80" t="s">
        <v>111</v>
      </c>
      <c r="D6" s="80" t="s">
        <v>1181</v>
      </c>
      <c r="E6" s="152">
        <v>120000</v>
      </c>
      <c r="F6" s="153">
        <v>43416</v>
      </c>
      <c r="G6" s="80" t="s">
        <v>1182</v>
      </c>
      <c r="H6" s="80"/>
      <c r="J6" s="154" t="b">
        <f t="shared" si="0"/>
        <v>1</v>
      </c>
      <c r="K6" s="154" t="str">
        <f t="shared" si="1"/>
        <v>Bonus</v>
      </c>
      <c r="L6" s="154" t="str">
        <f t="shared" si="2"/>
        <v>Excluded</v>
      </c>
      <c r="M6" s="154" t="str">
        <f t="shared" si="3"/>
        <v>Excluded</v>
      </c>
    </row>
    <row r="7" spans="1:13">
      <c r="A7" s="80" t="s">
        <v>1183</v>
      </c>
      <c r="B7" s="80" t="s">
        <v>1184</v>
      </c>
      <c r="C7" s="80" t="s">
        <v>104</v>
      </c>
      <c r="D7" s="80" t="s">
        <v>1185</v>
      </c>
      <c r="E7" s="152">
        <v>67905.8</v>
      </c>
      <c r="F7" s="153">
        <v>44194</v>
      </c>
      <c r="G7" s="80" t="s">
        <v>1182</v>
      </c>
      <c r="H7" s="80"/>
      <c r="J7" s="154" t="b">
        <f t="shared" si="0"/>
        <v>0</v>
      </c>
      <c r="K7" s="154" t="str">
        <f t="shared" si="1"/>
        <v>no Bonus</v>
      </c>
      <c r="L7" s="154" t="str">
        <f t="shared" si="2"/>
        <v>Excluded</v>
      </c>
      <c r="M7" s="154" t="str">
        <f t="shared" si="3"/>
        <v>Included</v>
      </c>
    </row>
    <row r="8" spans="1:13">
      <c r="A8" s="80" t="s">
        <v>1186</v>
      </c>
      <c r="B8" s="80" t="s">
        <v>1187</v>
      </c>
      <c r="C8" s="80" t="s">
        <v>104</v>
      </c>
      <c r="D8" s="80" t="s">
        <v>1176</v>
      </c>
      <c r="E8" s="152">
        <v>68980.52</v>
      </c>
      <c r="F8" s="153">
        <v>43494</v>
      </c>
      <c r="G8" s="80" t="s">
        <v>1182</v>
      </c>
      <c r="H8" s="80"/>
      <c r="J8" s="154" t="b">
        <f t="shared" si="0"/>
        <v>0</v>
      </c>
      <c r="K8" s="154" t="str">
        <f t="shared" si="1"/>
        <v>no Bonus</v>
      </c>
      <c r="L8" s="154" t="str">
        <f t="shared" si="2"/>
        <v>Excluded</v>
      </c>
      <c r="M8" s="154" t="str">
        <f t="shared" si="3"/>
        <v>Included</v>
      </c>
    </row>
    <row r="9" spans="1:13">
      <c r="A9" s="80" t="s">
        <v>1188</v>
      </c>
      <c r="B9" s="80" t="s">
        <v>1189</v>
      </c>
      <c r="C9" s="80" t="s">
        <v>104</v>
      </c>
      <c r="D9" s="80" t="s">
        <v>1190</v>
      </c>
      <c r="E9" s="152">
        <v>63705.4</v>
      </c>
      <c r="F9" s="153">
        <v>43682</v>
      </c>
      <c r="G9" s="80" t="s">
        <v>1191</v>
      </c>
      <c r="H9" s="80"/>
      <c r="J9" s="154" t="b">
        <f t="shared" si="0"/>
        <v>0</v>
      </c>
      <c r="K9" s="154" t="str">
        <f t="shared" si="1"/>
        <v>no Bonus</v>
      </c>
      <c r="L9" s="154" t="str">
        <f t="shared" si="2"/>
        <v>Excluded</v>
      </c>
      <c r="M9" s="154" t="str">
        <f t="shared" si="3"/>
        <v>Included</v>
      </c>
    </row>
    <row r="10" spans="1:13">
      <c r="A10" s="80" t="s">
        <v>1192</v>
      </c>
      <c r="B10" s="80" t="s">
        <v>1193</v>
      </c>
      <c r="C10" s="80" t="s">
        <v>104</v>
      </c>
      <c r="D10" s="80" t="s">
        <v>1194</v>
      </c>
      <c r="E10" s="152">
        <v>114177.23</v>
      </c>
      <c r="F10" s="153">
        <v>43908</v>
      </c>
      <c r="G10" s="80" t="s">
        <v>1195</v>
      </c>
      <c r="H10" s="80"/>
      <c r="J10" s="154" t="b">
        <f t="shared" si="0"/>
        <v>1</v>
      </c>
      <c r="K10" s="154" t="str">
        <f t="shared" si="1"/>
        <v>Bonus</v>
      </c>
      <c r="L10" s="154" t="str">
        <f t="shared" si="2"/>
        <v>Excluded</v>
      </c>
      <c r="M10" s="154" t="str">
        <f t="shared" si="3"/>
        <v>Included</v>
      </c>
    </row>
    <row r="11" spans="1:13">
      <c r="A11" s="80" t="s">
        <v>1196</v>
      </c>
      <c r="B11" s="80" t="s">
        <v>1197</v>
      </c>
      <c r="C11" s="80" t="s">
        <v>111</v>
      </c>
      <c r="D11" s="80" t="s">
        <v>1190</v>
      </c>
      <c r="E11" s="152">
        <v>29774.76</v>
      </c>
      <c r="F11" s="153">
        <v>44105</v>
      </c>
      <c r="G11" s="80" t="s">
        <v>1195</v>
      </c>
      <c r="H11" s="80"/>
      <c r="J11" s="154" t="b">
        <f t="shared" si="0"/>
        <v>0</v>
      </c>
      <c r="K11" s="154" t="str">
        <f t="shared" si="1"/>
        <v>no Bonus</v>
      </c>
      <c r="L11" s="154" t="str">
        <f t="shared" si="2"/>
        <v>Excluded</v>
      </c>
      <c r="M11" s="154" t="str">
        <f t="shared" si="3"/>
        <v>Excluded</v>
      </c>
    </row>
    <row r="12" spans="1:13">
      <c r="A12" s="80" t="s">
        <v>1198</v>
      </c>
      <c r="B12" s="80" t="s">
        <v>1199</v>
      </c>
      <c r="C12" s="80" t="s">
        <v>111</v>
      </c>
      <c r="D12" s="80" t="s">
        <v>1194</v>
      </c>
      <c r="E12" s="152">
        <v>52963.65</v>
      </c>
      <c r="F12" s="153">
        <v>44288</v>
      </c>
      <c r="G12" s="80" t="s">
        <v>1200</v>
      </c>
      <c r="H12" s="80"/>
      <c r="J12" s="154" t="b">
        <f t="shared" si="0"/>
        <v>0</v>
      </c>
      <c r="K12" s="154" t="str">
        <f t="shared" si="1"/>
        <v>no Bonus</v>
      </c>
      <c r="L12" s="154" t="str">
        <f t="shared" si="2"/>
        <v>Excluded</v>
      </c>
      <c r="M12" s="154" t="str">
        <f t="shared" si="3"/>
        <v>Excluded</v>
      </c>
    </row>
    <row r="13" spans="1:13">
      <c r="A13" s="80" t="s">
        <v>1201</v>
      </c>
      <c r="B13" s="80" t="s">
        <v>1202</v>
      </c>
      <c r="C13" s="80" t="s">
        <v>111</v>
      </c>
      <c r="D13" s="80" t="s">
        <v>1203</v>
      </c>
      <c r="E13" s="152">
        <v>50310.09</v>
      </c>
      <c r="F13" s="153">
        <v>44285</v>
      </c>
      <c r="G13" s="80" t="s">
        <v>1191</v>
      </c>
      <c r="H13" s="80"/>
      <c r="J13" s="154" t="b">
        <f t="shared" si="0"/>
        <v>0</v>
      </c>
      <c r="K13" s="154" t="str">
        <f t="shared" si="1"/>
        <v>no Bonus</v>
      </c>
      <c r="L13" s="154" t="str">
        <f t="shared" si="2"/>
        <v>Excluded</v>
      </c>
      <c r="M13" s="154" t="str">
        <f t="shared" si="3"/>
        <v>Excluded</v>
      </c>
    </row>
    <row r="14" spans="1:13">
      <c r="A14" s="80" t="s">
        <v>1204</v>
      </c>
      <c r="B14" s="80" t="s">
        <v>1205</v>
      </c>
      <c r="C14" s="80" t="s">
        <v>104</v>
      </c>
      <c r="D14" s="80" t="s">
        <v>1206</v>
      </c>
      <c r="E14" s="152">
        <v>84309.95</v>
      </c>
      <c r="F14" s="153">
        <v>44501</v>
      </c>
      <c r="G14" s="80" t="s">
        <v>1182</v>
      </c>
      <c r="H14" s="80"/>
      <c r="J14" s="154" t="b">
        <f t="shared" si="0"/>
        <v>0</v>
      </c>
      <c r="K14" s="154" t="str">
        <f t="shared" si="1"/>
        <v>no Bonus</v>
      </c>
      <c r="L14" s="154" t="str">
        <f t="shared" si="2"/>
        <v>Excluded</v>
      </c>
      <c r="M14" s="154" t="str">
        <f t="shared" si="3"/>
        <v>Included</v>
      </c>
    </row>
    <row r="15" spans="1:13">
      <c r="A15" s="80" t="s">
        <v>1207</v>
      </c>
      <c r="B15" s="80" t="s">
        <v>1208</v>
      </c>
      <c r="C15" s="80" t="s">
        <v>111</v>
      </c>
      <c r="D15" s="80" t="s">
        <v>1194</v>
      </c>
      <c r="E15" s="152">
        <v>35936.31</v>
      </c>
      <c r="F15" s="153">
        <v>43241</v>
      </c>
      <c r="G15" s="80" t="s">
        <v>1209</v>
      </c>
      <c r="H15" s="80"/>
      <c r="J15" s="154" t="b">
        <f>E15&gt;90000</f>
        <v>0</v>
      </c>
      <c r="K15" s="154" t="str">
        <f t="shared" si="1"/>
        <v>no Bonus</v>
      </c>
      <c r="L15" s="154" t="str">
        <f t="shared" si="2"/>
        <v>Excluded</v>
      </c>
      <c r="M15" s="154" t="str">
        <f t="shared" si="3"/>
        <v>Excluded</v>
      </c>
    </row>
    <row r="16" spans="1:13">
      <c r="A16" s="80" t="s">
        <v>1210</v>
      </c>
      <c r="B16" s="80" t="s">
        <v>1211</v>
      </c>
      <c r="C16" s="80" t="s">
        <v>111</v>
      </c>
      <c r="D16" s="80" t="s">
        <v>1181</v>
      </c>
      <c r="E16" s="152">
        <v>112645.99</v>
      </c>
      <c r="F16" s="153">
        <v>43759</v>
      </c>
      <c r="G16" s="80" t="s">
        <v>1212</v>
      </c>
      <c r="H16" s="80"/>
      <c r="J16" s="154" t="b">
        <f t="shared" si="0"/>
        <v>1</v>
      </c>
      <c r="K16" s="154" t="str">
        <f t="shared" si="1"/>
        <v>Bonus</v>
      </c>
      <c r="L16" s="154" t="str">
        <f t="shared" si="2"/>
        <v>Excluded</v>
      </c>
      <c r="M16" s="154" t="str">
        <f t="shared" si="3"/>
        <v>Excluded</v>
      </c>
    </row>
    <row r="17" spans="1:13">
      <c r="A17" s="80" t="s">
        <v>1213</v>
      </c>
      <c r="B17" s="80" t="s">
        <v>1214</v>
      </c>
      <c r="C17" s="80" t="s">
        <v>111</v>
      </c>
      <c r="D17" s="80" t="s">
        <v>1194</v>
      </c>
      <c r="E17" s="152">
        <v>91645.04</v>
      </c>
      <c r="F17" s="153">
        <v>44223</v>
      </c>
      <c r="G17" s="80" t="s">
        <v>1215</v>
      </c>
      <c r="H17" s="80"/>
      <c r="M17" s="3"/>
    </row>
    <row r="18" spans="1:13">
      <c r="A18" s="80" t="s">
        <v>1216</v>
      </c>
      <c r="B18" s="80" t="s">
        <v>1217</v>
      </c>
      <c r="C18" s="80" t="s">
        <v>104</v>
      </c>
      <c r="D18" s="80" t="s">
        <v>1181</v>
      </c>
      <c r="E18" s="152">
        <v>97105.19</v>
      </c>
      <c r="F18" s="153">
        <v>44425</v>
      </c>
      <c r="G18" s="80" t="s">
        <v>1200</v>
      </c>
      <c r="H18" s="80"/>
    </row>
    <row r="19" spans="1:13">
      <c r="J19" s="3" t="s">
        <v>1218</v>
      </c>
    </row>
    <row r="21" spans="1:13">
      <c r="J21" s="3" t="s">
        <v>1219</v>
      </c>
    </row>
    <row r="23" spans="1:13" ht="15.5">
      <c r="J23" s="1" t="s">
        <v>1220</v>
      </c>
    </row>
    <row r="26" spans="1:13" ht="15.5">
      <c r="J26" s="1" t="s">
        <v>1221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D67D-23E4-4FBE-8791-77B316FFAC7C}">
  <dimension ref="A1:N18"/>
  <sheetViews>
    <sheetView workbookViewId="0">
      <selection activeCell="N2" sqref="N2:N18"/>
    </sheetView>
  </sheetViews>
  <sheetFormatPr defaultRowHeight="14.5"/>
  <cols>
    <col min="6" max="6" width="19.1796875" customWidth="1"/>
    <col min="13" max="13" width="14.7265625" customWidth="1"/>
    <col min="14" max="14" width="13.90625" customWidth="1"/>
  </cols>
  <sheetData>
    <row r="1" spans="1:14">
      <c r="A1" s="155" t="s">
        <v>1222</v>
      </c>
      <c r="B1" s="155" t="s">
        <v>5</v>
      </c>
      <c r="C1" s="155" t="s">
        <v>1223</v>
      </c>
      <c r="D1" s="156" t="s">
        <v>1224</v>
      </c>
      <c r="J1" s="155" t="s">
        <v>1222</v>
      </c>
      <c r="K1" s="155" t="s">
        <v>5</v>
      </c>
      <c r="L1" s="155" t="s">
        <v>1223</v>
      </c>
      <c r="M1" s="159" t="s">
        <v>1241</v>
      </c>
      <c r="N1" s="159" t="s">
        <v>1242</v>
      </c>
    </row>
    <row r="2" spans="1:14">
      <c r="A2" s="157" t="s">
        <v>1071</v>
      </c>
      <c r="B2" s="157" t="s">
        <v>152</v>
      </c>
      <c r="C2" s="157">
        <v>4890</v>
      </c>
      <c r="D2" t="str">
        <f>IF(C2&gt;4000,"High Revenue","Low Revenue")</f>
        <v>High Revenue</v>
      </c>
      <c r="J2" s="157" t="s">
        <v>1071</v>
      </c>
      <c r="K2" s="157" t="s">
        <v>152</v>
      </c>
      <c r="L2" s="157">
        <v>4890</v>
      </c>
      <c r="M2" s="160" t="str">
        <f>IF(L2&gt;4000,"High Revenue", " Low Revenue")</f>
        <v>High Revenue</v>
      </c>
      <c r="N2" t="str">
        <f>IF(C2&gt;4500,"Amazing",IF(C2&gt;4000,"Very Good",IF(C2&gt;3500,"Good",IF(C2&gt;3000,"Bad","Very Bad"))))</f>
        <v>Amazing</v>
      </c>
    </row>
    <row r="3" spans="1:14">
      <c r="A3" s="157" t="s">
        <v>1071</v>
      </c>
      <c r="B3" s="157" t="s">
        <v>149</v>
      </c>
      <c r="C3" s="157">
        <v>4678</v>
      </c>
      <c r="D3" t="str">
        <f t="shared" ref="D3:D18" si="0">IF(C3&gt;4000,"High Revenue","Low Revenue")</f>
        <v>High Revenue</v>
      </c>
      <c r="J3" s="157" t="s">
        <v>1071</v>
      </c>
      <c r="K3" s="157" t="s">
        <v>149</v>
      </c>
      <c r="L3" s="157">
        <v>4678</v>
      </c>
      <c r="M3" s="160" t="str">
        <f t="shared" ref="M3:M18" si="1">IF(L3&gt;4000,"High Revenue", " Low Revenue")</f>
        <v>High Revenue</v>
      </c>
      <c r="N3" t="str">
        <f t="shared" ref="N3:N18" si="2">IF(C3&gt;4500,"Amazing",IF(C3&gt;4000,"Very Good",IF(C3&gt;3500,"Good",IF(C3&gt;3000,"Bad","Very Bad"))))</f>
        <v>Amazing</v>
      </c>
    </row>
    <row r="4" spans="1:14">
      <c r="A4" s="157" t="s">
        <v>1071</v>
      </c>
      <c r="B4" s="157" t="s">
        <v>150</v>
      </c>
      <c r="C4" s="157">
        <v>4865</v>
      </c>
      <c r="D4" t="str">
        <f t="shared" si="0"/>
        <v>High Revenue</v>
      </c>
      <c r="J4" s="157" t="s">
        <v>1071</v>
      </c>
      <c r="K4" s="157" t="s">
        <v>150</v>
      </c>
      <c r="L4" s="157">
        <v>4865</v>
      </c>
      <c r="M4" s="160" t="str">
        <f t="shared" si="1"/>
        <v>High Revenue</v>
      </c>
      <c r="N4" t="str">
        <f t="shared" si="2"/>
        <v>Amazing</v>
      </c>
    </row>
    <row r="5" spans="1:14">
      <c r="A5" s="157" t="s">
        <v>1071</v>
      </c>
      <c r="B5" s="157" t="s">
        <v>154</v>
      </c>
      <c r="C5" s="157">
        <v>3600</v>
      </c>
      <c r="D5" t="str">
        <f t="shared" si="0"/>
        <v>Low Revenue</v>
      </c>
      <c r="J5" s="157" t="s">
        <v>1071</v>
      </c>
      <c r="K5" s="157" t="s">
        <v>154</v>
      </c>
      <c r="L5" s="157">
        <v>3600</v>
      </c>
      <c r="M5" s="160" t="str">
        <f t="shared" si="1"/>
        <v xml:space="preserve"> Low Revenue</v>
      </c>
      <c r="N5" t="str">
        <f t="shared" si="2"/>
        <v>Good</v>
      </c>
    </row>
    <row r="6" spans="1:14">
      <c r="A6" s="157" t="s">
        <v>1072</v>
      </c>
      <c r="B6" s="157" t="s">
        <v>1225</v>
      </c>
      <c r="C6" s="157">
        <v>3220</v>
      </c>
      <c r="D6" t="str">
        <f t="shared" si="0"/>
        <v>Low Revenue</v>
      </c>
      <c r="J6" s="157" t="s">
        <v>1072</v>
      </c>
      <c r="K6" s="157" t="s">
        <v>1225</v>
      </c>
      <c r="L6" s="157">
        <v>3220</v>
      </c>
      <c r="M6" s="160" t="str">
        <f t="shared" si="1"/>
        <v xml:space="preserve"> Low Revenue</v>
      </c>
      <c r="N6" t="str">
        <f t="shared" si="2"/>
        <v>Bad</v>
      </c>
    </row>
    <row r="7" spans="1:14">
      <c r="A7" s="157" t="s">
        <v>1072</v>
      </c>
      <c r="B7" s="157" t="s">
        <v>152</v>
      </c>
      <c r="C7" s="157">
        <v>4321</v>
      </c>
      <c r="D7" t="str">
        <f t="shared" si="0"/>
        <v>High Revenue</v>
      </c>
      <c r="J7" s="157" t="s">
        <v>1072</v>
      </c>
      <c r="K7" s="157" t="s">
        <v>152</v>
      </c>
      <c r="L7" s="157">
        <v>4321</v>
      </c>
      <c r="M7" s="160" t="str">
        <f t="shared" si="1"/>
        <v>High Revenue</v>
      </c>
      <c r="N7" t="str">
        <f t="shared" si="2"/>
        <v>Very Good</v>
      </c>
    </row>
    <row r="8" spans="1:14">
      <c r="A8" s="157" t="s">
        <v>1072</v>
      </c>
      <c r="B8" s="157" t="s">
        <v>149</v>
      </c>
      <c r="C8" s="157">
        <v>4231</v>
      </c>
      <c r="D8" t="str">
        <f t="shared" si="0"/>
        <v>High Revenue</v>
      </c>
      <c r="F8" s="158" t="s">
        <v>1226</v>
      </c>
      <c r="G8" s="158" t="s">
        <v>1227</v>
      </c>
      <c r="J8" s="157" t="s">
        <v>1072</v>
      </c>
      <c r="K8" s="157" t="s">
        <v>149</v>
      </c>
      <c r="L8" s="157">
        <v>4231</v>
      </c>
      <c r="M8" s="160" t="str">
        <f t="shared" si="1"/>
        <v>High Revenue</v>
      </c>
      <c r="N8" t="str">
        <f t="shared" si="2"/>
        <v>Very Good</v>
      </c>
    </row>
    <row r="9" spans="1:14">
      <c r="A9" s="157" t="s">
        <v>1072</v>
      </c>
      <c r="B9" s="157" t="s">
        <v>150</v>
      </c>
      <c r="C9" s="157">
        <v>4673</v>
      </c>
      <c r="D9" t="str">
        <f t="shared" si="0"/>
        <v>High Revenue</v>
      </c>
      <c r="F9" s="157" t="s">
        <v>1228</v>
      </c>
      <c r="G9" s="157" t="s">
        <v>1229</v>
      </c>
      <c r="J9" s="157" t="s">
        <v>1072</v>
      </c>
      <c r="K9" s="157" t="s">
        <v>150</v>
      </c>
      <c r="L9" s="157">
        <v>4673</v>
      </c>
      <c r="M9" s="160" t="str">
        <f t="shared" si="1"/>
        <v>High Revenue</v>
      </c>
      <c r="N9" t="str">
        <f t="shared" si="2"/>
        <v>Amazing</v>
      </c>
    </row>
    <row r="10" spans="1:14">
      <c r="A10" s="157" t="s">
        <v>1072</v>
      </c>
      <c r="B10" s="157" t="s">
        <v>154</v>
      </c>
      <c r="C10" s="157">
        <v>4876</v>
      </c>
      <c r="D10" t="str">
        <f t="shared" si="0"/>
        <v>High Revenue</v>
      </c>
      <c r="F10" s="157" t="s">
        <v>1230</v>
      </c>
      <c r="G10" s="157" t="s">
        <v>1231</v>
      </c>
      <c r="J10" s="157" t="s">
        <v>1072</v>
      </c>
      <c r="K10" s="157" t="s">
        <v>154</v>
      </c>
      <c r="L10" s="157">
        <v>4876</v>
      </c>
      <c r="M10" s="160" t="str">
        <f t="shared" si="1"/>
        <v>High Revenue</v>
      </c>
      <c r="N10" t="str">
        <f t="shared" si="2"/>
        <v>Amazing</v>
      </c>
    </row>
    <row r="11" spans="1:14">
      <c r="A11" s="157" t="s">
        <v>1072</v>
      </c>
      <c r="B11" s="157" t="s">
        <v>1225</v>
      </c>
      <c r="C11" s="157">
        <v>4213</v>
      </c>
      <c r="D11" t="str">
        <f t="shared" si="0"/>
        <v>High Revenue</v>
      </c>
      <c r="J11" s="157" t="s">
        <v>1072</v>
      </c>
      <c r="K11" s="157" t="s">
        <v>1225</v>
      </c>
      <c r="L11" s="157">
        <v>4213</v>
      </c>
      <c r="M11" s="160" t="str">
        <f t="shared" si="1"/>
        <v>High Revenue</v>
      </c>
      <c r="N11" t="str">
        <f t="shared" si="2"/>
        <v>Very Good</v>
      </c>
    </row>
    <row r="12" spans="1:14">
      <c r="A12" s="157" t="s">
        <v>1072</v>
      </c>
      <c r="B12" s="157" t="s">
        <v>152</v>
      </c>
      <c r="C12" s="157">
        <v>4326</v>
      </c>
      <c r="D12" t="str">
        <f t="shared" si="0"/>
        <v>High Revenue</v>
      </c>
      <c r="F12" s="158" t="s">
        <v>1243</v>
      </c>
      <c r="G12" s="158" t="s">
        <v>1227</v>
      </c>
      <c r="J12" s="157" t="s">
        <v>1072</v>
      </c>
      <c r="K12" s="157" t="s">
        <v>152</v>
      </c>
      <c r="L12" s="157">
        <v>4326</v>
      </c>
      <c r="M12" s="160" t="str">
        <f t="shared" si="1"/>
        <v>High Revenue</v>
      </c>
      <c r="N12" t="str">
        <f t="shared" si="2"/>
        <v>Very Good</v>
      </c>
    </row>
    <row r="13" spans="1:14">
      <c r="A13" s="157" t="s">
        <v>1073</v>
      </c>
      <c r="B13" s="157" t="s">
        <v>149</v>
      </c>
      <c r="C13" s="157">
        <v>3216</v>
      </c>
      <c r="D13" t="str">
        <f t="shared" si="0"/>
        <v>Low Revenue</v>
      </c>
      <c r="F13" s="157" t="s">
        <v>1232</v>
      </c>
      <c r="G13" s="157" t="s">
        <v>1233</v>
      </c>
      <c r="J13" s="157" t="s">
        <v>1073</v>
      </c>
      <c r="K13" s="157" t="s">
        <v>149</v>
      </c>
      <c r="L13" s="157">
        <v>3216</v>
      </c>
      <c r="M13" s="160" t="str">
        <f t="shared" si="1"/>
        <v xml:space="preserve"> Low Revenue</v>
      </c>
      <c r="N13" t="str">
        <f t="shared" si="2"/>
        <v>Bad</v>
      </c>
    </row>
    <row r="14" spans="1:14">
      <c r="A14" s="157" t="s">
        <v>1073</v>
      </c>
      <c r="B14" s="157" t="s">
        <v>150</v>
      </c>
      <c r="C14" s="157">
        <v>2345</v>
      </c>
      <c r="D14" t="str">
        <f t="shared" si="0"/>
        <v>Low Revenue</v>
      </c>
      <c r="F14" s="157" t="s">
        <v>1228</v>
      </c>
      <c r="G14" s="157" t="s">
        <v>1234</v>
      </c>
      <c r="J14" s="157" t="s">
        <v>1073</v>
      </c>
      <c r="K14" s="157" t="s">
        <v>150</v>
      </c>
      <c r="L14" s="157">
        <v>2345</v>
      </c>
      <c r="M14" s="160" t="str">
        <f t="shared" si="1"/>
        <v xml:space="preserve"> Low Revenue</v>
      </c>
      <c r="N14" t="str">
        <f t="shared" si="2"/>
        <v>Very Bad</v>
      </c>
    </row>
    <row r="15" spans="1:14">
      <c r="A15" s="157" t="s">
        <v>1073</v>
      </c>
      <c r="B15" s="157" t="s">
        <v>154</v>
      </c>
      <c r="C15" s="157">
        <v>2134</v>
      </c>
      <c r="D15" t="str">
        <f t="shared" si="0"/>
        <v>Low Revenue</v>
      </c>
      <c r="F15" s="157" t="s">
        <v>1235</v>
      </c>
      <c r="G15" s="157" t="s">
        <v>1236</v>
      </c>
      <c r="J15" s="157" t="s">
        <v>1073</v>
      </c>
      <c r="K15" s="157" t="s">
        <v>154</v>
      </c>
      <c r="L15" s="157">
        <v>2134</v>
      </c>
      <c r="M15" s="160" t="str">
        <f t="shared" si="1"/>
        <v xml:space="preserve"> Low Revenue</v>
      </c>
      <c r="N15" t="str">
        <f t="shared" si="2"/>
        <v>Very Bad</v>
      </c>
    </row>
    <row r="16" spans="1:14">
      <c r="A16" s="157" t="s">
        <v>1073</v>
      </c>
      <c r="B16" s="157" t="s">
        <v>1225</v>
      </c>
      <c r="C16" s="157">
        <v>2367</v>
      </c>
      <c r="D16" t="str">
        <f t="shared" si="0"/>
        <v>Low Revenue</v>
      </c>
      <c r="F16" s="157" t="s">
        <v>1237</v>
      </c>
      <c r="G16" s="157" t="s">
        <v>1238</v>
      </c>
      <c r="J16" s="157" t="s">
        <v>1073</v>
      </c>
      <c r="K16" s="157" t="s">
        <v>1225</v>
      </c>
      <c r="L16" s="157">
        <v>2367</v>
      </c>
      <c r="M16" s="160" t="str">
        <f t="shared" si="1"/>
        <v xml:space="preserve"> Low Revenue</v>
      </c>
      <c r="N16" t="str">
        <f t="shared" si="2"/>
        <v>Very Bad</v>
      </c>
    </row>
    <row r="17" spans="1:14">
      <c r="A17" s="157" t="s">
        <v>1073</v>
      </c>
      <c r="B17" s="157" t="s">
        <v>152</v>
      </c>
      <c r="C17" s="157">
        <v>3421</v>
      </c>
      <c r="D17" t="str">
        <f t="shared" si="0"/>
        <v>Low Revenue</v>
      </c>
      <c r="F17" s="157" t="s">
        <v>1239</v>
      </c>
      <c r="G17" s="157" t="s">
        <v>1240</v>
      </c>
      <c r="J17" s="157" t="s">
        <v>1073</v>
      </c>
      <c r="K17" s="157" t="s">
        <v>152</v>
      </c>
      <c r="L17" s="157">
        <v>3421</v>
      </c>
      <c r="M17" s="160" t="str">
        <f t="shared" si="1"/>
        <v xml:space="preserve"> Low Revenue</v>
      </c>
      <c r="N17" t="str">
        <f t="shared" si="2"/>
        <v>Bad</v>
      </c>
    </row>
    <row r="18" spans="1:14">
      <c r="A18" s="157" t="s">
        <v>1073</v>
      </c>
      <c r="B18" s="157" t="s">
        <v>149</v>
      </c>
      <c r="C18" s="157">
        <v>3780</v>
      </c>
      <c r="D18" t="str">
        <f t="shared" si="0"/>
        <v>Low Revenue</v>
      </c>
      <c r="J18" s="157" t="s">
        <v>1073</v>
      </c>
      <c r="K18" s="157" t="s">
        <v>149</v>
      </c>
      <c r="L18" s="157">
        <v>3780</v>
      </c>
      <c r="M18" s="160" t="str">
        <f t="shared" si="1"/>
        <v xml:space="preserve"> Low Revenue</v>
      </c>
      <c r="N18" t="str">
        <f t="shared" si="2"/>
        <v>Good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6F40-777B-4D22-9B98-9AD52201E57A}">
  <dimension ref="A1:L343"/>
  <sheetViews>
    <sheetView topLeftCell="C1" workbookViewId="0">
      <selection activeCell="J5" sqref="J5"/>
    </sheetView>
  </sheetViews>
  <sheetFormatPr defaultRowHeight="14.5"/>
  <cols>
    <col min="8" max="8" width="18.08984375" bestFit="1" customWidth="1"/>
    <col min="9" max="9" width="18.453125" bestFit="1" customWidth="1"/>
  </cols>
  <sheetData>
    <row r="1" spans="1:12" ht="15.5">
      <c r="A1" s="161" t="s">
        <v>1244</v>
      </c>
      <c r="B1" s="162" t="s">
        <v>1245</v>
      </c>
      <c r="C1" s="163" t="s">
        <v>227</v>
      </c>
      <c r="D1" s="164" t="s">
        <v>1246</v>
      </c>
      <c r="E1" s="165" t="s">
        <v>1247</v>
      </c>
      <c r="F1" s="166" t="s">
        <v>1166</v>
      </c>
      <c r="G1" s="162" t="s">
        <v>1248</v>
      </c>
      <c r="H1" s="167" t="s">
        <v>1249</v>
      </c>
      <c r="I1" s="168" t="s">
        <v>1250</v>
      </c>
      <c r="J1" s="169"/>
      <c r="K1" s="170" t="s">
        <v>1251</v>
      </c>
      <c r="L1" s="80"/>
    </row>
    <row r="2" spans="1:12">
      <c r="A2" s="171" t="s">
        <v>343</v>
      </c>
      <c r="B2" s="172" t="s">
        <v>105</v>
      </c>
      <c r="C2" s="171" t="s">
        <v>1252</v>
      </c>
      <c r="D2" s="173">
        <v>37249</v>
      </c>
      <c r="E2" s="174">
        <v>20</v>
      </c>
      <c r="F2" s="175">
        <v>60981</v>
      </c>
      <c r="G2" s="172">
        <v>1</v>
      </c>
      <c r="H2" s="176">
        <f>IF(G2=$K$4,$L$4,IF(G2=$K$5,$L$5,IF(G2=$K$6,$L$6,IF(G2=$K$7,$L$7,IF(G2=$K$8,$L$8)))))</f>
        <v>0</v>
      </c>
      <c r="I2" s="80" cm="1">
        <f t="array" ref="I2">_xlfn.IFS(G2=$K$4,$L$4, G2=$K$5,$L$5, G2=$K$6,$L$6,G2=$K$7,$L$7, G2=$K$8,$L$8)</f>
        <v>0</v>
      </c>
      <c r="J2" s="80"/>
      <c r="K2" s="80"/>
      <c r="L2" s="80"/>
    </row>
    <row r="3" spans="1:12" ht="15.5">
      <c r="A3" s="171" t="s">
        <v>346</v>
      </c>
      <c r="B3" s="172" t="s">
        <v>105</v>
      </c>
      <c r="C3" s="171" t="s">
        <v>1252</v>
      </c>
      <c r="D3" s="173">
        <v>41673</v>
      </c>
      <c r="E3" s="174">
        <v>7</v>
      </c>
      <c r="F3" s="175">
        <v>60915</v>
      </c>
      <c r="G3" s="172">
        <v>4</v>
      </c>
      <c r="H3" s="176">
        <f t="shared" ref="H3:H66" si="0">IF(G3=$K$4,$L$4,IF(G3=$K$5,$L$5,IF(G3=$K$6,$L$6,IF(G3=$K$7,$L$7,IF(G3=$K$8,$L$8)))))</f>
        <v>1500</v>
      </c>
      <c r="I3" s="80" cm="1">
        <f t="array" ref="I3">_xlfn.IFS(G3=$K$4,$L$4, G3=$K$5,$L$5, G3=$K$6,$L$6,G3=$K$7,$L$7, G3=$K$8,$L$8)</f>
        <v>1500</v>
      </c>
      <c r="J3" s="80"/>
      <c r="K3" s="177" t="s">
        <v>1248</v>
      </c>
      <c r="L3" s="177" t="s">
        <v>1253</v>
      </c>
    </row>
    <row r="4" spans="1:12">
      <c r="A4" s="171" t="s">
        <v>349</v>
      </c>
      <c r="B4" s="172" t="s">
        <v>105</v>
      </c>
      <c r="C4" s="171" t="s">
        <v>1252</v>
      </c>
      <c r="D4" s="173">
        <v>40225</v>
      </c>
      <c r="E4" s="174">
        <v>11</v>
      </c>
      <c r="F4" s="175">
        <v>97071</v>
      </c>
      <c r="G4" s="172">
        <v>5</v>
      </c>
      <c r="H4" s="176">
        <f t="shared" si="0"/>
        <v>3000</v>
      </c>
      <c r="I4" s="80" cm="1">
        <f t="array" ref="I4">_xlfn.IFS(G4=$K$4,$L$4, G4=$K$5,$L$5, G4=$K$6,$L$6,G4=$K$7,$L$7, G4=$K$8,$L$8)</f>
        <v>3000</v>
      </c>
      <c r="J4" s="80"/>
      <c r="K4" s="178">
        <v>5</v>
      </c>
      <c r="L4" s="178">
        <v>3000</v>
      </c>
    </row>
    <row r="5" spans="1:12">
      <c r="A5" s="171" t="s">
        <v>351</v>
      </c>
      <c r="B5" s="172" t="s">
        <v>1254</v>
      </c>
      <c r="C5" s="171" t="s">
        <v>1252</v>
      </c>
      <c r="D5" s="173">
        <v>42229</v>
      </c>
      <c r="E5" s="174">
        <v>6</v>
      </c>
      <c r="F5" s="175">
        <v>115421</v>
      </c>
      <c r="G5" s="172">
        <v>3</v>
      </c>
      <c r="H5" s="176">
        <f t="shared" si="0"/>
        <v>900</v>
      </c>
      <c r="I5" s="80" cm="1">
        <f t="array" ref="I5">_xlfn.IFS(G5=$K$4,$L$4, G5=$K$5,$L$5, G5=$K$6,$L$6,G5=$K$7,$L$7, G5=$K$8,$L$8)</f>
        <v>900</v>
      </c>
      <c r="J5" s="80"/>
      <c r="K5" s="178">
        <v>4</v>
      </c>
      <c r="L5" s="178">
        <v>1500</v>
      </c>
    </row>
    <row r="6" spans="1:12">
      <c r="A6" s="171" t="s">
        <v>353</v>
      </c>
      <c r="B6" s="172" t="s">
        <v>1255</v>
      </c>
      <c r="C6" s="171" t="s">
        <v>1252</v>
      </c>
      <c r="D6" s="173">
        <v>40525</v>
      </c>
      <c r="E6" s="174">
        <v>11</v>
      </c>
      <c r="F6" s="175">
        <v>115547</v>
      </c>
      <c r="G6" s="172">
        <v>4</v>
      </c>
      <c r="H6" s="176">
        <f t="shared" si="0"/>
        <v>1500</v>
      </c>
      <c r="I6" s="80" cm="1">
        <f t="array" ref="I6">_xlfn.IFS(G6=$K$4,$L$4, G6=$K$5,$L$5, G6=$K$6,$L$6,G6=$K$7,$L$7, G6=$K$8,$L$8)</f>
        <v>1500</v>
      </c>
      <c r="J6" s="80"/>
      <c r="K6" s="178">
        <v>3</v>
      </c>
      <c r="L6" s="178">
        <v>900</v>
      </c>
    </row>
    <row r="7" spans="1:12">
      <c r="A7" s="171" t="s">
        <v>354</v>
      </c>
      <c r="B7" s="172" t="s">
        <v>129</v>
      </c>
      <c r="C7" s="171" t="s">
        <v>1173</v>
      </c>
      <c r="D7" s="173">
        <v>39829</v>
      </c>
      <c r="E7" s="174">
        <v>13</v>
      </c>
      <c r="F7" s="175">
        <v>69212</v>
      </c>
      <c r="G7" s="172">
        <v>2</v>
      </c>
      <c r="H7" s="176">
        <f t="shared" si="0"/>
        <v>100</v>
      </c>
      <c r="I7" s="80" cm="1">
        <f t="array" ref="I7">_xlfn.IFS(G7=$K$4,$L$4, G7=$K$5,$L$5, G7=$K$6,$L$6,G7=$K$7,$L$7, G7=$K$8,$L$8)</f>
        <v>100</v>
      </c>
      <c r="J7" s="80"/>
      <c r="K7" s="178">
        <v>2</v>
      </c>
      <c r="L7" s="178">
        <v>100</v>
      </c>
    </row>
    <row r="8" spans="1:12">
      <c r="A8" s="171" t="s">
        <v>355</v>
      </c>
      <c r="B8" s="172" t="s">
        <v>1254</v>
      </c>
      <c r="C8" s="171" t="s">
        <v>1173</v>
      </c>
      <c r="D8" s="173">
        <v>37295</v>
      </c>
      <c r="E8" s="174">
        <v>19</v>
      </c>
      <c r="F8" s="175">
        <v>120198</v>
      </c>
      <c r="G8" s="172">
        <v>1</v>
      </c>
      <c r="H8" s="176">
        <f t="shared" si="0"/>
        <v>0</v>
      </c>
      <c r="I8" s="80" cm="1">
        <f t="array" ref="I8">_xlfn.IFS(G8=$K$4,$L$4, G8=$K$5,$L$5, G8=$K$6,$L$6,G8=$K$7,$L$7, G8=$K$8,$L$8)</f>
        <v>0</v>
      </c>
      <c r="J8" s="80"/>
      <c r="K8" s="178">
        <v>1</v>
      </c>
      <c r="L8" s="178">
        <v>0</v>
      </c>
    </row>
    <row r="9" spans="1:12">
      <c r="A9" s="171" t="s">
        <v>1256</v>
      </c>
      <c r="B9" s="172" t="s">
        <v>1257</v>
      </c>
      <c r="C9" s="171" t="s">
        <v>1173</v>
      </c>
      <c r="D9" s="173">
        <v>40267</v>
      </c>
      <c r="E9" s="174">
        <v>11</v>
      </c>
      <c r="F9" s="175">
        <v>107635</v>
      </c>
      <c r="G9" s="172">
        <v>5</v>
      </c>
      <c r="H9" s="176">
        <f t="shared" si="0"/>
        <v>3000</v>
      </c>
      <c r="I9" s="80" cm="1">
        <f t="array" ref="I9">_xlfn.IFS(G9=$K$4,$L$4, G9=$K$5,$L$5, G9=$K$6,$L$6,G9=$K$7,$L$7, G9=$K$8,$L$8)</f>
        <v>3000</v>
      </c>
      <c r="J9" s="80"/>
      <c r="K9" s="80"/>
      <c r="L9" s="80"/>
    </row>
    <row r="10" spans="1:12" ht="15.5">
      <c r="A10" s="171" t="s">
        <v>358</v>
      </c>
      <c r="B10" s="172" t="s">
        <v>129</v>
      </c>
      <c r="C10" s="171" t="s">
        <v>1173</v>
      </c>
      <c r="D10" s="173">
        <v>37338</v>
      </c>
      <c r="E10" s="174">
        <v>19</v>
      </c>
      <c r="F10" s="175">
        <v>113020</v>
      </c>
      <c r="G10" s="172">
        <v>1</v>
      </c>
      <c r="H10" s="176">
        <f t="shared" si="0"/>
        <v>0</v>
      </c>
      <c r="I10" s="80" cm="1">
        <f t="array" ref="I10">_xlfn.IFS(G10=$K$4,$L$4, G10=$K$5,$L$5, G10=$K$6,$L$6,G10=$K$7,$L$7, G10=$K$8,$L$8)</f>
        <v>0</v>
      </c>
      <c r="J10" s="80"/>
      <c r="K10" s="170" t="s">
        <v>1258</v>
      </c>
      <c r="L10" s="80"/>
    </row>
    <row r="11" spans="1:12">
      <c r="A11" s="171" t="s">
        <v>1259</v>
      </c>
      <c r="B11" s="172" t="s">
        <v>1254</v>
      </c>
      <c r="C11" s="171" t="s">
        <v>1173</v>
      </c>
      <c r="D11" s="173">
        <v>38482</v>
      </c>
      <c r="E11" s="174">
        <v>16</v>
      </c>
      <c r="F11" s="175">
        <v>82341</v>
      </c>
      <c r="G11" s="172">
        <v>4</v>
      </c>
      <c r="H11" s="176">
        <f t="shared" si="0"/>
        <v>1500</v>
      </c>
      <c r="I11" s="80" cm="1">
        <f t="array" ref="I11">_xlfn.IFS(G11=$K$4,$L$4, G11=$K$5,$L$5, G11=$K$6,$L$6,G11=$K$7,$L$7, G11=$K$8,$L$8)</f>
        <v>1500</v>
      </c>
      <c r="J11" s="80"/>
      <c r="L11" s="80"/>
    </row>
    <row r="12" spans="1:12" ht="15.5">
      <c r="A12" s="171" t="s">
        <v>360</v>
      </c>
      <c r="B12" s="172" t="s">
        <v>1257</v>
      </c>
      <c r="C12" s="171" t="s">
        <v>1173</v>
      </c>
      <c r="D12" s="173">
        <v>38860</v>
      </c>
      <c r="E12" s="174">
        <v>15</v>
      </c>
      <c r="F12" s="175">
        <v>98598</v>
      </c>
      <c r="G12" s="172">
        <v>3</v>
      </c>
      <c r="H12" s="176">
        <f t="shared" si="0"/>
        <v>900</v>
      </c>
      <c r="I12" s="80" cm="1">
        <f t="array" ref="I12">_xlfn.IFS(G12=$K$4,$L$4, G12=$K$5,$L$5, G12=$K$6,$L$6,G12=$K$7,$L$7, G12=$K$8,$L$8)</f>
        <v>900</v>
      </c>
      <c r="J12" s="80"/>
      <c r="K12" s="170" t="s">
        <v>1260</v>
      </c>
      <c r="L12" s="80"/>
    </row>
    <row r="13" spans="1:12">
      <c r="A13" s="171" t="s">
        <v>1261</v>
      </c>
      <c r="B13" s="172" t="s">
        <v>1257</v>
      </c>
      <c r="C13" s="171" t="s">
        <v>1173</v>
      </c>
      <c r="D13" s="173">
        <v>39220</v>
      </c>
      <c r="E13" s="174">
        <v>14</v>
      </c>
      <c r="F13" s="175">
        <v>46350</v>
      </c>
      <c r="G13" s="172">
        <v>4</v>
      </c>
      <c r="H13" s="176">
        <f t="shared" si="0"/>
        <v>1500</v>
      </c>
      <c r="I13" s="80" cm="1">
        <f t="array" ref="I13">_xlfn.IFS(G13=$K$4,$L$4, G13=$K$5,$L$5, G13=$K$6,$L$6,G13=$K$7,$L$7, G13=$K$8,$L$8)</f>
        <v>1500</v>
      </c>
      <c r="J13" s="80"/>
      <c r="K13" s="80"/>
      <c r="L13" s="80"/>
    </row>
    <row r="14" spans="1:12" ht="15.5">
      <c r="A14" s="171" t="s">
        <v>362</v>
      </c>
      <c r="B14" s="172" t="s">
        <v>1257</v>
      </c>
      <c r="C14" s="171" t="s">
        <v>1173</v>
      </c>
      <c r="D14" s="173">
        <v>41857</v>
      </c>
      <c r="E14" s="174">
        <v>7</v>
      </c>
      <c r="F14" s="175">
        <v>61076</v>
      </c>
      <c r="G14" s="172">
        <v>1</v>
      </c>
      <c r="H14" s="176">
        <f t="shared" si="0"/>
        <v>0</v>
      </c>
      <c r="I14" s="80" cm="1">
        <f t="array" ref="I14">_xlfn.IFS(G14=$K$4,$L$4, G14=$K$5,$L$5, G14=$K$6,$L$6,G14=$K$7,$L$7, G14=$K$8,$L$8)</f>
        <v>0</v>
      </c>
      <c r="J14" s="80"/>
      <c r="K14" s="170" t="s">
        <v>1262</v>
      </c>
      <c r="L14" s="80"/>
    </row>
    <row r="15" spans="1:12">
      <c r="A15" s="171" t="s">
        <v>363</v>
      </c>
      <c r="B15" s="172" t="s">
        <v>129</v>
      </c>
      <c r="C15" s="171" t="s">
        <v>1173</v>
      </c>
      <c r="D15" s="173">
        <v>42214</v>
      </c>
      <c r="E15" s="174">
        <v>6</v>
      </c>
      <c r="F15" s="175">
        <v>107968</v>
      </c>
      <c r="G15" s="172">
        <v>5</v>
      </c>
      <c r="H15" s="176">
        <f t="shared" si="0"/>
        <v>3000</v>
      </c>
      <c r="I15" s="80" cm="1">
        <f t="array" ref="I15">_xlfn.IFS(G15=$K$4,$L$4, G15=$K$5,$L$5, G15=$K$6,$L$6,G15=$K$7,$L$7, G15=$K$8,$L$8)</f>
        <v>3000</v>
      </c>
      <c r="J15" s="80"/>
      <c r="K15" s="80"/>
      <c r="L15" s="80"/>
    </row>
    <row r="16" spans="1:12" ht="15.5">
      <c r="A16" s="171" t="s">
        <v>364</v>
      </c>
      <c r="B16" s="172" t="s">
        <v>1255</v>
      </c>
      <c r="C16" s="171" t="s">
        <v>1173</v>
      </c>
      <c r="D16" s="173">
        <v>37842</v>
      </c>
      <c r="E16" s="174">
        <v>18</v>
      </c>
      <c r="F16" s="175">
        <v>102146</v>
      </c>
      <c r="G16" s="172">
        <v>4</v>
      </c>
      <c r="H16" s="176">
        <f t="shared" si="0"/>
        <v>1500</v>
      </c>
      <c r="I16" s="80" cm="1">
        <f t="array" ref="I16">_xlfn.IFS(G16=$K$4,$L$4, G16=$K$5,$L$5, G16=$K$6,$L$6,G16=$K$7,$L$7, G16=$K$8,$L$8)</f>
        <v>1500</v>
      </c>
      <c r="J16" s="80"/>
      <c r="K16" s="170" t="s">
        <v>1263</v>
      </c>
      <c r="L16" s="80"/>
    </row>
    <row r="17" spans="1:10">
      <c r="A17" s="171" t="s">
        <v>365</v>
      </c>
      <c r="B17" s="172" t="s">
        <v>120</v>
      </c>
      <c r="C17" s="171" t="s">
        <v>1173</v>
      </c>
      <c r="D17" s="173">
        <v>41865</v>
      </c>
      <c r="E17" s="174">
        <v>7</v>
      </c>
      <c r="F17" s="175">
        <v>46009</v>
      </c>
      <c r="G17" s="172">
        <v>3</v>
      </c>
      <c r="H17" s="176">
        <f t="shared" si="0"/>
        <v>900</v>
      </c>
      <c r="I17" s="80" cm="1">
        <f t="array" ref="I17">_xlfn.IFS(G17=$K$4,$L$4, G17=$K$5,$L$5, G17=$K$6,$L$6,G17=$K$7,$L$7, G17=$K$8,$L$8)</f>
        <v>900</v>
      </c>
      <c r="J17" s="80"/>
    </row>
    <row r="18" spans="1:10">
      <c r="A18" s="171" t="s">
        <v>366</v>
      </c>
      <c r="B18" s="172" t="s">
        <v>105</v>
      </c>
      <c r="C18" s="171" t="s">
        <v>1173</v>
      </c>
      <c r="D18" s="173">
        <v>37855</v>
      </c>
      <c r="E18" s="174">
        <v>18</v>
      </c>
      <c r="F18" s="175">
        <v>53399</v>
      </c>
      <c r="G18" s="172">
        <v>3</v>
      </c>
      <c r="H18" s="176">
        <f t="shared" si="0"/>
        <v>900</v>
      </c>
      <c r="I18" s="80" cm="1">
        <f t="array" ref="I18">_xlfn.IFS(G18=$K$4,$L$4, G18=$K$5,$L$5, G18=$K$6,$L$6,G18=$K$7,$L$7, G18=$K$8,$L$8)</f>
        <v>900</v>
      </c>
      <c r="J18" s="80"/>
    </row>
    <row r="19" spans="1:10">
      <c r="A19" s="171" t="s">
        <v>367</v>
      </c>
      <c r="B19" s="172" t="s">
        <v>105</v>
      </c>
      <c r="C19" s="171" t="s">
        <v>1173</v>
      </c>
      <c r="D19" s="173">
        <v>40782</v>
      </c>
      <c r="E19" s="174">
        <v>10</v>
      </c>
      <c r="F19" s="175">
        <v>45419</v>
      </c>
      <c r="G19" s="172">
        <v>5</v>
      </c>
      <c r="H19" s="176">
        <f t="shared" si="0"/>
        <v>3000</v>
      </c>
      <c r="I19" s="80" cm="1">
        <f t="array" ref="I19">_xlfn.IFS(G19=$K$4,$L$4, G19=$K$5,$L$5, G19=$K$6,$L$6,G19=$K$7,$L$7, G19=$K$8,$L$8)</f>
        <v>3000</v>
      </c>
      <c r="J19" s="80"/>
    </row>
    <row r="20" spans="1:10">
      <c r="A20" s="171" t="s">
        <v>368</v>
      </c>
      <c r="B20" s="172" t="s">
        <v>120</v>
      </c>
      <c r="C20" s="171" t="s">
        <v>1173</v>
      </c>
      <c r="D20" s="173">
        <v>40107</v>
      </c>
      <c r="E20" s="174">
        <v>12</v>
      </c>
      <c r="F20" s="175">
        <v>69038</v>
      </c>
      <c r="G20" s="172">
        <v>2</v>
      </c>
      <c r="H20" s="176">
        <f t="shared" si="0"/>
        <v>100</v>
      </c>
      <c r="I20" s="80" cm="1">
        <f t="array" ref="I20">_xlfn.IFS(G20=$K$4,$L$4, G20=$K$5,$L$5, G20=$K$6,$L$6,G20=$K$7,$L$7, G20=$K$8,$L$8)</f>
        <v>100</v>
      </c>
      <c r="J20" s="80"/>
    </row>
    <row r="21" spans="1:10">
      <c r="A21" s="171" t="s">
        <v>369</v>
      </c>
      <c r="B21" s="172" t="s">
        <v>105</v>
      </c>
      <c r="C21" s="171" t="s">
        <v>1173</v>
      </c>
      <c r="D21" s="173">
        <v>41204</v>
      </c>
      <c r="E21" s="174">
        <v>9</v>
      </c>
      <c r="F21" s="175">
        <v>46163</v>
      </c>
      <c r="G21" s="172">
        <v>4</v>
      </c>
      <c r="H21" s="176">
        <f t="shared" si="0"/>
        <v>1500</v>
      </c>
      <c r="I21" s="80" cm="1">
        <f t="array" ref="I21">_xlfn.IFS(G21=$K$4,$L$4, G21=$K$5,$L$5, G21=$K$6,$L$6,G21=$K$7,$L$7, G21=$K$8,$L$8)</f>
        <v>1500</v>
      </c>
      <c r="J21" s="80"/>
    </row>
    <row r="22" spans="1:10">
      <c r="A22" s="171" t="s">
        <v>1264</v>
      </c>
      <c r="B22" s="172" t="s">
        <v>1254</v>
      </c>
      <c r="C22" s="171" t="s">
        <v>1173</v>
      </c>
      <c r="D22" s="173">
        <v>37221</v>
      </c>
      <c r="E22" s="174">
        <v>20</v>
      </c>
      <c r="F22" s="175">
        <v>70990</v>
      </c>
      <c r="G22" s="172">
        <v>5</v>
      </c>
      <c r="H22" s="176">
        <f t="shared" si="0"/>
        <v>3000</v>
      </c>
      <c r="I22" s="80" cm="1">
        <f t="array" ref="I22">_xlfn.IFS(G22=$K$4,$L$4, G22=$K$5,$L$5, G22=$K$6,$L$6,G22=$K$7,$L$7, G22=$K$8,$L$8)</f>
        <v>3000</v>
      </c>
      <c r="J22" s="80"/>
    </row>
    <row r="23" spans="1:10">
      <c r="A23" s="171" t="s">
        <v>1265</v>
      </c>
      <c r="B23" s="172" t="s">
        <v>1255</v>
      </c>
      <c r="C23" s="171" t="s">
        <v>1173</v>
      </c>
      <c r="D23" s="173">
        <v>40147</v>
      </c>
      <c r="E23" s="174">
        <v>12</v>
      </c>
      <c r="F23" s="175">
        <v>45315</v>
      </c>
      <c r="G23" s="172">
        <v>3</v>
      </c>
      <c r="H23" s="176">
        <f t="shared" si="0"/>
        <v>900</v>
      </c>
      <c r="I23" s="80" cm="1">
        <f t="array" ref="I23">_xlfn.IFS(G23=$K$4,$L$4, G23=$K$5,$L$5, G23=$K$6,$L$6,G23=$K$7,$L$7, G23=$K$8,$L$8)</f>
        <v>900</v>
      </c>
      <c r="J23" s="80"/>
    </row>
    <row r="24" spans="1:10">
      <c r="A24" s="171" t="s">
        <v>1266</v>
      </c>
      <c r="B24" s="172" t="s">
        <v>1257</v>
      </c>
      <c r="C24" s="171" t="s">
        <v>1267</v>
      </c>
      <c r="D24" s="173">
        <v>39824</v>
      </c>
      <c r="E24" s="174">
        <v>13</v>
      </c>
      <c r="F24" s="175">
        <v>102687</v>
      </c>
      <c r="G24" s="172">
        <v>2</v>
      </c>
      <c r="H24" s="176">
        <f t="shared" si="0"/>
        <v>100</v>
      </c>
      <c r="I24" s="80" cm="1">
        <f t="array" ref="I24">_xlfn.IFS(G24=$K$4,$L$4, G24=$K$5,$L$5, G24=$K$6,$L$6,G24=$K$7,$L$7, G24=$K$8,$L$8)</f>
        <v>100</v>
      </c>
      <c r="J24" s="80"/>
    </row>
    <row r="25" spans="1:10">
      <c r="A25" s="171" t="s">
        <v>1268</v>
      </c>
      <c r="B25" s="172" t="s">
        <v>105</v>
      </c>
      <c r="C25" s="171" t="s">
        <v>1267</v>
      </c>
      <c r="D25" s="173">
        <v>37971</v>
      </c>
      <c r="E25" s="174">
        <v>18</v>
      </c>
      <c r="F25" s="175">
        <v>121213</v>
      </c>
      <c r="G25" s="172">
        <v>3</v>
      </c>
      <c r="H25" s="176">
        <f t="shared" si="0"/>
        <v>900</v>
      </c>
      <c r="I25" s="80" cm="1">
        <f t="array" ref="I25">_xlfn.IFS(G25=$K$4,$L$4, G25=$K$5,$L$5, G25=$K$6,$L$6,G25=$K$7,$L$7, G25=$K$8,$L$8)</f>
        <v>900</v>
      </c>
      <c r="J25" s="80"/>
    </row>
    <row r="26" spans="1:10">
      <c r="A26" s="171" t="s">
        <v>1269</v>
      </c>
      <c r="B26" s="172" t="s">
        <v>129</v>
      </c>
      <c r="C26" s="171" t="s">
        <v>1267</v>
      </c>
      <c r="D26" s="173">
        <v>37292</v>
      </c>
      <c r="E26" s="174">
        <v>19</v>
      </c>
      <c r="F26" s="175">
        <v>74666</v>
      </c>
      <c r="G26" s="172">
        <v>1</v>
      </c>
      <c r="H26" s="176">
        <f t="shared" si="0"/>
        <v>0</v>
      </c>
      <c r="I26" s="80" cm="1">
        <f t="array" ref="I26">_xlfn.IFS(G26=$K$4,$L$4, G26=$K$5,$L$5, G26=$K$6,$L$6,G26=$K$7,$L$7, G26=$K$8,$L$8)</f>
        <v>0</v>
      </c>
      <c r="J26" s="80"/>
    </row>
    <row r="27" spans="1:10">
      <c r="A27" s="171" t="s">
        <v>1270</v>
      </c>
      <c r="B27" s="172" t="s">
        <v>1254</v>
      </c>
      <c r="C27" s="171" t="s">
        <v>1267</v>
      </c>
      <c r="D27" s="173">
        <v>39129</v>
      </c>
      <c r="E27" s="174">
        <v>14</v>
      </c>
      <c r="F27" s="175">
        <v>90032</v>
      </c>
      <c r="G27" s="172">
        <v>1</v>
      </c>
      <c r="H27" s="176">
        <f t="shared" si="0"/>
        <v>0</v>
      </c>
      <c r="I27" s="80" cm="1">
        <f t="array" ref="I27">_xlfn.IFS(G27=$K$4,$L$4, G27=$K$5,$L$5, G27=$K$6,$L$6,G27=$K$7,$L$7, G27=$K$8,$L$8)</f>
        <v>0</v>
      </c>
      <c r="J27" s="80"/>
    </row>
    <row r="28" spans="1:10">
      <c r="A28" s="171" t="s">
        <v>1271</v>
      </c>
      <c r="B28" s="172" t="s">
        <v>105</v>
      </c>
      <c r="C28" s="171" t="s">
        <v>1267</v>
      </c>
      <c r="D28" s="173">
        <v>37697</v>
      </c>
      <c r="E28" s="174">
        <v>18</v>
      </c>
      <c r="F28" s="175">
        <v>43469</v>
      </c>
      <c r="G28" s="172">
        <v>1</v>
      </c>
      <c r="H28" s="176">
        <f t="shared" si="0"/>
        <v>0</v>
      </c>
      <c r="I28" s="80" cm="1">
        <f t="array" ref="I28">_xlfn.IFS(G28=$K$4,$L$4, G28=$K$5,$L$5, G28=$K$6,$L$6,G28=$K$7,$L$7, G28=$K$8,$L$8)</f>
        <v>0</v>
      </c>
      <c r="J28" s="80"/>
    </row>
    <row r="29" spans="1:10">
      <c r="A29" s="171" t="s">
        <v>1272</v>
      </c>
      <c r="B29" s="172" t="s">
        <v>105</v>
      </c>
      <c r="C29" s="171" t="s">
        <v>1267</v>
      </c>
      <c r="D29" s="173">
        <v>39929</v>
      </c>
      <c r="E29" s="174">
        <v>12</v>
      </c>
      <c r="F29" s="175">
        <v>68870</v>
      </c>
      <c r="G29" s="172">
        <v>1</v>
      </c>
      <c r="H29" s="176">
        <f t="shared" si="0"/>
        <v>0</v>
      </c>
      <c r="I29" s="80" cm="1">
        <f t="array" ref="I29">_xlfn.IFS(G29=$K$4,$L$4, G29=$K$5,$L$5, G29=$K$6,$L$6,G29=$K$7,$L$7, G29=$K$8,$L$8)</f>
        <v>0</v>
      </c>
      <c r="J29" s="80"/>
    </row>
    <row r="30" spans="1:10">
      <c r="A30" s="171" t="s">
        <v>1273</v>
      </c>
      <c r="B30" s="172" t="s">
        <v>1257</v>
      </c>
      <c r="C30" s="171" t="s">
        <v>1267</v>
      </c>
      <c r="D30" s="173">
        <v>40039</v>
      </c>
      <c r="E30" s="174">
        <v>12</v>
      </c>
      <c r="F30" s="175">
        <v>113141</v>
      </c>
      <c r="G30" s="172">
        <v>4</v>
      </c>
      <c r="H30" s="176">
        <f t="shared" si="0"/>
        <v>1500</v>
      </c>
      <c r="I30" s="80" cm="1">
        <f t="array" ref="I30">_xlfn.IFS(G30=$K$4,$L$4, G30=$K$5,$L$5, G30=$K$6,$L$6,G30=$K$7,$L$7, G30=$K$8,$L$8)</f>
        <v>1500</v>
      </c>
      <c r="J30" s="80"/>
    </row>
    <row r="31" spans="1:10">
      <c r="A31" s="171" t="s">
        <v>1274</v>
      </c>
      <c r="B31" s="172" t="s">
        <v>105</v>
      </c>
      <c r="C31" s="171" t="s">
        <v>1267</v>
      </c>
      <c r="D31" s="173">
        <v>41184</v>
      </c>
      <c r="E31" s="174">
        <v>9</v>
      </c>
      <c r="F31" s="175">
        <v>104719</v>
      </c>
      <c r="G31" s="172">
        <v>3</v>
      </c>
      <c r="H31" s="176">
        <f t="shared" si="0"/>
        <v>900</v>
      </c>
      <c r="I31" s="80" cm="1">
        <f t="array" ref="I31">_xlfn.IFS(G31=$K$4,$L$4, G31=$K$5,$L$5, G31=$K$6,$L$6,G31=$K$7,$L$7, G31=$K$8,$L$8)</f>
        <v>900</v>
      </c>
      <c r="J31" s="80"/>
    </row>
    <row r="32" spans="1:10">
      <c r="A32" s="171" t="s">
        <v>1275</v>
      </c>
      <c r="B32" s="172" t="s">
        <v>105</v>
      </c>
      <c r="C32" s="171" t="s">
        <v>1267</v>
      </c>
      <c r="D32" s="173">
        <v>41934</v>
      </c>
      <c r="E32" s="174">
        <v>7</v>
      </c>
      <c r="F32" s="175">
        <v>61443</v>
      </c>
      <c r="G32" s="172">
        <v>2</v>
      </c>
      <c r="H32" s="176">
        <f t="shared" si="0"/>
        <v>100</v>
      </c>
      <c r="I32" s="80" cm="1">
        <f t="array" ref="I32">_xlfn.IFS(G32=$K$4,$L$4, G32=$K$5,$L$5, G32=$K$6,$L$6,G32=$K$7,$L$7, G32=$K$8,$L$8)</f>
        <v>100</v>
      </c>
      <c r="J32" s="80"/>
    </row>
    <row r="33" spans="1:10">
      <c r="A33" s="171" t="s">
        <v>1276</v>
      </c>
      <c r="B33" s="172" t="s">
        <v>129</v>
      </c>
      <c r="C33" s="171" t="s">
        <v>1267</v>
      </c>
      <c r="D33" s="173">
        <v>40492</v>
      </c>
      <c r="E33" s="174">
        <v>11</v>
      </c>
      <c r="F33" s="175">
        <v>115351</v>
      </c>
      <c r="G33" s="172">
        <v>1</v>
      </c>
      <c r="H33" s="176">
        <f t="shared" si="0"/>
        <v>0</v>
      </c>
      <c r="I33" s="80" cm="1">
        <f t="array" ref="I33">_xlfn.IFS(G33=$K$4,$L$4, G33=$K$5,$L$5, G33=$K$6,$L$6,G33=$K$7,$L$7, G33=$K$8,$L$8)</f>
        <v>0</v>
      </c>
      <c r="J33" s="80"/>
    </row>
    <row r="34" spans="1:10">
      <c r="A34" s="171" t="s">
        <v>1277</v>
      </c>
      <c r="B34" s="172" t="s">
        <v>129</v>
      </c>
      <c r="C34" s="171" t="s">
        <v>1267</v>
      </c>
      <c r="D34" s="173">
        <v>42096</v>
      </c>
      <c r="E34" s="174">
        <v>6</v>
      </c>
      <c r="F34" s="175">
        <v>71321</v>
      </c>
      <c r="G34" s="172">
        <v>3</v>
      </c>
      <c r="H34" s="176">
        <f t="shared" si="0"/>
        <v>900</v>
      </c>
      <c r="I34" s="80" cm="1">
        <f t="array" ref="I34">_xlfn.IFS(G34=$K$4,$L$4, G34=$K$5,$L$5, G34=$K$6,$L$6,G34=$K$7,$L$7, G34=$K$8,$L$8)</f>
        <v>900</v>
      </c>
      <c r="J34" s="80"/>
    </row>
    <row r="35" spans="1:10">
      <c r="A35" s="171" t="s">
        <v>1278</v>
      </c>
      <c r="B35" s="172" t="s">
        <v>120</v>
      </c>
      <c r="C35" s="171" t="s">
        <v>1267</v>
      </c>
      <c r="D35" s="173">
        <v>41586</v>
      </c>
      <c r="E35" s="174">
        <v>8</v>
      </c>
      <c r="F35" s="175">
        <v>124798</v>
      </c>
      <c r="G35" s="172">
        <v>2</v>
      </c>
      <c r="H35" s="176">
        <f t="shared" si="0"/>
        <v>100</v>
      </c>
      <c r="I35" s="80" cm="1">
        <f t="array" ref="I35">_xlfn.IFS(G35=$K$4,$L$4, G35=$K$5,$L$5, G35=$K$6,$L$6,G35=$K$7,$L$7, G35=$K$8,$L$8)</f>
        <v>100</v>
      </c>
      <c r="J35" s="80"/>
    </row>
    <row r="36" spans="1:10">
      <c r="A36" s="171" t="s">
        <v>1279</v>
      </c>
      <c r="B36" s="172" t="s">
        <v>129</v>
      </c>
      <c r="C36" s="171" t="s">
        <v>1267</v>
      </c>
      <c r="D36" s="173">
        <v>40495</v>
      </c>
      <c r="E36" s="174">
        <v>11</v>
      </c>
      <c r="F36" s="175">
        <v>96545</v>
      </c>
      <c r="G36" s="172">
        <v>3</v>
      </c>
      <c r="H36" s="176">
        <f t="shared" si="0"/>
        <v>900</v>
      </c>
      <c r="I36" s="80" cm="1">
        <f t="array" ref="I36">_xlfn.IFS(G36=$K$4,$L$4, G36=$K$5,$L$5, G36=$K$6,$L$6,G36=$K$7,$L$7, G36=$K$8,$L$8)</f>
        <v>900</v>
      </c>
      <c r="J36" s="80"/>
    </row>
    <row r="37" spans="1:10">
      <c r="A37" s="171" t="s">
        <v>1280</v>
      </c>
      <c r="B37" s="172" t="s">
        <v>1257</v>
      </c>
      <c r="C37" s="171" t="s">
        <v>1267</v>
      </c>
      <c r="D37" s="173">
        <v>41230</v>
      </c>
      <c r="E37" s="174">
        <v>9</v>
      </c>
      <c r="F37" s="175">
        <v>98833</v>
      </c>
      <c r="G37" s="172">
        <v>1</v>
      </c>
      <c r="H37" s="176">
        <f t="shared" si="0"/>
        <v>0</v>
      </c>
      <c r="I37" s="80" cm="1">
        <f t="array" ref="I37">_xlfn.IFS(G37=$K$4,$L$4, G37=$K$5,$L$5, G37=$K$6,$L$6,G37=$K$7,$L$7, G37=$K$8,$L$8)</f>
        <v>0</v>
      </c>
      <c r="J37" s="80"/>
    </row>
    <row r="38" spans="1:10">
      <c r="A38" s="171" t="s">
        <v>1281</v>
      </c>
      <c r="B38" s="172" t="s">
        <v>129</v>
      </c>
      <c r="C38" s="171" t="s">
        <v>1282</v>
      </c>
      <c r="D38" s="173">
        <v>42003</v>
      </c>
      <c r="E38" s="174">
        <v>7</v>
      </c>
      <c r="F38" s="175">
        <v>124698</v>
      </c>
      <c r="G38" s="172">
        <v>3</v>
      </c>
      <c r="H38" s="176">
        <f t="shared" si="0"/>
        <v>900</v>
      </c>
      <c r="I38" s="80" cm="1">
        <f t="array" ref="I38">_xlfn.IFS(G38=$K$4,$L$4, G38=$K$5,$L$5, G38=$K$6,$L$6,G38=$K$7,$L$7, G38=$K$8,$L$8)</f>
        <v>900</v>
      </c>
      <c r="J38" s="80"/>
    </row>
    <row r="39" spans="1:10">
      <c r="A39" s="171" t="s">
        <v>1283</v>
      </c>
      <c r="B39" s="172" t="s">
        <v>105</v>
      </c>
      <c r="C39" s="171" t="s">
        <v>1282</v>
      </c>
      <c r="D39" s="173">
        <v>40172</v>
      </c>
      <c r="E39" s="174">
        <v>12</v>
      </c>
      <c r="F39" s="175">
        <v>106453</v>
      </c>
      <c r="G39" s="172">
        <v>4</v>
      </c>
      <c r="H39" s="176">
        <f t="shared" si="0"/>
        <v>1500</v>
      </c>
      <c r="I39" s="80" cm="1">
        <f t="array" ref="I39">_xlfn.IFS(G39=$K$4,$L$4, G39=$K$5,$L$5, G39=$K$6,$L$6,G39=$K$7,$L$7, G39=$K$8,$L$8)</f>
        <v>1500</v>
      </c>
      <c r="J39" s="80"/>
    </row>
    <row r="40" spans="1:10">
      <c r="A40" s="171" t="s">
        <v>1284</v>
      </c>
      <c r="B40" s="172" t="s">
        <v>1257</v>
      </c>
      <c r="C40" s="171" t="s">
        <v>1282</v>
      </c>
      <c r="D40" s="173">
        <v>41278</v>
      </c>
      <c r="E40" s="174">
        <v>9</v>
      </c>
      <c r="F40" s="175">
        <v>88169</v>
      </c>
      <c r="G40" s="172">
        <v>5</v>
      </c>
      <c r="H40" s="176">
        <f t="shared" si="0"/>
        <v>3000</v>
      </c>
      <c r="I40" s="80" cm="1">
        <f t="array" ref="I40">_xlfn.IFS(G40=$K$4,$L$4, G40=$K$5,$L$5, G40=$K$6,$L$6,G40=$K$7,$L$7, G40=$K$8,$L$8)</f>
        <v>3000</v>
      </c>
      <c r="J40" s="80"/>
    </row>
    <row r="41" spans="1:10">
      <c r="A41" s="171" t="s">
        <v>1285</v>
      </c>
      <c r="B41" s="172" t="s">
        <v>1255</v>
      </c>
      <c r="C41" s="171" t="s">
        <v>1282</v>
      </c>
      <c r="D41" s="173">
        <v>37974</v>
      </c>
      <c r="E41" s="174">
        <v>18</v>
      </c>
      <c r="F41" s="175">
        <v>83157</v>
      </c>
      <c r="G41" s="172">
        <v>3</v>
      </c>
      <c r="H41" s="176">
        <f t="shared" si="0"/>
        <v>900</v>
      </c>
      <c r="I41" s="80" cm="1">
        <f t="array" ref="I41">_xlfn.IFS(G41=$K$4,$L$4, G41=$K$5,$L$5, G41=$K$6,$L$6,G41=$K$7,$L$7, G41=$K$8,$L$8)</f>
        <v>900</v>
      </c>
      <c r="J41" s="80"/>
    </row>
    <row r="42" spans="1:10">
      <c r="A42" s="171" t="s">
        <v>1286</v>
      </c>
      <c r="B42" s="172" t="s">
        <v>120</v>
      </c>
      <c r="C42" s="171" t="s">
        <v>1282</v>
      </c>
      <c r="D42" s="173">
        <v>41311</v>
      </c>
      <c r="E42" s="174">
        <v>8</v>
      </c>
      <c r="F42" s="175">
        <v>71963</v>
      </c>
      <c r="G42" s="172">
        <v>2</v>
      </c>
      <c r="H42" s="176">
        <f t="shared" si="0"/>
        <v>100</v>
      </c>
      <c r="I42" s="80" cm="1">
        <f t="array" ref="I42">_xlfn.IFS(G42=$K$4,$L$4, G42=$K$5,$L$5, G42=$K$6,$L$6,G42=$K$7,$L$7, G42=$K$8,$L$8)</f>
        <v>100</v>
      </c>
      <c r="J42" s="80"/>
    </row>
    <row r="43" spans="1:10">
      <c r="A43" s="171" t="s">
        <v>1287</v>
      </c>
      <c r="B43" s="172" t="s">
        <v>129</v>
      </c>
      <c r="C43" s="171" t="s">
        <v>1282</v>
      </c>
      <c r="D43" s="173">
        <v>36907</v>
      </c>
      <c r="E43" s="174">
        <v>21</v>
      </c>
      <c r="F43" s="175">
        <v>84121</v>
      </c>
      <c r="G43" s="172">
        <v>3</v>
      </c>
      <c r="H43" s="176">
        <f t="shared" si="0"/>
        <v>900</v>
      </c>
      <c r="I43" s="80" cm="1">
        <f t="array" ref="I43">_xlfn.IFS(G43=$K$4,$L$4, G43=$K$5,$L$5, G43=$K$6,$L$6,G43=$K$7,$L$7, G43=$K$8,$L$8)</f>
        <v>900</v>
      </c>
      <c r="J43" s="80"/>
    </row>
    <row r="44" spans="1:10">
      <c r="A44" s="171" t="s">
        <v>1288</v>
      </c>
      <c r="B44" s="172" t="s">
        <v>1257</v>
      </c>
      <c r="C44" s="171" t="s">
        <v>1282</v>
      </c>
      <c r="D44" s="173">
        <v>36920</v>
      </c>
      <c r="E44" s="174">
        <v>20</v>
      </c>
      <c r="F44" s="175">
        <v>73059</v>
      </c>
      <c r="G44" s="172">
        <v>4</v>
      </c>
      <c r="H44" s="176">
        <f t="shared" si="0"/>
        <v>1500</v>
      </c>
      <c r="I44" s="80" cm="1">
        <f t="array" ref="I44">_xlfn.IFS(G44=$K$4,$L$4, G44=$K$5,$L$5, G44=$K$6,$L$6,G44=$K$7,$L$7, G44=$K$8,$L$8)</f>
        <v>1500</v>
      </c>
      <c r="J44" s="80"/>
    </row>
    <row r="45" spans="1:10">
      <c r="A45" s="171" t="s">
        <v>1289</v>
      </c>
      <c r="B45" s="172" t="s">
        <v>1257</v>
      </c>
      <c r="C45" s="171" t="s">
        <v>1282</v>
      </c>
      <c r="D45" s="173">
        <v>36926</v>
      </c>
      <c r="E45" s="174">
        <v>20</v>
      </c>
      <c r="F45" s="175">
        <v>115255</v>
      </c>
      <c r="G45" s="172">
        <v>5</v>
      </c>
      <c r="H45" s="176">
        <f t="shared" si="0"/>
        <v>3000</v>
      </c>
      <c r="I45" s="80" cm="1">
        <f t="array" ref="I45">_xlfn.IFS(G45=$K$4,$L$4, G45=$K$5,$L$5, G45=$K$6,$L$6,G45=$K$7,$L$7, G45=$K$8,$L$8)</f>
        <v>3000</v>
      </c>
      <c r="J45" s="80"/>
    </row>
    <row r="46" spans="1:10">
      <c r="A46" s="171" t="s">
        <v>1290</v>
      </c>
      <c r="B46" s="172" t="s">
        <v>1254</v>
      </c>
      <c r="C46" s="171" t="s">
        <v>1282</v>
      </c>
      <c r="D46" s="173">
        <v>41653</v>
      </c>
      <c r="E46" s="174">
        <v>8</v>
      </c>
      <c r="F46" s="175">
        <v>75259</v>
      </c>
      <c r="G46" s="172">
        <v>2</v>
      </c>
      <c r="H46" s="176">
        <f t="shared" si="0"/>
        <v>100</v>
      </c>
      <c r="I46" s="80" cm="1">
        <f t="array" ref="I46">_xlfn.IFS(G46=$K$4,$L$4, G46=$K$5,$L$5, G46=$K$6,$L$6,G46=$K$7,$L$7, G46=$K$8,$L$8)</f>
        <v>100</v>
      </c>
      <c r="J46" s="80"/>
    </row>
    <row r="47" spans="1:10">
      <c r="A47" s="171" t="s">
        <v>1291</v>
      </c>
      <c r="B47" s="172" t="s">
        <v>129</v>
      </c>
      <c r="C47" s="171" t="s">
        <v>1282</v>
      </c>
      <c r="D47" s="173">
        <v>41674</v>
      </c>
      <c r="E47" s="174">
        <v>7</v>
      </c>
      <c r="F47" s="175">
        <v>104597</v>
      </c>
      <c r="G47" s="172">
        <v>5</v>
      </c>
      <c r="H47" s="176">
        <f t="shared" si="0"/>
        <v>3000</v>
      </c>
      <c r="I47" s="80" cm="1">
        <f t="array" ref="I47">_xlfn.IFS(G47=$K$4,$L$4, G47=$K$5,$L$5, G47=$K$6,$L$6,G47=$K$7,$L$7, G47=$K$8,$L$8)</f>
        <v>3000</v>
      </c>
      <c r="J47" s="80"/>
    </row>
    <row r="48" spans="1:10">
      <c r="A48" s="171" t="s">
        <v>1292</v>
      </c>
      <c r="B48" s="172" t="s">
        <v>1254</v>
      </c>
      <c r="C48" s="171" t="s">
        <v>1282</v>
      </c>
      <c r="D48" s="173">
        <v>42061</v>
      </c>
      <c r="E48" s="174">
        <v>6</v>
      </c>
      <c r="F48" s="175">
        <v>124141</v>
      </c>
      <c r="G48" s="172">
        <v>1</v>
      </c>
      <c r="H48" s="176">
        <f t="shared" si="0"/>
        <v>0</v>
      </c>
      <c r="I48" s="80" cm="1">
        <f t="array" ref="I48">_xlfn.IFS(G48=$K$4,$L$4, G48=$K$5,$L$5, G48=$K$6,$L$6,G48=$K$7,$L$7, G48=$K$8,$L$8)</f>
        <v>0</v>
      </c>
      <c r="J48" s="80"/>
    </row>
    <row r="49" spans="1:10">
      <c r="A49" s="171" t="s">
        <v>1293</v>
      </c>
      <c r="B49" s="172" t="s">
        <v>1257</v>
      </c>
      <c r="C49" s="171" t="s">
        <v>1282</v>
      </c>
      <c r="D49" s="173">
        <v>39870</v>
      </c>
      <c r="E49" s="174">
        <v>12</v>
      </c>
      <c r="F49" s="175">
        <v>119465</v>
      </c>
      <c r="G49" s="172">
        <v>5</v>
      </c>
      <c r="H49" s="176">
        <f t="shared" si="0"/>
        <v>3000</v>
      </c>
      <c r="I49" s="80" cm="1">
        <f t="array" ref="I49">_xlfn.IFS(G49=$K$4,$L$4, G49=$K$5,$L$5, G49=$K$6,$L$6,G49=$K$7,$L$7, G49=$K$8,$L$8)</f>
        <v>3000</v>
      </c>
      <c r="J49" s="80"/>
    </row>
    <row r="50" spans="1:10">
      <c r="A50" s="171" t="s">
        <v>1294</v>
      </c>
      <c r="B50" s="172" t="s">
        <v>105</v>
      </c>
      <c r="C50" s="171" t="s">
        <v>1282</v>
      </c>
      <c r="D50" s="173">
        <v>39882</v>
      </c>
      <c r="E50" s="174">
        <v>12</v>
      </c>
      <c r="F50" s="175">
        <v>51489</v>
      </c>
      <c r="G50" s="172">
        <v>4</v>
      </c>
      <c r="H50" s="176">
        <f t="shared" si="0"/>
        <v>1500</v>
      </c>
      <c r="I50" s="80" cm="1">
        <f t="array" ref="I50">_xlfn.IFS(G50=$K$4,$L$4, G50=$K$5,$L$5, G50=$K$6,$L$6,G50=$K$7,$L$7, G50=$K$8,$L$8)</f>
        <v>1500</v>
      </c>
      <c r="J50" s="80"/>
    </row>
    <row r="51" spans="1:10">
      <c r="A51" s="171" t="s">
        <v>1295</v>
      </c>
      <c r="B51" s="172" t="s">
        <v>129</v>
      </c>
      <c r="C51" s="171" t="s">
        <v>1282</v>
      </c>
      <c r="D51" s="173">
        <v>37680</v>
      </c>
      <c r="E51" s="174">
        <v>18</v>
      </c>
      <c r="F51" s="175">
        <v>46075</v>
      </c>
      <c r="G51" s="172">
        <v>3</v>
      </c>
      <c r="H51" s="176">
        <f t="shared" si="0"/>
        <v>900</v>
      </c>
      <c r="I51" s="80" cm="1">
        <f t="array" ref="I51">_xlfn.IFS(G51=$K$4,$L$4, G51=$K$5,$L$5, G51=$K$6,$L$6,G51=$K$7,$L$7, G51=$K$8,$L$8)</f>
        <v>900</v>
      </c>
      <c r="J51" s="80"/>
    </row>
    <row r="52" spans="1:10">
      <c r="A52" s="171" t="s">
        <v>1296</v>
      </c>
      <c r="B52" s="172" t="s">
        <v>105</v>
      </c>
      <c r="C52" s="171" t="s">
        <v>1282</v>
      </c>
      <c r="D52" s="173">
        <v>41731</v>
      </c>
      <c r="E52" s="174">
        <v>7</v>
      </c>
      <c r="F52" s="175">
        <v>102833</v>
      </c>
      <c r="G52" s="172">
        <v>2</v>
      </c>
      <c r="H52" s="176">
        <f t="shared" si="0"/>
        <v>100</v>
      </c>
      <c r="I52" s="80" cm="1">
        <f t="array" ref="I52">_xlfn.IFS(G52=$K$4,$L$4, G52=$K$5,$L$5, G52=$K$6,$L$6,G52=$K$7,$L$7, G52=$K$8,$L$8)</f>
        <v>100</v>
      </c>
      <c r="J52" s="80"/>
    </row>
    <row r="53" spans="1:10">
      <c r="A53" s="171" t="s">
        <v>1297</v>
      </c>
      <c r="B53" s="172" t="s">
        <v>105</v>
      </c>
      <c r="C53" s="171" t="s">
        <v>1282</v>
      </c>
      <c r="D53" s="173">
        <v>41351</v>
      </c>
      <c r="E53" s="174">
        <v>8</v>
      </c>
      <c r="F53" s="175">
        <v>65490</v>
      </c>
      <c r="G53" s="172">
        <v>2</v>
      </c>
      <c r="H53" s="176">
        <f t="shared" si="0"/>
        <v>100</v>
      </c>
      <c r="I53" s="80" cm="1">
        <f t="array" ref="I53">_xlfn.IFS(G53=$K$4,$L$4, G53=$K$5,$L$5, G53=$K$6,$L$6,G53=$K$7,$L$7, G53=$K$8,$L$8)</f>
        <v>100</v>
      </c>
      <c r="J53" s="80"/>
    </row>
    <row r="54" spans="1:10">
      <c r="A54" s="171" t="s">
        <v>1298</v>
      </c>
      <c r="B54" s="172" t="s">
        <v>1257</v>
      </c>
      <c r="C54" s="171" t="s">
        <v>1282</v>
      </c>
      <c r="D54" s="173">
        <v>36980</v>
      </c>
      <c r="E54" s="174">
        <v>20</v>
      </c>
      <c r="F54" s="175">
        <v>109822</v>
      </c>
      <c r="G54" s="172">
        <v>3</v>
      </c>
      <c r="H54" s="176">
        <f t="shared" si="0"/>
        <v>900</v>
      </c>
      <c r="I54" s="80" cm="1">
        <f t="array" ref="I54">_xlfn.IFS(G54=$K$4,$L$4, G54=$K$5,$L$5, G54=$K$6,$L$6,G54=$K$7,$L$7, G54=$K$8,$L$8)</f>
        <v>900</v>
      </c>
      <c r="J54" s="80"/>
    </row>
    <row r="55" spans="1:10">
      <c r="A55" s="171" t="s">
        <v>1299</v>
      </c>
      <c r="B55" s="172" t="s">
        <v>129</v>
      </c>
      <c r="C55" s="171" t="s">
        <v>1282</v>
      </c>
      <c r="D55" s="173">
        <v>38086</v>
      </c>
      <c r="E55" s="174">
        <v>17</v>
      </c>
      <c r="F55" s="175">
        <v>93149</v>
      </c>
      <c r="G55" s="172">
        <v>4</v>
      </c>
      <c r="H55" s="176">
        <f t="shared" si="0"/>
        <v>1500</v>
      </c>
      <c r="I55" s="80" cm="1">
        <f t="array" ref="I55">_xlfn.IFS(G55=$K$4,$L$4, G55=$K$5,$L$5, G55=$K$6,$L$6,G55=$K$7,$L$7, G55=$K$8,$L$8)</f>
        <v>1500</v>
      </c>
      <c r="J55" s="80"/>
    </row>
    <row r="56" spans="1:10">
      <c r="A56" s="171" t="s">
        <v>1300</v>
      </c>
      <c r="B56" s="172" t="s">
        <v>129</v>
      </c>
      <c r="C56" s="171" t="s">
        <v>1282</v>
      </c>
      <c r="D56" s="173">
        <v>38426</v>
      </c>
      <c r="E56" s="174">
        <v>16</v>
      </c>
      <c r="F56" s="175">
        <v>79729</v>
      </c>
      <c r="G56" s="172">
        <v>3</v>
      </c>
      <c r="H56" s="176">
        <f t="shared" si="0"/>
        <v>900</v>
      </c>
      <c r="I56" s="80" cm="1">
        <f t="array" ref="I56">_xlfn.IFS(G56=$K$4,$L$4, G56=$K$5,$L$5, G56=$K$6,$L$6,G56=$K$7,$L$7, G56=$K$8,$L$8)</f>
        <v>900</v>
      </c>
      <c r="J56" s="80"/>
    </row>
    <row r="57" spans="1:10">
      <c r="A57" s="171" t="s">
        <v>1301</v>
      </c>
      <c r="B57" s="172" t="s">
        <v>120</v>
      </c>
      <c r="C57" s="171" t="s">
        <v>1282</v>
      </c>
      <c r="D57" s="173">
        <v>41000</v>
      </c>
      <c r="E57" s="174">
        <v>9</v>
      </c>
      <c r="F57" s="175">
        <v>54814</v>
      </c>
      <c r="G57" s="172">
        <v>3</v>
      </c>
      <c r="H57" s="176">
        <f t="shared" si="0"/>
        <v>900</v>
      </c>
      <c r="I57" s="80" cm="1">
        <f t="array" ref="I57">_xlfn.IFS(G57=$K$4,$L$4, G57=$K$5,$L$5, G57=$K$6,$L$6,G57=$K$7,$L$7, G57=$K$8,$L$8)</f>
        <v>900</v>
      </c>
      <c r="J57" s="80"/>
    </row>
    <row r="58" spans="1:10">
      <c r="A58" s="171" t="s">
        <v>1302</v>
      </c>
      <c r="B58" s="172" t="s">
        <v>1257</v>
      </c>
      <c r="C58" s="171" t="s">
        <v>1282</v>
      </c>
      <c r="D58" s="173">
        <v>41352</v>
      </c>
      <c r="E58" s="174">
        <v>8</v>
      </c>
      <c r="F58" s="175">
        <v>96191</v>
      </c>
      <c r="G58" s="172">
        <v>1</v>
      </c>
      <c r="H58" s="176">
        <f t="shared" si="0"/>
        <v>0</v>
      </c>
      <c r="I58" s="80" cm="1">
        <f t="array" ref="I58">_xlfn.IFS(G58=$K$4,$L$4, G58=$K$5,$L$5, G58=$K$6,$L$6,G58=$K$7,$L$7, G58=$K$8,$L$8)</f>
        <v>0</v>
      </c>
      <c r="J58" s="80"/>
    </row>
    <row r="59" spans="1:10">
      <c r="A59" s="171" t="s">
        <v>1303</v>
      </c>
      <c r="B59" s="172" t="s">
        <v>105</v>
      </c>
      <c r="C59" s="171" t="s">
        <v>1282</v>
      </c>
      <c r="D59" s="173">
        <v>41370</v>
      </c>
      <c r="E59" s="174">
        <v>8</v>
      </c>
      <c r="F59" s="175">
        <v>112396</v>
      </c>
      <c r="G59" s="172">
        <v>1</v>
      </c>
      <c r="H59" s="176">
        <f t="shared" si="0"/>
        <v>0</v>
      </c>
      <c r="I59" s="80" cm="1">
        <f t="array" ref="I59">_xlfn.IFS(G59=$K$4,$L$4, G59=$K$5,$L$5, G59=$K$6,$L$6,G59=$K$7,$L$7, G59=$K$8,$L$8)</f>
        <v>0</v>
      </c>
      <c r="J59" s="80"/>
    </row>
    <row r="60" spans="1:10">
      <c r="A60" s="171" t="s">
        <v>1304</v>
      </c>
      <c r="B60" s="172" t="s">
        <v>129</v>
      </c>
      <c r="C60" s="171" t="s">
        <v>1282</v>
      </c>
      <c r="D60" s="173">
        <v>42129</v>
      </c>
      <c r="E60" s="174">
        <v>6</v>
      </c>
      <c r="F60" s="175">
        <v>118240</v>
      </c>
      <c r="G60" s="172">
        <v>3</v>
      </c>
      <c r="H60" s="176">
        <f t="shared" si="0"/>
        <v>900</v>
      </c>
      <c r="I60" s="80" cm="1">
        <f t="array" ref="I60">_xlfn.IFS(G60=$K$4,$L$4, G60=$K$5,$L$5, G60=$K$6,$L$6,G60=$K$7,$L$7, G60=$K$8,$L$8)</f>
        <v>900</v>
      </c>
      <c r="J60" s="80"/>
    </row>
    <row r="61" spans="1:10">
      <c r="A61" s="171" t="s">
        <v>1305</v>
      </c>
      <c r="B61" s="172" t="s">
        <v>129</v>
      </c>
      <c r="C61" s="171" t="s">
        <v>1282</v>
      </c>
      <c r="D61" s="173">
        <v>40666</v>
      </c>
      <c r="E61" s="174">
        <v>10</v>
      </c>
      <c r="F61" s="175">
        <v>114408</v>
      </c>
      <c r="G61" s="172">
        <v>5</v>
      </c>
      <c r="H61" s="176">
        <f t="shared" si="0"/>
        <v>3000</v>
      </c>
      <c r="I61" s="80" cm="1">
        <f t="array" ref="I61">_xlfn.IFS(G61=$K$4,$L$4, G61=$K$5,$L$5, G61=$K$6,$L$6,G61=$K$7,$L$7, G61=$K$8,$L$8)</f>
        <v>3000</v>
      </c>
      <c r="J61" s="80"/>
    </row>
    <row r="62" spans="1:10">
      <c r="A62" s="171" t="s">
        <v>1306</v>
      </c>
      <c r="B62" s="172" t="s">
        <v>1257</v>
      </c>
      <c r="C62" s="171" t="s">
        <v>1282</v>
      </c>
      <c r="D62" s="173">
        <v>40293</v>
      </c>
      <c r="E62" s="174">
        <v>11</v>
      </c>
      <c r="F62" s="175">
        <v>104133</v>
      </c>
      <c r="G62" s="172">
        <v>5</v>
      </c>
      <c r="H62" s="176">
        <f t="shared" si="0"/>
        <v>3000</v>
      </c>
      <c r="I62" s="80" cm="1">
        <f t="array" ref="I62">_xlfn.IFS(G62=$K$4,$L$4, G62=$K$5,$L$5, G62=$K$6,$L$6,G62=$K$7,$L$7, G62=$K$8,$L$8)</f>
        <v>3000</v>
      </c>
      <c r="J62" s="80"/>
    </row>
    <row r="63" spans="1:10">
      <c r="A63" s="171" t="s">
        <v>1307</v>
      </c>
      <c r="B63" s="172" t="s">
        <v>1254</v>
      </c>
      <c r="C63" s="171" t="s">
        <v>1282</v>
      </c>
      <c r="D63" s="173">
        <v>41388</v>
      </c>
      <c r="E63" s="174">
        <v>8</v>
      </c>
      <c r="F63" s="175">
        <v>99457</v>
      </c>
      <c r="G63" s="172">
        <v>5</v>
      </c>
      <c r="H63" s="176">
        <f t="shared" si="0"/>
        <v>3000</v>
      </c>
      <c r="I63" s="80" cm="1">
        <f t="array" ref="I63">_xlfn.IFS(G63=$K$4,$L$4, G63=$K$5,$L$5, G63=$K$6,$L$6,G63=$K$7,$L$7, G63=$K$8,$L$8)</f>
        <v>3000</v>
      </c>
      <c r="J63" s="80"/>
    </row>
    <row r="64" spans="1:10">
      <c r="A64" s="171" t="s">
        <v>1308</v>
      </c>
      <c r="B64" s="172" t="s">
        <v>129</v>
      </c>
      <c r="C64" s="171" t="s">
        <v>1282</v>
      </c>
      <c r="D64" s="173">
        <v>41398</v>
      </c>
      <c r="E64" s="174">
        <v>8</v>
      </c>
      <c r="F64" s="175">
        <v>49254</v>
      </c>
      <c r="G64" s="172">
        <v>3</v>
      </c>
      <c r="H64" s="176">
        <f t="shared" si="0"/>
        <v>900</v>
      </c>
      <c r="I64" s="80" cm="1">
        <f t="array" ref="I64">_xlfn.IFS(G64=$K$4,$L$4, G64=$K$5,$L$5, G64=$K$6,$L$6,G64=$K$7,$L$7, G64=$K$8,$L$8)</f>
        <v>900</v>
      </c>
      <c r="J64" s="80"/>
    </row>
    <row r="65" spans="1:10">
      <c r="A65" s="171" t="s">
        <v>1309</v>
      </c>
      <c r="B65" s="172" t="s">
        <v>129</v>
      </c>
      <c r="C65" s="171" t="s">
        <v>1282</v>
      </c>
      <c r="D65" s="173">
        <v>39934</v>
      </c>
      <c r="E65" s="174">
        <v>12</v>
      </c>
      <c r="F65" s="175">
        <v>126756</v>
      </c>
      <c r="G65" s="172">
        <v>2</v>
      </c>
      <c r="H65" s="176">
        <f t="shared" si="0"/>
        <v>100</v>
      </c>
      <c r="I65" s="80" cm="1">
        <f t="array" ref="I65">_xlfn.IFS(G65=$K$4,$L$4, G65=$K$5,$L$5, G65=$K$6,$L$6,G65=$K$7,$L$7, G65=$K$8,$L$8)</f>
        <v>100</v>
      </c>
      <c r="J65" s="80"/>
    </row>
    <row r="66" spans="1:10">
      <c r="A66" s="171" t="s">
        <v>1310</v>
      </c>
      <c r="B66" s="172" t="s">
        <v>1255</v>
      </c>
      <c r="C66" s="171" t="s">
        <v>1282</v>
      </c>
      <c r="D66" s="173">
        <v>37018</v>
      </c>
      <c r="E66" s="174">
        <v>20</v>
      </c>
      <c r="F66" s="175">
        <v>115133</v>
      </c>
      <c r="G66" s="172">
        <v>5</v>
      </c>
      <c r="H66" s="176">
        <f t="shared" si="0"/>
        <v>3000</v>
      </c>
      <c r="I66" s="80" cm="1">
        <f t="array" ref="I66">_xlfn.IFS(G66=$K$4,$L$4, G66=$K$5,$L$5, G66=$K$6,$L$6,G66=$K$7,$L$7, G66=$K$8,$L$8)</f>
        <v>3000</v>
      </c>
      <c r="J66" s="80"/>
    </row>
    <row r="67" spans="1:10">
      <c r="A67" s="171" t="s">
        <v>1311</v>
      </c>
      <c r="B67" s="172" t="s">
        <v>129</v>
      </c>
      <c r="C67" s="171" t="s">
        <v>1282</v>
      </c>
      <c r="D67" s="173">
        <v>38096</v>
      </c>
      <c r="E67" s="174">
        <v>17</v>
      </c>
      <c r="F67" s="175">
        <v>101108</v>
      </c>
      <c r="G67" s="172">
        <v>4</v>
      </c>
      <c r="H67" s="176">
        <f t="shared" ref="H67:H130" si="1">IF(G67=$K$4,$L$4,IF(G67=$K$5,$L$5,IF(G67=$K$6,$L$6,IF(G67=$K$7,$L$7,IF(G67=$K$8,$L$8)))))</f>
        <v>1500</v>
      </c>
      <c r="I67" s="80" cm="1">
        <f t="array" ref="I67">_xlfn.IFS(G67=$K$4,$L$4, G67=$K$5,$L$5, G67=$K$6,$L$6,G67=$K$7,$L$7, G67=$K$8,$L$8)</f>
        <v>1500</v>
      </c>
      <c r="J67" s="80"/>
    </row>
    <row r="68" spans="1:10">
      <c r="A68" s="171" t="s">
        <v>1312</v>
      </c>
      <c r="B68" s="172" t="s">
        <v>129</v>
      </c>
      <c r="C68" s="171" t="s">
        <v>1282</v>
      </c>
      <c r="D68" s="173">
        <v>41037</v>
      </c>
      <c r="E68" s="174">
        <v>9</v>
      </c>
      <c r="F68" s="175">
        <v>62211</v>
      </c>
      <c r="G68" s="172">
        <v>5</v>
      </c>
      <c r="H68" s="176">
        <f t="shared" si="1"/>
        <v>3000</v>
      </c>
      <c r="I68" s="80" cm="1">
        <f t="array" ref="I68">_xlfn.IFS(G68=$K$4,$L$4, G68=$K$5,$L$5, G68=$K$6,$L$6,G68=$K$7,$L$7, G68=$K$8,$L$8)</f>
        <v>3000</v>
      </c>
      <c r="J68" s="80"/>
    </row>
    <row r="69" spans="1:10">
      <c r="A69" s="171" t="s">
        <v>1313</v>
      </c>
      <c r="B69" s="172" t="s">
        <v>105</v>
      </c>
      <c r="C69" s="171" t="s">
        <v>1282</v>
      </c>
      <c r="D69" s="173">
        <v>37043</v>
      </c>
      <c r="E69" s="174">
        <v>20</v>
      </c>
      <c r="F69" s="175">
        <v>70796</v>
      </c>
      <c r="G69" s="172">
        <v>4</v>
      </c>
      <c r="H69" s="176">
        <f t="shared" si="1"/>
        <v>1500</v>
      </c>
      <c r="I69" s="80" cm="1">
        <f t="array" ref="I69">_xlfn.IFS(G69=$K$4,$L$4, G69=$K$5,$L$5, G69=$K$6,$L$6,G69=$K$7,$L$7, G69=$K$8,$L$8)</f>
        <v>1500</v>
      </c>
      <c r="J69" s="80"/>
    </row>
    <row r="70" spans="1:10">
      <c r="A70" s="171" t="s">
        <v>1314</v>
      </c>
      <c r="B70" s="172" t="s">
        <v>129</v>
      </c>
      <c r="C70" s="171" t="s">
        <v>1282</v>
      </c>
      <c r="D70" s="173">
        <v>38863</v>
      </c>
      <c r="E70" s="174">
        <v>15</v>
      </c>
      <c r="F70" s="175">
        <v>67727</v>
      </c>
      <c r="G70" s="172">
        <v>4</v>
      </c>
      <c r="H70" s="176">
        <f t="shared" si="1"/>
        <v>1500</v>
      </c>
      <c r="I70" s="80" cm="1">
        <f t="array" ref="I70">_xlfn.IFS(G70=$K$4,$L$4, G70=$K$5,$L$5, G70=$K$6,$L$6,G70=$K$7,$L$7, G70=$K$8,$L$8)</f>
        <v>1500</v>
      </c>
      <c r="J70" s="80"/>
    </row>
    <row r="71" spans="1:10">
      <c r="A71" s="171" t="s">
        <v>1315</v>
      </c>
      <c r="B71" s="172" t="s">
        <v>105</v>
      </c>
      <c r="C71" s="171" t="s">
        <v>1282</v>
      </c>
      <c r="D71" s="173">
        <v>42169</v>
      </c>
      <c r="E71" s="174">
        <v>6</v>
      </c>
      <c r="F71" s="175">
        <v>109199</v>
      </c>
      <c r="G71" s="172">
        <v>2</v>
      </c>
      <c r="H71" s="176">
        <f t="shared" si="1"/>
        <v>100</v>
      </c>
      <c r="I71" s="80" cm="1">
        <f t="array" ref="I71">_xlfn.IFS(G71=$K$4,$L$4, G71=$K$5,$L$5, G71=$K$6,$L$6,G71=$K$7,$L$7, G71=$K$8,$L$8)</f>
        <v>100</v>
      </c>
      <c r="J71" s="80"/>
    </row>
    <row r="72" spans="1:10">
      <c r="A72" s="171" t="s">
        <v>1316</v>
      </c>
      <c r="B72" s="172" t="s">
        <v>1257</v>
      </c>
      <c r="C72" s="171" t="s">
        <v>1282</v>
      </c>
      <c r="D72" s="173">
        <v>40357</v>
      </c>
      <c r="E72" s="174">
        <v>11</v>
      </c>
      <c r="F72" s="175">
        <v>119300</v>
      </c>
      <c r="G72" s="172">
        <v>3</v>
      </c>
      <c r="H72" s="176">
        <f t="shared" si="1"/>
        <v>900</v>
      </c>
      <c r="I72" s="80" cm="1">
        <f t="array" ref="I72">_xlfn.IFS(G72=$K$4,$L$4, G72=$K$5,$L$5, G72=$K$6,$L$6,G72=$K$7,$L$7, G72=$K$8,$L$8)</f>
        <v>900</v>
      </c>
      <c r="J72" s="80"/>
    </row>
    <row r="73" spans="1:10">
      <c r="A73" s="171" t="s">
        <v>1317</v>
      </c>
      <c r="B73" s="172" t="s">
        <v>129</v>
      </c>
      <c r="C73" s="171" t="s">
        <v>1282</v>
      </c>
      <c r="D73" s="173">
        <v>41446</v>
      </c>
      <c r="E73" s="174">
        <v>8</v>
      </c>
      <c r="F73" s="175">
        <v>124619</v>
      </c>
      <c r="G73" s="172">
        <v>5</v>
      </c>
      <c r="H73" s="176">
        <f t="shared" si="1"/>
        <v>3000</v>
      </c>
      <c r="I73" s="80" cm="1">
        <f t="array" ref="I73">_xlfn.IFS(G73=$K$4,$L$4, G73=$K$5,$L$5, G73=$K$6,$L$6,G73=$K$7,$L$7, G73=$K$8,$L$8)</f>
        <v>3000</v>
      </c>
      <c r="J73" s="80"/>
    </row>
    <row r="74" spans="1:10">
      <c r="A74" s="171" t="s">
        <v>1318</v>
      </c>
      <c r="B74" s="172" t="s">
        <v>129</v>
      </c>
      <c r="C74" s="171" t="s">
        <v>1282</v>
      </c>
      <c r="D74" s="173">
        <v>41855</v>
      </c>
      <c r="E74" s="174">
        <v>7</v>
      </c>
      <c r="F74" s="175">
        <v>62470</v>
      </c>
      <c r="G74" s="172">
        <v>3</v>
      </c>
      <c r="H74" s="176">
        <f t="shared" si="1"/>
        <v>900</v>
      </c>
      <c r="I74" s="80" cm="1">
        <f t="array" ref="I74">_xlfn.IFS(G74=$K$4,$L$4, G74=$K$5,$L$5, G74=$K$6,$L$6,G74=$K$7,$L$7, G74=$K$8,$L$8)</f>
        <v>900</v>
      </c>
      <c r="J74" s="80"/>
    </row>
    <row r="75" spans="1:10">
      <c r="A75" s="171" t="s">
        <v>1319</v>
      </c>
      <c r="B75" s="172" t="s">
        <v>129</v>
      </c>
      <c r="C75" s="171" t="s">
        <v>1282</v>
      </c>
      <c r="D75" s="173">
        <v>40740</v>
      </c>
      <c r="E75" s="174">
        <v>10</v>
      </c>
      <c r="F75" s="175">
        <v>53191</v>
      </c>
      <c r="G75" s="172">
        <v>4</v>
      </c>
      <c r="H75" s="176">
        <f t="shared" si="1"/>
        <v>1500</v>
      </c>
      <c r="I75" s="80" cm="1">
        <f t="array" ref="I75">_xlfn.IFS(G75=$K$4,$L$4, G75=$K$5,$L$5, G75=$K$6,$L$6,G75=$K$7,$L$7, G75=$K$8,$L$8)</f>
        <v>1500</v>
      </c>
      <c r="J75" s="80"/>
    </row>
    <row r="76" spans="1:10">
      <c r="A76" s="171" t="s">
        <v>1320</v>
      </c>
      <c r="B76" s="172" t="s">
        <v>105</v>
      </c>
      <c r="C76" s="171" t="s">
        <v>1282</v>
      </c>
      <c r="D76" s="173">
        <v>40032</v>
      </c>
      <c r="E76" s="174">
        <v>12</v>
      </c>
      <c r="F76" s="175">
        <v>45299</v>
      </c>
      <c r="G76" s="172">
        <v>4</v>
      </c>
      <c r="H76" s="176">
        <f t="shared" si="1"/>
        <v>1500</v>
      </c>
      <c r="I76" s="80" cm="1">
        <f t="array" ref="I76">_xlfn.IFS(G76=$K$4,$L$4, G76=$K$5,$L$5, G76=$K$6,$L$6,G76=$K$7,$L$7, G76=$K$8,$L$8)</f>
        <v>1500</v>
      </c>
      <c r="J76" s="80"/>
    </row>
    <row r="77" spans="1:10">
      <c r="A77" s="171" t="s">
        <v>1321</v>
      </c>
      <c r="B77" s="172" t="s">
        <v>120</v>
      </c>
      <c r="C77" s="171" t="s">
        <v>1282</v>
      </c>
      <c r="D77" s="173">
        <v>37116</v>
      </c>
      <c r="E77" s="174">
        <v>20</v>
      </c>
      <c r="F77" s="175">
        <v>118113</v>
      </c>
      <c r="G77" s="172">
        <v>3</v>
      </c>
      <c r="H77" s="176">
        <f t="shared" si="1"/>
        <v>900</v>
      </c>
      <c r="I77" s="80" cm="1">
        <f t="array" ref="I77">_xlfn.IFS(G77=$K$4,$L$4, G77=$K$5,$L$5, G77=$K$6,$L$6,G77=$K$7,$L$7, G77=$K$8,$L$8)</f>
        <v>900</v>
      </c>
      <c r="J77" s="80"/>
    </row>
    <row r="78" spans="1:10">
      <c r="A78" s="171" t="s">
        <v>1322</v>
      </c>
      <c r="B78" s="172" t="s">
        <v>105</v>
      </c>
      <c r="C78" s="171" t="s">
        <v>1282</v>
      </c>
      <c r="D78" s="173">
        <v>37137</v>
      </c>
      <c r="E78" s="174">
        <v>20</v>
      </c>
      <c r="F78" s="175">
        <v>112624</v>
      </c>
      <c r="G78" s="172">
        <v>5</v>
      </c>
      <c r="H78" s="176">
        <f t="shared" si="1"/>
        <v>3000</v>
      </c>
      <c r="I78" s="80" cm="1">
        <f t="array" ref="I78">_xlfn.IFS(G78=$K$4,$L$4, G78=$K$5,$L$5, G78=$K$6,$L$6,G78=$K$7,$L$7, G78=$K$8,$L$8)</f>
        <v>3000</v>
      </c>
      <c r="J78" s="80"/>
    </row>
    <row r="79" spans="1:10">
      <c r="A79" s="171" t="s">
        <v>1323</v>
      </c>
      <c r="B79" s="172" t="s">
        <v>105</v>
      </c>
      <c r="C79" s="171" t="s">
        <v>1282</v>
      </c>
      <c r="D79" s="173">
        <v>40048</v>
      </c>
      <c r="E79" s="174">
        <v>12</v>
      </c>
      <c r="F79" s="175">
        <v>105125</v>
      </c>
      <c r="G79" s="172">
        <v>3</v>
      </c>
      <c r="H79" s="176">
        <f t="shared" si="1"/>
        <v>900</v>
      </c>
      <c r="I79" s="80" cm="1">
        <f t="array" ref="I79">_xlfn.IFS(G79=$K$4,$L$4, G79=$K$5,$L$5, G79=$K$6,$L$6,G79=$K$7,$L$7, G79=$K$8,$L$8)</f>
        <v>900</v>
      </c>
      <c r="J79" s="80"/>
    </row>
    <row r="80" spans="1:10">
      <c r="A80" s="171" t="s">
        <v>1324</v>
      </c>
      <c r="B80" s="172" t="s">
        <v>1257</v>
      </c>
      <c r="C80" s="171" t="s">
        <v>1282</v>
      </c>
      <c r="D80" s="173">
        <v>41163</v>
      </c>
      <c r="E80" s="174">
        <v>9</v>
      </c>
      <c r="F80" s="175">
        <v>51385</v>
      </c>
      <c r="G80" s="172">
        <v>5</v>
      </c>
      <c r="H80" s="176">
        <f t="shared" si="1"/>
        <v>3000</v>
      </c>
      <c r="I80" s="80" cm="1">
        <f t="array" ref="I80">_xlfn.IFS(G80=$K$4,$L$4, G80=$K$5,$L$5, G80=$K$6,$L$6,G80=$K$7,$L$7, G80=$K$8,$L$8)</f>
        <v>3000</v>
      </c>
      <c r="J80" s="80"/>
    </row>
    <row r="81" spans="1:10">
      <c r="A81" s="171" t="s">
        <v>1325</v>
      </c>
      <c r="B81" s="172" t="s">
        <v>1257</v>
      </c>
      <c r="C81" s="171" t="s">
        <v>1282</v>
      </c>
      <c r="D81" s="173">
        <v>41910</v>
      </c>
      <c r="E81" s="174">
        <v>7</v>
      </c>
      <c r="F81" s="175">
        <v>82217</v>
      </c>
      <c r="G81" s="172">
        <v>4</v>
      </c>
      <c r="H81" s="176">
        <f t="shared" si="1"/>
        <v>1500</v>
      </c>
      <c r="I81" s="80" cm="1">
        <f t="array" ref="I81">_xlfn.IFS(G81=$K$4,$L$4, G81=$K$5,$L$5, G81=$K$6,$L$6,G81=$K$7,$L$7, G81=$K$8,$L$8)</f>
        <v>1500</v>
      </c>
      <c r="J81" s="80"/>
    </row>
    <row r="82" spans="1:10">
      <c r="A82" s="171" t="s">
        <v>1326</v>
      </c>
      <c r="B82" s="172" t="s">
        <v>129</v>
      </c>
      <c r="C82" s="171" t="s">
        <v>1282</v>
      </c>
      <c r="D82" s="173">
        <v>42278</v>
      </c>
      <c r="E82" s="174">
        <v>6</v>
      </c>
      <c r="F82" s="175">
        <v>95620</v>
      </c>
      <c r="G82" s="172">
        <v>4</v>
      </c>
      <c r="H82" s="176">
        <f t="shared" si="1"/>
        <v>1500</v>
      </c>
      <c r="I82" s="80" cm="1">
        <f t="array" ref="I82">_xlfn.IFS(G82=$K$4,$L$4, G82=$K$5,$L$5, G82=$K$6,$L$6,G82=$K$7,$L$7, G82=$K$8,$L$8)</f>
        <v>1500</v>
      </c>
      <c r="J82" s="80"/>
    </row>
    <row r="83" spans="1:10">
      <c r="A83" s="171" t="s">
        <v>1327</v>
      </c>
      <c r="B83" s="172" t="s">
        <v>1255</v>
      </c>
      <c r="C83" s="171" t="s">
        <v>1282</v>
      </c>
      <c r="D83" s="173">
        <v>40457</v>
      </c>
      <c r="E83" s="174">
        <v>11</v>
      </c>
      <c r="F83" s="175">
        <v>47514</v>
      </c>
      <c r="G83" s="172">
        <v>5</v>
      </c>
      <c r="H83" s="176">
        <f t="shared" si="1"/>
        <v>3000</v>
      </c>
      <c r="I83" s="80" cm="1">
        <f t="array" ref="I83">_xlfn.IFS(G83=$K$4,$L$4, G83=$K$5,$L$5, G83=$K$6,$L$6,G83=$K$7,$L$7, G83=$K$8,$L$8)</f>
        <v>3000</v>
      </c>
      <c r="J83" s="80"/>
    </row>
    <row r="84" spans="1:10">
      <c r="A84" s="171" t="s">
        <v>1328</v>
      </c>
      <c r="B84" s="172" t="s">
        <v>105</v>
      </c>
      <c r="C84" s="171" t="s">
        <v>1282</v>
      </c>
      <c r="D84" s="173">
        <v>37165</v>
      </c>
      <c r="E84" s="174">
        <v>20</v>
      </c>
      <c r="F84" s="175">
        <v>105647</v>
      </c>
      <c r="G84" s="172">
        <v>1</v>
      </c>
      <c r="H84" s="176">
        <f t="shared" si="1"/>
        <v>0</v>
      </c>
      <c r="I84" s="80" cm="1">
        <f t="array" ref="I84">_xlfn.IFS(G84=$K$4,$L$4, G84=$K$5,$L$5, G84=$K$6,$L$6,G84=$K$7,$L$7, G84=$K$8,$L$8)</f>
        <v>0</v>
      </c>
      <c r="J84" s="80"/>
    </row>
    <row r="85" spans="1:10">
      <c r="A85" s="171" t="s">
        <v>1329</v>
      </c>
      <c r="B85" s="172" t="s">
        <v>1257</v>
      </c>
      <c r="C85" s="171" t="s">
        <v>1282</v>
      </c>
      <c r="D85" s="173">
        <v>38254</v>
      </c>
      <c r="E85" s="174">
        <v>17</v>
      </c>
      <c r="F85" s="175">
        <v>125512</v>
      </c>
      <c r="G85" s="172">
        <v>2</v>
      </c>
      <c r="H85" s="176">
        <f t="shared" si="1"/>
        <v>100</v>
      </c>
      <c r="I85" s="80" cm="1">
        <f t="array" ref="I85">_xlfn.IFS(G85=$K$4,$L$4, G85=$K$5,$L$5, G85=$K$6,$L$6,G85=$K$7,$L$7, G85=$K$8,$L$8)</f>
        <v>100</v>
      </c>
      <c r="J85" s="80"/>
    </row>
    <row r="86" spans="1:10">
      <c r="A86" s="171" t="s">
        <v>1330</v>
      </c>
      <c r="B86" s="172" t="s">
        <v>129</v>
      </c>
      <c r="C86" s="171" t="s">
        <v>1282</v>
      </c>
      <c r="D86" s="173">
        <v>40843</v>
      </c>
      <c r="E86" s="174">
        <v>10</v>
      </c>
      <c r="F86" s="175">
        <v>45315</v>
      </c>
      <c r="G86" s="172">
        <v>3</v>
      </c>
      <c r="H86" s="176">
        <f t="shared" si="1"/>
        <v>900</v>
      </c>
      <c r="I86" s="80" cm="1">
        <f t="array" ref="I86">_xlfn.IFS(G86=$K$4,$L$4, G86=$K$5,$L$5, G86=$K$6,$L$6,G86=$K$7,$L$7, G86=$K$8,$L$8)</f>
        <v>900</v>
      </c>
      <c r="J86" s="80"/>
    </row>
    <row r="87" spans="1:10">
      <c r="A87" s="171" t="s">
        <v>1331</v>
      </c>
      <c r="B87" s="172" t="s">
        <v>105</v>
      </c>
      <c r="C87" s="171" t="s">
        <v>1282</v>
      </c>
      <c r="D87" s="173">
        <v>37548</v>
      </c>
      <c r="E87" s="174">
        <v>19</v>
      </c>
      <c r="F87" s="175">
        <v>52224</v>
      </c>
      <c r="G87" s="172">
        <v>3</v>
      </c>
      <c r="H87" s="176">
        <f t="shared" si="1"/>
        <v>900</v>
      </c>
      <c r="I87" s="80" cm="1">
        <f t="array" ref="I87">_xlfn.IFS(G87=$K$4,$L$4, G87=$K$5,$L$5, G87=$K$6,$L$6,G87=$K$7,$L$7, G87=$K$8,$L$8)</f>
        <v>900</v>
      </c>
      <c r="J87" s="80"/>
    </row>
    <row r="88" spans="1:10">
      <c r="A88" s="171" t="s">
        <v>1332</v>
      </c>
      <c r="B88" s="172" t="s">
        <v>105</v>
      </c>
      <c r="C88" s="171" t="s">
        <v>1282</v>
      </c>
      <c r="D88" s="173">
        <v>37565</v>
      </c>
      <c r="E88" s="174">
        <v>19</v>
      </c>
      <c r="F88" s="175">
        <v>110399</v>
      </c>
      <c r="G88" s="172">
        <v>5</v>
      </c>
      <c r="H88" s="176">
        <f t="shared" si="1"/>
        <v>3000</v>
      </c>
      <c r="I88" s="80" cm="1">
        <f t="array" ref="I88">_xlfn.IFS(G88=$K$4,$L$4, G88=$K$5,$L$5, G88=$K$6,$L$6,G88=$K$7,$L$7, G88=$K$8,$L$8)</f>
        <v>3000</v>
      </c>
      <c r="J88" s="80"/>
    </row>
    <row r="89" spans="1:10">
      <c r="A89" s="171" t="s">
        <v>1333</v>
      </c>
      <c r="B89" s="172" t="s">
        <v>105</v>
      </c>
      <c r="C89" s="171" t="s">
        <v>1282</v>
      </c>
      <c r="D89" s="173">
        <v>40118</v>
      </c>
      <c r="E89" s="174">
        <v>12</v>
      </c>
      <c r="F89" s="175">
        <v>88499</v>
      </c>
      <c r="G89" s="172">
        <v>4</v>
      </c>
      <c r="H89" s="176">
        <f t="shared" si="1"/>
        <v>1500</v>
      </c>
      <c r="I89" s="80" cm="1">
        <f t="array" ref="I89">_xlfn.IFS(G89=$K$4,$L$4, G89=$K$5,$L$5, G89=$K$6,$L$6,G89=$K$7,$L$7, G89=$K$8,$L$8)</f>
        <v>1500</v>
      </c>
      <c r="J89" s="80"/>
    </row>
    <row r="90" spans="1:10">
      <c r="A90" s="171" t="s">
        <v>1334</v>
      </c>
      <c r="B90" s="172" t="s">
        <v>1257</v>
      </c>
      <c r="C90" s="171" t="s">
        <v>1282</v>
      </c>
      <c r="D90" s="173">
        <v>41579</v>
      </c>
      <c r="E90" s="174">
        <v>8</v>
      </c>
      <c r="F90" s="175">
        <v>104499</v>
      </c>
      <c r="G90" s="172">
        <v>3</v>
      </c>
      <c r="H90" s="176">
        <f t="shared" si="1"/>
        <v>900</v>
      </c>
      <c r="I90" s="80" cm="1">
        <f t="array" ref="I90">_xlfn.IFS(G90=$K$4,$L$4, G90=$K$5,$L$5, G90=$K$6,$L$6,G90=$K$7,$L$7, G90=$K$8,$L$8)</f>
        <v>900</v>
      </c>
      <c r="J90" s="80"/>
    </row>
    <row r="91" spans="1:10">
      <c r="A91" s="171" t="s">
        <v>1335</v>
      </c>
      <c r="B91" s="172" t="s">
        <v>1257</v>
      </c>
      <c r="C91" s="171" t="s">
        <v>1282</v>
      </c>
      <c r="D91" s="173">
        <v>40881</v>
      </c>
      <c r="E91" s="174">
        <v>10</v>
      </c>
      <c r="F91" s="175">
        <v>108152</v>
      </c>
      <c r="G91" s="172">
        <v>1</v>
      </c>
      <c r="H91" s="176">
        <f t="shared" si="1"/>
        <v>0</v>
      </c>
      <c r="I91" s="80" cm="1">
        <f t="array" ref="I91">_xlfn.IFS(G91=$K$4,$L$4, G91=$K$5,$L$5, G91=$K$6,$L$6,G91=$K$7,$L$7, G91=$K$8,$L$8)</f>
        <v>0</v>
      </c>
      <c r="J91" s="80"/>
    </row>
    <row r="92" spans="1:10">
      <c r="A92" s="171" t="s">
        <v>1336</v>
      </c>
      <c r="B92" s="172" t="s">
        <v>1257</v>
      </c>
      <c r="C92" s="171" t="s">
        <v>1282</v>
      </c>
      <c r="D92" s="173">
        <v>41958</v>
      </c>
      <c r="E92" s="174">
        <v>7</v>
      </c>
      <c r="F92" s="175">
        <v>126555</v>
      </c>
      <c r="G92" s="172">
        <v>5</v>
      </c>
      <c r="H92" s="176">
        <f t="shared" si="1"/>
        <v>3000</v>
      </c>
      <c r="I92" s="80" cm="1">
        <f t="array" ref="I92">_xlfn.IFS(G92=$K$4,$L$4, G92=$K$5,$L$5, G92=$K$6,$L$6,G92=$K$7,$L$7, G92=$K$8,$L$8)</f>
        <v>3000</v>
      </c>
      <c r="J92" s="80"/>
    </row>
    <row r="93" spans="1:10">
      <c r="A93" s="171" t="s">
        <v>1337</v>
      </c>
      <c r="B93" s="172" t="s">
        <v>129</v>
      </c>
      <c r="C93" s="171" t="s">
        <v>1282</v>
      </c>
      <c r="D93" s="173">
        <v>37584</v>
      </c>
      <c r="E93" s="174">
        <v>19</v>
      </c>
      <c r="F93" s="175">
        <v>57059</v>
      </c>
      <c r="G93" s="172">
        <v>1</v>
      </c>
      <c r="H93" s="176">
        <f t="shared" si="1"/>
        <v>0</v>
      </c>
      <c r="I93" s="80" cm="1">
        <f t="array" ref="I93">_xlfn.IFS(G93=$K$4,$L$4, G93=$K$5,$L$5, G93=$K$6,$L$6,G93=$K$7,$L$7, G93=$K$8,$L$8)</f>
        <v>0</v>
      </c>
      <c r="J93" s="80"/>
    </row>
    <row r="94" spans="1:10">
      <c r="A94" s="171" t="s">
        <v>1338</v>
      </c>
      <c r="B94" s="172" t="s">
        <v>1257</v>
      </c>
      <c r="C94" s="171" t="s">
        <v>1282</v>
      </c>
      <c r="D94" s="173">
        <v>38319</v>
      </c>
      <c r="E94" s="174">
        <v>17</v>
      </c>
      <c r="F94" s="175">
        <v>123803</v>
      </c>
      <c r="G94" s="172">
        <v>5</v>
      </c>
      <c r="H94" s="176">
        <f t="shared" si="1"/>
        <v>3000</v>
      </c>
      <c r="I94" s="80" cm="1">
        <f t="array" ref="I94">_xlfn.IFS(G94=$K$4,$L$4, G94=$K$5,$L$5, G94=$K$6,$L$6,G94=$K$7,$L$7, G94=$K$8,$L$8)</f>
        <v>3000</v>
      </c>
      <c r="J94" s="80"/>
    </row>
    <row r="95" spans="1:10">
      <c r="A95" s="171" t="s">
        <v>1339</v>
      </c>
      <c r="B95" s="172" t="s">
        <v>105</v>
      </c>
      <c r="C95" s="171" t="s">
        <v>1282</v>
      </c>
      <c r="D95" s="173">
        <v>39038</v>
      </c>
      <c r="E95" s="174">
        <v>15</v>
      </c>
      <c r="F95" s="175">
        <v>85917</v>
      </c>
      <c r="G95" s="172">
        <v>5</v>
      </c>
      <c r="H95" s="176">
        <f t="shared" si="1"/>
        <v>3000</v>
      </c>
      <c r="I95" s="80" cm="1">
        <f t="array" ref="I95">_xlfn.IFS(G95=$K$4,$L$4, G95=$K$5,$L$5, G95=$K$6,$L$6,G95=$K$7,$L$7, G95=$K$8,$L$8)</f>
        <v>3000</v>
      </c>
      <c r="J95" s="80"/>
    </row>
    <row r="96" spans="1:10">
      <c r="A96" s="171" t="s">
        <v>1340</v>
      </c>
      <c r="B96" s="172" t="s">
        <v>1255</v>
      </c>
      <c r="C96" s="171" t="s">
        <v>1282</v>
      </c>
      <c r="D96" s="173">
        <v>40880</v>
      </c>
      <c r="E96" s="174">
        <v>10</v>
      </c>
      <c r="F96" s="175">
        <v>53330</v>
      </c>
      <c r="G96" s="172">
        <v>3</v>
      </c>
      <c r="H96" s="176">
        <f t="shared" si="1"/>
        <v>900</v>
      </c>
      <c r="I96" s="80" cm="1">
        <f t="array" ref="I96">_xlfn.IFS(G96=$K$4,$L$4, G96=$K$5,$L$5, G96=$K$6,$L$6,G96=$K$7,$L$7, G96=$K$8,$L$8)</f>
        <v>900</v>
      </c>
      <c r="J96" s="80"/>
    </row>
    <row r="97" spans="1:10">
      <c r="A97" s="171" t="s">
        <v>1341</v>
      </c>
      <c r="B97" s="172" t="s">
        <v>1257</v>
      </c>
      <c r="C97" s="171" t="s">
        <v>1342</v>
      </c>
      <c r="D97" s="173">
        <v>40570</v>
      </c>
      <c r="E97" s="174">
        <v>10</v>
      </c>
      <c r="F97" s="175">
        <v>73102</v>
      </c>
      <c r="G97" s="172">
        <v>4</v>
      </c>
      <c r="H97" s="176">
        <f t="shared" si="1"/>
        <v>1500</v>
      </c>
      <c r="I97" s="80" cm="1">
        <f t="array" ref="I97">_xlfn.IFS(G97=$K$4,$L$4, G97=$K$5,$L$5, G97=$K$6,$L$6,G97=$K$7,$L$7, G97=$K$8,$L$8)</f>
        <v>1500</v>
      </c>
      <c r="J97" s="80"/>
    </row>
    <row r="98" spans="1:10">
      <c r="A98" s="171" t="s">
        <v>1343</v>
      </c>
      <c r="B98" s="172" t="s">
        <v>129</v>
      </c>
      <c r="C98" s="171" t="s">
        <v>1342</v>
      </c>
      <c r="D98" s="173">
        <v>39833</v>
      </c>
      <c r="E98" s="174">
        <v>13</v>
      </c>
      <c r="F98" s="175">
        <v>112538</v>
      </c>
      <c r="G98" s="172">
        <v>2</v>
      </c>
      <c r="H98" s="176">
        <f t="shared" si="1"/>
        <v>100</v>
      </c>
      <c r="I98" s="80" cm="1">
        <f t="array" ref="I98">_xlfn.IFS(G98=$K$4,$L$4, G98=$K$5,$L$5, G98=$K$6,$L$6,G98=$K$7,$L$7, G98=$K$8,$L$8)</f>
        <v>100</v>
      </c>
      <c r="J98" s="80"/>
    </row>
    <row r="99" spans="1:10">
      <c r="A99" s="171" t="s">
        <v>1344</v>
      </c>
      <c r="B99" s="172" t="s">
        <v>1257</v>
      </c>
      <c r="C99" s="171" t="s">
        <v>1342</v>
      </c>
      <c r="D99" s="173">
        <v>40607</v>
      </c>
      <c r="E99" s="174">
        <v>10</v>
      </c>
      <c r="F99" s="175">
        <v>43819</v>
      </c>
      <c r="G99" s="172">
        <v>4</v>
      </c>
      <c r="H99" s="176">
        <f t="shared" si="1"/>
        <v>1500</v>
      </c>
      <c r="I99" s="80" cm="1">
        <f t="array" ref="I99">_xlfn.IFS(G99=$K$4,$L$4, G99=$K$5,$L$5, G99=$K$6,$L$6,G99=$K$7,$L$7, G99=$K$8,$L$8)</f>
        <v>1500</v>
      </c>
      <c r="J99" s="80"/>
    </row>
    <row r="100" spans="1:10">
      <c r="A100" s="171" t="s">
        <v>1345</v>
      </c>
      <c r="B100" s="172" t="s">
        <v>129</v>
      </c>
      <c r="C100" s="171" t="s">
        <v>1342</v>
      </c>
      <c r="D100" s="173">
        <v>41331</v>
      </c>
      <c r="E100" s="174">
        <v>8</v>
      </c>
      <c r="F100" s="175">
        <v>85139</v>
      </c>
      <c r="G100" s="172">
        <v>5</v>
      </c>
      <c r="H100" s="176">
        <f t="shared" si="1"/>
        <v>3000</v>
      </c>
      <c r="I100" s="80" cm="1">
        <f t="array" ref="I100">_xlfn.IFS(G100=$K$4,$L$4, G100=$K$5,$L$5, G100=$K$6,$L$6,G100=$K$7,$L$7, G100=$K$8,$L$8)</f>
        <v>3000</v>
      </c>
      <c r="J100" s="80"/>
    </row>
    <row r="101" spans="1:10">
      <c r="A101" s="171" t="s">
        <v>1346</v>
      </c>
      <c r="B101" s="172" t="s">
        <v>129</v>
      </c>
      <c r="C101" s="171" t="s">
        <v>1342</v>
      </c>
      <c r="D101" s="173">
        <v>41001</v>
      </c>
      <c r="E101" s="174">
        <v>9</v>
      </c>
      <c r="F101" s="175">
        <v>82680</v>
      </c>
      <c r="G101" s="172">
        <v>3</v>
      </c>
      <c r="H101" s="176">
        <f t="shared" si="1"/>
        <v>900</v>
      </c>
      <c r="I101" s="80" cm="1">
        <f t="array" ref="I101">_xlfn.IFS(G101=$K$4,$L$4, G101=$K$5,$L$5, G101=$K$6,$L$6,G101=$K$7,$L$7, G101=$K$8,$L$8)</f>
        <v>900</v>
      </c>
      <c r="J101" s="80"/>
    </row>
    <row r="102" spans="1:10">
      <c r="A102" s="171" t="s">
        <v>1347</v>
      </c>
      <c r="B102" s="172" t="s">
        <v>129</v>
      </c>
      <c r="C102" s="171" t="s">
        <v>1342</v>
      </c>
      <c r="D102" s="173">
        <v>38961</v>
      </c>
      <c r="E102" s="174">
        <v>15</v>
      </c>
      <c r="F102" s="175">
        <v>103259</v>
      </c>
      <c r="G102" s="172">
        <v>1</v>
      </c>
      <c r="H102" s="176">
        <f t="shared" si="1"/>
        <v>0</v>
      </c>
      <c r="I102" s="80" cm="1">
        <f t="array" ref="I102">_xlfn.IFS(G102=$K$4,$L$4, G102=$K$5,$L$5, G102=$K$6,$L$6,G102=$K$7,$L$7, G102=$K$8,$L$8)</f>
        <v>0</v>
      </c>
      <c r="J102" s="80"/>
    </row>
    <row r="103" spans="1:10">
      <c r="A103" s="171" t="s">
        <v>1348</v>
      </c>
      <c r="B103" s="172" t="s">
        <v>120</v>
      </c>
      <c r="C103" s="171" t="s">
        <v>1342</v>
      </c>
      <c r="D103" s="173">
        <v>40466</v>
      </c>
      <c r="E103" s="174">
        <v>11</v>
      </c>
      <c r="F103" s="175">
        <v>71073</v>
      </c>
      <c r="G103" s="172">
        <v>4</v>
      </c>
      <c r="H103" s="176">
        <f t="shared" si="1"/>
        <v>1500</v>
      </c>
      <c r="I103" s="80" cm="1">
        <f t="array" ref="I103">_xlfn.IFS(G103=$K$4,$L$4, G103=$K$5,$L$5, G103=$K$6,$L$6,G103=$K$7,$L$7, G103=$K$8,$L$8)</f>
        <v>1500</v>
      </c>
      <c r="J103" s="80"/>
    </row>
    <row r="104" spans="1:10">
      <c r="A104" s="171" t="s">
        <v>1349</v>
      </c>
      <c r="B104" s="172" t="s">
        <v>1254</v>
      </c>
      <c r="C104" s="171" t="s">
        <v>1342</v>
      </c>
      <c r="D104" s="173">
        <v>41583</v>
      </c>
      <c r="E104" s="174">
        <v>8</v>
      </c>
      <c r="F104" s="175">
        <v>70153</v>
      </c>
      <c r="G104" s="172">
        <v>2</v>
      </c>
      <c r="H104" s="176">
        <f t="shared" si="1"/>
        <v>100</v>
      </c>
      <c r="I104" s="80" cm="1">
        <f t="array" ref="I104">_xlfn.IFS(G104=$K$4,$L$4, G104=$K$5,$L$5, G104=$K$6,$L$6,G104=$K$7,$L$7, G104=$K$8,$L$8)</f>
        <v>100</v>
      </c>
      <c r="J104" s="80"/>
    </row>
    <row r="105" spans="1:10">
      <c r="A105" s="171" t="s">
        <v>1350</v>
      </c>
      <c r="B105" s="172" t="s">
        <v>1257</v>
      </c>
      <c r="C105" s="171" t="s">
        <v>1351</v>
      </c>
      <c r="D105" s="173">
        <v>39814</v>
      </c>
      <c r="E105" s="174">
        <v>13</v>
      </c>
      <c r="F105" s="175">
        <v>53099</v>
      </c>
      <c r="G105" s="172">
        <v>3</v>
      </c>
      <c r="H105" s="176">
        <f t="shared" si="1"/>
        <v>900</v>
      </c>
      <c r="I105" s="80" cm="1">
        <f t="array" ref="I105">_xlfn.IFS(G105=$K$4,$L$4, G105=$K$5,$L$5, G105=$K$6,$L$6,G105=$K$7,$L$7, G105=$K$8,$L$8)</f>
        <v>900</v>
      </c>
      <c r="J105" s="80"/>
    </row>
    <row r="106" spans="1:10">
      <c r="A106" s="171" t="s">
        <v>1352</v>
      </c>
      <c r="B106" s="172" t="s">
        <v>120</v>
      </c>
      <c r="C106" s="171" t="s">
        <v>1351</v>
      </c>
      <c r="D106" s="173">
        <v>37260</v>
      </c>
      <c r="E106" s="174">
        <v>20</v>
      </c>
      <c r="F106" s="175">
        <v>52560</v>
      </c>
      <c r="G106" s="172">
        <v>5</v>
      </c>
      <c r="H106" s="176">
        <f t="shared" si="1"/>
        <v>3000</v>
      </c>
      <c r="I106" s="80" cm="1">
        <f t="array" ref="I106">_xlfn.IFS(G106=$K$4,$L$4, G106=$K$5,$L$5, G106=$K$6,$L$6,G106=$K$7,$L$7, G106=$K$8,$L$8)</f>
        <v>3000</v>
      </c>
      <c r="J106" s="80"/>
    </row>
    <row r="107" spans="1:10">
      <c r="A107" s="171" t="s">
        <v>1353</v>
      </c>
      <c r="B107" s="172" t="s">
        <v>129</v>
      </c>
      <c r="C107" s="171" t="s">
        <v>1351</v>
      </c>
      <c r="D107" s="173">
        <v>41650</v>
      </c>
      <c r="E107" s="174">
        <v>8</v>
      </c>
      <c r="F107" s="175">
        <v>46834</v>
      </c>
      <c r="G107" s="172">
        <v>4</v>
      </c>
      <c r="H107" s="176">
        <f t="shared" si="1"/>
        <v>1500</v>
      </c>
      <c r="I107" s="80" cm="1">
        <f t="array" ref="I107">_xlfn.IFS(G107=$K$4,$L$4, G107=$K$5,$L$5, G107=$K$6,$L$6,G107=$K$7,$L$7, G107=$K$8,$L$8)</f>
        <v>1500</v>
      </c>
      <c r="J107" s="80"/>
    </row>
    <row r="108" spans="1:10">
      <c r="A108" s="171" t="s">
        <v>1354</v>
      </c>
      <c r="B108" s="172" t="s">
        <v>1255</v>
      </c>
      <c r="C108" s="171" t="s">
        <v>1351</v>
      </c>
      <c r="D108" s="173">
        <v>39879</v>
      </c>
      <c r="E108" s="174">
        <v>12</v>
      </c>
      <c r="F108" s="175">
        <v>97652</v>
      </c>
      <c r="G108" s="172">
        <v>1</v>
      </c>
      <c r="H108" s="176">
        <f t="shared" si="1"/>
        <v>0</v>
      </c>
      <c r="I108" s="80" cm="1">
        <f t="array" ref="I108">_xlfn.IFS(G108=$K$4,$L$4, G108=$K$5,$L$5, G108=$K$6,$L$6,G108=$K$7,$L$7, G108=$K$8,$L$8)</f>
        <v>0</v>
      </c>
      <c r="J108" s="80"/>
    </row>
    <row r="109" spans="1:10">
      <c r="A109" s="171" t="s">
        <v>1355</v>
      </c>
      <c r="B109" s="172" t="s">
        <v>1257</v>
      </c>
      <c r="C109" s="171" t="s">
        <v>1351</v>
      </c>
      <c r="D109" s="173">
        <v>37327</v>
      </c>
      <c r="E109" s="174">
        <v>19</v>
      </c>
      <c r="F109" s="175">
        <v>44377</v>
      </c>
      <c r="G109" s="172">
        <v>2</v>
      </c>
      <c r="H109" s="176">
        <f t="shared" si="1"/>
        <v>100</v>
      </c>
      <c r="I109" s="80" cm="1">
        <f t="array" ref="I109">_xlfn.IFS(G109=$K$4,$L$4, G109=$K$5,$L$5, G109=$K$6,$L$6,G109=$K$7,$L$7, G109=$K$8,$L$8)</f>
        <v>100</v>
      </c>
      <c r="J109" s="80"/>
    </row>
    <row r="110" spans="1:10">
      <c r="A110" s="171" t="s">
        <v>1356</v>
      </c>
      <c r="B110" s="172" t="s">
        <v>129</v>
      </c>
      <c r="C110" s="171" t="s">
        <v>1351</v>
      </c>
      <c r="D110" s="173">
        <v>40225</v>
      </c>
      <c r="E110" s="174">
        <v>11</v>
      </c>
      <c r="F110" s="175">
        <v>84107</v>
      </c>
      <c r="G110" s="172">
        <v>5</v>
      </c>
      <c r="H110" s="176">
        <f t="shared" si="1"/>
        <v>3000</v>
      </c>
      <c r="I110" s="80" cm="1">
        <f t="array" ref="I110">_xlfn.IFS(G110=$K$4,$L$4, G110=$K$5,$L$5, G110=$K$6,$L$6,G110=$K$7,$L$7, G110=$K$8,$L$8)</f>
        <v>3000</v>
      </c>
      <c r="J110" s="80"/>
    </row>
    <row r="111" spans="1:10">
      <c r="A111" s="171" t="s">
        <v>1357</v>
      </c>
      <c r="B111" s="172" t="s">
        <v>1257</v>
      </c>
      <c r="C111" s="171" t="s">
        <v>1351</v>
      </c>
      <c r="D111" s="173">
        <v>41391</v>
      </c>
      <c r="E111" s="174">
        <v>8</v>
      </c>
      <c r="F111" s="175">
        <v>64749</v>
      </c>
      <c r="G111" s="172">
        <v>4</v>
      </c>
      <c r="H111" s="176">
        <f t="shared" si="1"/>
        <v>1500</v>
      </c>
      <c r="I111" s="80" cm="1">
        <f t="array" ref="I111">_xlfn.IFS(G111=$K$4,$L$4, G111=$K$5,$L$5, G111=$K$6,$L$6,G111=$K$7,$L$7, G111=$K$8,$L$8)</f>
        <v>1500</v>
      </c>
      <c r="J111" s="80"/>
    </row>
    <row r="112" spans="1:10">
      <c r="A112" s="171" t="s">
        <v>1358</v>
      </c>
      <c r="B112" s="172" t="s">
        <v>129</v>
      </c>
      <c r="C112" s="171" t="s">
        <v>1351</v>
      </c>
      <c r="D112" s="173">
        <v>40724</v>
      </c>
      <c r="E112" s="174">
        <v>10</v>
      </c>
      <c r="F112" s="175">
        <v>96101</v>
      </c>
      <c r="G112" s="172">
        <v>1</v>
      </c>
      <c r="H112" s="176">
        <f t="shared" si="1"/>
        <v>0</v>
      </c>
      <c r="I112" s="80" cm="1">
        <f t="array" ref="I112">_xlfn.IFS(G112=$K$4,$L$4, G112=$K$5,$L$5, G112=$K$6,$L$6,G112=$K$7,$L$7, G112=$K$8,$L$8)</f>
        <v>0</v>
      </c>
      <c r="J112" s="80"/>
    </row>
    <row r="113" spans="1:10">
      <c r="A113" s="171" t="s">
        <v>1359</v>
      </c>
      <c r="B113" s="172" t="s">
        <v>1257</v>
      </c>
      <c r="C113" s="171" t="s">
        <v>1351</v>
      </c>
      <c r="D113" s="173">
        <v>41594</v>
      </c>
      <c r="E113" s="174">
        <v>8</v>
      </c>
      <c r="F113" s="175">
        <v>60275</v>
      </c>
      <c r="G113" s="172">
        <v>1</v>
      </c>
      <c r="H113" s="176">
        <f t="shared" si="1"/>
        <v>0</v>
      </c>
      <c r="I113" s="80" cm="1">
        <f t="array" ref="I113">_xlfn.IFS(G113=$K$4,$L$4, G113=$K$5,$L$5, G113=$K$6,$L$6,G113=$K$7,$L$7, G113=$K$8,$L$8)</f>
        <v>0</v>
      </c>
      <c r="J113" s="80"/>
    </row>
    <row r="114" spans="1:10">
      <c r="A114" s="171" t="s">
        <v>1360</v>
      </c>
      <c r="B114" s="172" t="s">
        <v>1254</v>
      </c>
      <c r="C114" s="171" t="s">
        <v>1361</v>
      </c>
      <c r="D114" s="173">
        <v>41628</v>
      </c>
      <c r="E114" s="174">
        <v>8</v>
      </c>
      <c r="F114" s="175">
        <v>65190</v>
      </c>
      <c r="G114" s="172">
        <v>2</v>
      </c>
      <c r="H114" s="176">
        <f t="shared" si="1"/>
        <v>100</v>
      </c>
      <c r="I114" s="80" cm="1">
        <f t="array" ref="I114">_xlfn.IFS(G114=$K$4,$L$4, G114=$K$5,$L$5, G114=$K$6,$L$6,G114=$K$7,$L$7, G114=$K$8,$L$8)</f>
        <v>100</v>
      </c>
      <c r="J114" s="80"/>
    </row>
    <row r="115" spans="1:10">
      <c r="A115" s="171" t="s">
        <v>1362</v>
      </c>
      <c r="B115" s="172" t="s">
        <v>1257</v>
      </c>
      <c r="C115" s="171" t="s">
        <v>1361</v>
      </c>
      <c r="D115" s="173">
        <v>41996</v>
      </c>
      <c r="E115" s="174">
        <v>7</v>
      </c>
      <c r="F115" s="175">
        <v>121677</v>
      </c>
      <c r="G115" s="172">
        <v>5</v>
      </c>
      <c r="H115" s="176">
        <f t="shared" si="1"/>
        <v>3000</v>
      </c>
      <c r="I115" s="80" cm="1">
        <f t="array" ref="I115">_xlfn.IFS(G115=$K$4,$L$4, G115=$K$5,$L$5, G115=$K$6,$L$6,G115=$K$7,$L$7, G115=$K$8,$L$8)</f>
        <v>3000</v>
      </c>
      <c r="J115" s="80"/>
    </row>
    <row r="116" spans="1:10">
      <c r="A116" s="171" t="s">
        <v>1363</v>
      </c>
      <c r="B116" s="172" t="s">
        <v>129</v>
      </c>
      <c r="C116" s="171" t="s">
        <v>1361</v>
      </c>
      <c r="D116" s="173">
        <v>40185</v>
      </c>
      <c r="E116" s="174">
        <v>12</v>
      </c>
      <c r="F116" s="175">
        <v>54749</v>
      </c>
      <c r="G116" s="172">
        <v>4</v>
      </c>
      <c r="H116" s="176">
        <f t="shared" si="1"/>
        <v>1500</v>
      </c>
      <c r="I116" s="80" cm="1">
        <f t="array" ref="I116">_xlfn.IFS(G116=$K$4,$L$4, G116=$K$5,$L$5, G116=$K$6,$L$6,G116=$K$7,$L$7, G116=$K$8,$L$8)</f>
        <v>1500</v>
      </c>
      <c r="J116" s="80"/>
    </row>
    <row r="117" spans="1:10">
      <c r="A117" s="171" t="s">
        <v>1364</v>
      </c>
      <c r="B117" s="172" t="s">
        <v>1254</v>
      </c>
      <c r="C117" s="171" t="s">
        <v>1361</v>
      </c>
      <c r="D117" s="173">
        <v>37254</v>
      </c>
      <c r="E117" s="174">
        <v>20</v>
      </c>
      <c r="F117" s="175">
        <v>74258</v>
      </c>
      <c r="G117" s="172">
        <v>5</v>
      </c>
      <c r="H117" s="176">
        <f t="shared" si="1"/>
        <v>3000</v>
      </c>
      <c r="I117" s="80" cm="1">
        <f t="array" ref="I117">_xlfn.IFS(G117=$K$4,$L$4, G117=$K$5,$L$5, G117=$K$6,$L$6,G117=$K$7,$L$7, G117=$K$8,$L$8)</f>
        <v>3000</v>
      </c>
      <c r="J117" s="80"/>
    </row>
    <row r="118" spans="1:10">
      <c r="A118" s="171" t="s">
        <v>1365</v>
      </c>
      <c r="B118" s="172" t="s">
        <v>1255</v>
      </c>
      <c r="C118" s="171" t="s">
        <v>1361</v>
      </c>
      <c r="D118" s="173">
        <v>39852</v>
      </c>
      <c r="E118" s="174">
        <v>12</v>
      </c>
      <c r="F118" s="175">
        <v>108255</v>
      </c>
      <c r="G118" s="172">
        <v>4</v>
      </c>
      <c r="H118" s="176">
        <f t="shared" si="1"/>
        <v>1500</v>
      </c>
      <c r="I118" s="80" cm="1">
        <f t="array" ref="I118">_xlfn.IFS(G118=$K$4,$L$4, G118=$K$5,$L$5, G118=$K$6,$L$6,G118=$K$7,$L$7, G118=$K$8,$L$8)</f>
        <v>1500</v>
      </c>
      <c r="J118" s="80"/>
    </row>
    <row r="119" spans="1:10">
      <c r="A119" s="171" t="s">
        <v>1366</v>
      </c>
      <c r="B119" s="172" t="s">
        <v>120</v>
      </c>
      <c r="C119" s="171" t="s">
        <v>1361</v>
      </c>
      <c r="D119" s="173">
        <v>38745</v>
      </c>
      <c r="E119" s="174">
        <v>15</v>
      </c>
      <c r="F119" s="175">
        <v>121550</v>
      </c>
      <c r="G119" s="172">
        <v>2</v>
      </c>
      <c r="H119" s="176">
        <f t="shared" si="1"/>
        <v>100</v>
      </c>
      <c r="I119" s="80" cm="1">
        <f t="array" ref="I119">_xlfn.IFS(G119=$K$4,$L$4, G119=$K$5,$L$5, G119=$K$6,$L$6,G119=$K$7,$L$7, G119=$K$8,$L$8)</f>
        <v>100</v>
      </c>
      <c r="J119" s="80"/>
    </row>
    <row r="120" spans="1:10">
      <c r="A120" s="171" t="s">
        <v>1367</v>
      </c>
      <c r="B120" s="172" t="s">
        <v>105</v>
      </c>
      <c r="C120" s="171" t="s">
        <v>1361</v>
      </c>
      <c r="D120" s="173">
        <v>41341</v>
      </c>
      <c r="E120" s="174">
        <v>8</v>
      </c>
      <c r="F120" s="175">
        <v>105911</v>
      </c>
      <c r="G120" s="172">
        <v>2</v>
      </c>
      <c r="H120" s="176">
        <f t="shared" si="1"/>
        <v>100</v>
      </c>
      <c r="I120" s="80" cm="1">
        <f t="array" ref="I120">_xlfn.IFS(G120=$K$4,$L$4, G120=$K$5,$L$5, G120=$K$6,$L$6,G120=$K$7,$L$7, G120=$K$8,$L$8)</f>
        <v>100</v>
      </c>
      <c r="J120" s="80"/>
    </row>
    <row r="121" spans="1:10">
      <c r="A121" s="171" t="s">
        <v>1368</v>
      </c>
      <c r="B121" s="172" t="s">
        <v>129</v>
      </c>
      <c r="C121" s="171" t="s">
        <v>1361</v>
      </c>
      <c r="D121" s="173">
        <v>37347</v>
      </c>
      <c r="E121" s="174">
        <v>19</v>
      </c>
      <c r="F121" s="175">
        <v>42552</v>
      </c>
      <c r="G121" s="172">
        <v>1</v>
      </c>
      <c r="H121" s="176">
        <f t="shared" si="1"/>
        <v>0</v>
      </c>
      <c r="I121" s="80" cm="1">
        <f t="array" ref="I121">_xlfn.IFS(G121=$K$4,$L$4, G121=$K$5,$L$5, G121=$K$6,$L$6,G121=$K$7,$L$7, G121=$K$8,$L$8)</f>
        <v>0</v>
      </c>
      <c r="J121" s="80"/>
    </row>
    <row r="122" spans="1:10">
      <c r="A122" s="171" t="s">
        <v>1369</v>
      </c>
      <c r="B122" s="172" t="s">
        <v>1257</v>
      </c>
      <c r="C122" s="171" t="s">
        <v>1361</v>
      </c>
      <c r="D122" s="173">
        <v>37037</v>
      </c>
      <c r="E122" s="174">
        <v>20</v>
      </c>
      <c r="F122" s="175">
        <v>103026</v>
      </c>
      <c r="G122" s="172">
        <v>3</v>
      </c>
      <c r="H122" s="176">
        <f t="shared" si="1"/>
        <v>900</v>
      </c>
      <c r="I122" s="80" cm="1">
        <f t="array" ref="I122">_xlfn.IFS(G122=$K$4,$L$4, G122=$K$5,$L$5, G122=$K$6,$L$6,G122=$K$7,$L$7, G122=$K$8,$L$8)</f>
        <v>900</v>
      </c>
      <c r="J122" s="80"/>
    </row>
    <row r="123" spans="1:10">
      <c r="A123" s="171" t="s">
        <v>1370</v>
      </c>
      <c r="B123" s="172" t="s">
        <v>105</v>
      </c>
      <c r="C123" s="171" t="s">
        <v>1361</v>
      </c>
      <c r="D123" s="173">
        <v>41830</v>
      </c>
      <c r="E123" s="174">
        <v>7</v>
      </c>
      <c r="F123" s="175">
        <v>57534</v>
      </c>
      <c r="G123" s="172">
        <v>5</v>
      </c>
      <c r="H123" s="176">
        <f t="shared" si="1"/>
        <v>3000</v>
      </c>
      <c r="I123" s="80" cm="1">
        <f t="array" ref="I123">_xlfn.IFS(G123=$K$4,$L$4, G123=$K$5,$L$5, G123=$K$6,$L$6,G123=$K$7,$L$7, G123=$K$8,$L$8)</f>
        <v>3000</v>
      </c>
      <c r="J123" s="80"/>
    </row>
    <row r="124" spans="1:10">
      <c r="A124" s="171" t="s">
        <v>1371</v>
      </c>
      <c r="B124" s="172" t="s">
        <v>1255</v>
      </c>
      <c r="C124" s="171" t="s">
        <v>1361</v>
      </c>
      <c r="D124" s="173">
        <v>37420</v>
      </c>
      <c r="E124" s="174">
        <v>19</v>
      </c>
      <c r="F124" s="175">
        <v>72104</v>
      </c>
      <c r="G124" s="172">
        <v>4</v>
      </c>
      <c r="H124" s="176">
        <f t="shared" si="1"/>
        <v>1500</v>
      </c>
      <c r="I124" s="80" cm="1">
        <f t="array" ref="I124">_xlfn.IFS(G124=$K$4,$L$4, G124=$K$5,$L$5, G124=$K$6,$L$6,G124=$K$7,$L$7, G124=$K$8,$L$8)</f>
        <v>1500</v>
      </c>
      <c r="J124" s="80"/>
    </row>
    <row r="125" spans="1:10">
      <c r="A125" s="171" t="s">
        <v>1372</v>
      </c>
      <c r="B125" s="172" t="s">
        <v>1257</v>
      </c>
      <c r="C125" s="171" t="s">
        <v>1361</v>
      </c>
      <c r="D125" s="173">
        <v>37435</v>
      </c>
      <c r="E125" s="174">
        <v>19</v>
      </c>
      <c r="F125" s="175">
        <v>64206</v>
      </c>
      <c r="G125" s="172">
        <v>1</v>
      </c>
      <c r="H125" s="176">
        <f t="shared" si="1"/>
        <v>0</v>
      </c>
      <c r="I125" s="80" cm="1">
        <f t="array" ref="I125">_xlfn.IFS(G125=$K$4,$L$4, G125=$K$5,$L$5, G125=$K$6,$L$6,G125=$K$7,$L$7, G125=$K$8,$L$8)</f>
        <v>0</v>
      </c>
      <c r="J125" s="80"/>
    </row>
    <row r="126" spans="1:10">
      <c r="A126" s="171" t="s">
        <v>1373</v>
      </c>
      <c r="B126" s="172" t="s">
        <v>129</v>
      </c>
      <c r="C126" s="171" t="s">
        <v>1361</v>
      </c>
      <c r="D126" s="173">
        <v>42206</v>
      </c>
      <c r="E126" s="174">
        <v>6</v>
      </c>
      <c r="F126" s="175">
        <v>73650</v>
      </c>
      <c r="G126" s="172">
        <v>4</v>
      </c>
      <c r="H126" s="176">
        <f t="shared" si="1"/>
        <v>1500</v>
      </c>
      <c r="I126" s="80" cm="1">
        <f t="array" ref="I126">_xlfn.IFS(G126=$K$4,$L$4, G126=$K$5,$L$5, G126=$K$6,$L$6,G126=$K$7,$L$7, G126=$K$8,$L$8)</f>
        <v>1500</v>
      </c>
      <c r="J126" s="80"/>
    </row>
    <row r="127" spans="1:10">
      <c r="A127" s="171" t="s">
        <v>1374</v>
      </c>
      <c r="B127" s="172" t="s">
        <v>129</v>
      </c>
      <c r="C127" s="171" t="s">
        <v>1361</v>
      </c>
      <c r="D127" s="173">
        <v>40038</v>
      </c>
      <c r="E127" s="174">
        <v>12</v>
      </c>
      <c r="F127" s="175">
        <v>67318</v>
      </c>
      <c r="G127" s="172">
        <v>2</v>
      </c>
      <c r="H127" s="176">
        <f t="shared" si="1"/>
        <v>100</v>
      </c>
      <c r="I127" s="80" cm="1">
        <f t="array" ref="I127">_xlfn.IFS(G127=$K$4,$L$4, G127=$K$5,$L$5, G127=$K$6,$L$6,G127=$K$7,$L$7, G127=$K$8,$L$8)</f>
        <v>100</v>
      </c>
      <c r="J127" s="80"/>
    </row>
    <row r="128" spans="1:10">
      <c r="A128" s="171" t="s">
        <v>1375</v>
      </c>
      <c r="B128" s="172" t="s">
        <v>1257</v>
      </c>
      <c r="C128" s="171" t="s">
        <v>1361</v>
      </c>
      <c r="D128" s="173">
        <v>38191</v>
      </c>
      <c r="E128" s="174">
        <v>17</v>
      </c>
      <c r="F128" s="175">
        <v>76680</v>
      </c>
      <c r="G128" s="172">
        <v>4</v>
      </c>
      <c r="H128" s="176">
        <f t="shared" si="1"/>
        <v>1500</v>
      </c>
      <c r="I128" s="80" cm="1">
        <f t="array" ref="I128">_xlfn.IFS(G128=$K$4,$L$4, G128=$K$5,$L$5, G128=$K$6,$L$6,G128=$K$7,$L$7, G128=$K$8,$L$8)</f>
        <v>1500</v>
      </c>
      <c r="J128" s="80"/>
    </row>
    <row r="129" spans="1:10">
      <c r="A129" s="171" t="s">
        <v>1376</v>
      </c>
      <c r="B129" s="172" t="s">
        <v>1257</v>
      </c>
      <c r="C129" s="171" t="s">
        <v>1361</v>
      </c>
      <c r="D129" s="173">
        <v>37155</v>
      </c>
      <c r="E129" s="174">
        <v>20</v>
      </c>
      <c r="F129" s="175">
        <v>120696</v>
      </c>
      <c r="G129" s="172">
        <v>1</v>
      </c>
      <c r="H129" s="176">
        <f t="shared" si="1"/>
        <v>0</v>
      </c>
      <c r="I129" s="80" cm="1">
        <f t="array" ref="I129">_xlfn.IFS(G129=$K$4,$L$4, G129=$K$5,$L$5, G129=$K$6,$L$6,G129=$K$7,$L$7, G129=$K$8,$L$8)</f>
        <v>0</v>
      </c>
      <c r="J129" s="80"/>
    </row>
    <row r="130" spans="1:10">
      <c r="A130" s="171" t="s">
        <v>1377</v>
      </c>
      <c r="B130" s="172" t="s">
        <v>129</v>
      </c>
      <c r="C130" s="171" t="s">
        <v>1361</v>
      </c>
      <c r="D130" s="173">
        <v>40836</v>
      </c>
      <c r="E130" s="174">
        <v>10</v>
      </c>
      <c r="F130" s="175">
        <v>114645</v>
      </c>
      <c r="G130" s="172">
        <v>5</v>
      </c>
      <c r="H130" s="176">
        <f t="shared" si="1"/>
        <v>3000</v>
      </c>
      <c r="I130" s="80" cm="1">
        <f t="array" ref="I130">_xlfn.IFS(G130=$K$4,$L$4, G130=$K$5,$L$5, G130=$K$6,$L$6,G130=$K$7,$L$7, G130=$K$8,$L$8)</f>
        <v>3000</v>
      </c>
      <c r="J130" s="80"/>
    </row>
    <row r="131" spans="1:10">
      <c r="A131" s="171" t="s">
        <v>1378</v>
      </c>
      <c r="B131" s="172" t="s">
        <v>1257</v>
      </c>
      <c r="C131" s="171" t="s">
        <v>1361</v>
      </c>
      <c r="D131" s="173">
        <v>40102</v>
      </c>
      <c r="E131" s="174">
        <v>12</v>
      </c>
      <c r="F131" s="175">
        <v>50730</v>
      </c>
      <c r="G131" s="172">
        <v>1</v>
      </c>
      <c r="H131" s="176">
        <f t="shared" ref="H131:H194" si="2">IF(G131=$K$4,$L$4,IF(G131=$K$5,$L$5,IF(G131=$K$6,$L$6,IF(G131=$K$7,$L$7,IF(G131=$K$8,$L$8)))))</f>
        <v>0</v>
      </c>
      <c r="I131" s="80" cm="1">
        <f t="array" ref="I131">_xlfn.IFS(G131=$K$4,$L$4, G131=$K$5,$L$5, G131=$K$6,$L$6,G131=$K$7,$L$7, G131=$K$8,$L$8)</f>
        <v>0</v>
      </c>
      <c r="J131" s="80"/>
    </row>
    <row r="132" spans="1:10">
      <c r="A132" s="171" t="s">
        <v>1379</v>
      </c>
      <c r="B132" s="172" t="s">
        <v>1255</v>
      </c>
      <c r="C132" s="171" t="s">
        <v>1361</v>
      </c>
      <c r="D132" s="173">
        <v>38690</v>
      </c>
      <c r="E132" s="174">
        <v>16</v>
      </c>
      <c r="F132" s="175">
        <v>99842</v>
      </c>
      <c r="G132" s="172">
        <v>1</v>
      </c>
      <c r="H132" s="176">
        <f t="shared" si="2"/>
        <v>0</v>
      </c>
      <c r="I132" s="80" cm="1">
        <f t="array" ref="I132">_xlfn.IFS(G132=$K$4,$L$4, G132=$K$5,$L$5, G132=$K$6,$L$6,G132=$K$7,$L$7, G132=$K$8,$L$8)</f>
        <v>0</v>
      </c>
      <c r="J132" s="80"/>
    </row>
    <row r="133" spans="1:10">
      <c r="A133" s="171" t="s">
        <v>1380</v>
      </c>
      <c r="B133" s="172" t="s">
        <v>105</v>
      </c>
      <c r="C133" s="171" t="s">
        <v>1203</v>
      </c>
      <c r="D133" s="173">
        <v>37647</v>
      </c>
      <c r="E133" s="174">
        <v>18</v>
      </c>
      <c r="F133" s="175">
        <v>51343</v>
      </c>
      <c r="G133" s="172">
        <v>5</v>
      </c>
      <c r="H133" s="176">
        <f t="shared" si="2"/>
        <v>3000</v>
      </c>
      <c r="I133" s="80" cm="1">
        <f t="array" ref="I133">_xlfn.IFS(G133=$K$4,$L$4, G133=$K$5,$L$5, G133=$K$6,$L$6,G133=$K$7,$L$7, G133=$K$8,$L$8)</f>
        <v>3000</v>
      </c>
      <c r="J133" s="80"/>
    </row>
    <row r="134" spans="1:10">
      <c r="A134" s="171" t="s">
        <v>1381</v>
      </c>
      <c r="B134" s="172" t="s">
        <v>129</v>
      </c>
      <c r="C134" s="171" t="s">
        <v>1203</v>
      </c>
      <c r="D134" s="173">
        <v>40701</v>
      </c>
      <c r="E134" s="174">
        <v>10</v>
      </c>
      <c r="F134" s="175">
        <v>104771</v>
      </c>
      <c r="G134" s="172">
        <v>2</v>
      </c>
      <c r="H134" s="176">
        <f t="shared" si="2"/>
        <v>100</v>
      </c>
      <c r="I134" s="80" cm="1">
        <f t="array" ref="I134">_xlfn.IFS(G134=$K$4,$L$4, G134=$K$5,$L$5, G134=$K$6,$L$6,G134=$K$7,$L$7, G134=$K$8,$L$8)</f>
        <v>100</v>
      </c>
      <c r="J134" s="80"/>
    </row>
    <row r="135" spans="1:10">
      <c r="A135" s="171" t="s">
        <v>1382</v>
      </c>
      <c r="B135" s="172" t="s">
        <v>129</v>
      </c>
      <c r="C135" s="171" t="s">
        <v>1203</v>
      </c>
      <c r="D135" s="173">
        <v>40761</v>
      </c>
      <c r="E135" s="174">
        <v>10</v>
      </c>
      <c r="F135" s="175">
        <v>51746</v>
      </c>
      <c r="G135" s="172">
        <v>5</v>
      </c>
      <c r="H135" s="176">
        <f t="shared" si="2"/>
        <v>3000</v>
      </c>
      <c r="I135" s="80" cm="1">
        <f t="array" ref="I135">_xlfn.IFS(G135=$K$4,$L$4, G135=$K$5,$L$5, G135=$K$6,$L$6,G135=$K$7,$L$7, G135=$K$8,$L$8)</f>
        <v>3000</v>
      </c>
      <c r="J135" s="80"/>
    </row>
    <row r="136" spans="1:10">
      <c r="A136" s="171" t="s">
        <v>1383</v>
      </c>
      <c r="B136" s="172" t="s">
        <v>105</v>
      </c>
      <c r="C136" s="171" t="s">
        <v>1203</v>
      </c>
      <c r="D136" s="173">
        <v>41478</v>
      </c>
      <c r="E136" s="174">
        <v>8</v>
      </c>
      <c r="F136" s="175">
        <v>46397</v>
      </c>
      <c r="G136" s="172">
        <v>2</v>
      </c>
      <c r="H136" s="176">
        <f t="shared" si="2"/>
        <v>100</v>
      </c>
      <c r="I136" s="80" cm="1">
        <f t="array" ref="I136">_xlfn.IFS(G136=$K$4,$L$4, G136=$K$5,$L$5, G136=$K$6,$L$6,G136=$K$7,$L$7, G136=$K$8,$L$8)</f>
        <v>100</v>
      </c>
      <c r="J136" s="80"/>
    </row>
    <row r="137" spans="1:10">
      <c r="A137" s="171" t="s">
        <v>1384</v>
      </c>
      <c r="B137" s="172" t="s">
        <v>1257</v>
      </c>
      <c r="C137" s="171" t="s">
        <v>1203</v>
      </c>
      <c r="D137" s="173">
        <v>41520</v>
      </c>
      <c r="E137" s="174">
        <v>8</v>
      </c>
      <c r="F137" s="175">
        <v>52674</v>
      </c>
      <c r="G137" s="172">
        <v>2</v>
      </c>
      <c r="H137" s="176">
        <f t="shared" si="2"/>
        <v>100</v>
      </c>
      <c r="I137" s="80" cm="1">
        <f t="array" ref="I137">_xlfn.IFS(G137=$K$4,$L$4, G137=$K$5,$L$5, G137=$K$6,$L$6,G137=$K$7,$L$7, G137=$K$8,$L$8)</f>
        <v>100</v>
      </c>
      <c r="J137" s="80"/>
    </row>
    <row r="138" spans="1:10">
      <c r="A138" s="171" t="s">
        <v>1385</v>
      </c>
      <c r="B138" s="172" t="s">
        <v>129</v>
      </c>
      <c r="C138" s="171" t="s">
        <v>1386</v>
      </c>
      <c r="D138" s="173">
        <v>41262</v>
      </c>
      <c r="E138" s="174">
        <v>9</v>
      </c>
      <c r="F138" s="175">
        <v>117958</v>
      </c>
      <c r="G138" s="172">
        <v>3</v>
      </c>
      <c r="H138" s="176">
        <f t="shared" si="2"/>
        <v>900</v>
      </c>
      <c r="I138" s="80" cm="1">
        <f t="array" ref="I138">_xlfn.IFS(G138=$K$4,$L$4, G138=$K$5,$L$5, G138=$K$6,$L$6,G138=$K$7,$L$7, G138=$K$8,$L$8)</f>
        <v>900</v>
      </c>
      <c r="J138" s="80"/>
    </row>
    <row r="139" spans="1:10">
      <c r="A139" s="171" t="s">
        <v>1387</v>
      </c>
      <c r="B139" s="172" t="s">
        <v>1257</v>
      </c>
      <c r="C139" s="171" t="s">
        <v>1386</v>
      </c>
      <c r="D139" s="173">
        <v>41276</v>
      </c>
      <c r="E139" s="174">
        <v>9</v>
      </c>
      <c r="F139" s="175">
        <v>55593</v>
      </c>
      <c r="G139" s="172">
        <v>3</v>
      </c>
      <c r="H139" s="176">
        <f t="shared" si="2"/>
        <v>900</v>
      </c>
      <c r="I139" s="80" cm="1">
        <f t="array" ref="I139">_xlfn.IFS(G139=$K$4,$L$4, G139=$K$5,$L$5, G139=$K$6,$L$6,G139=$K$7,$L$7, G139=$K$8,$L$8)</f>
        <v>900</v>
      </c>
      <c r="J139" s="80"/>
    </row>
    <row r="140" spans="1:10">
      <c r="A140" s="171" t="s">
        <v>1388</v>
      </c>
      <c r="B140" s="172" t="s">
        <v>129</v>
      </c>
      <c r="C140" s="171" t="s">
        <v>1386</v>
      </c>
      <c r="D140" s="173">
        <v>38719</v>
      </c>
      <c r="E140" s="174">
        <v>16</v>
      </c>
      <c r="F140" s="175">
        <v>46993</v>
      </c>
      <c r="G140" s="172">
        <v>5</v>
      </c>
      <c r="H140" s="176">
        <f t="shared" si="2"/>
        <v>3000</v>
      </c>
      <c r="I140" s="80" cm="1">
        <f t="array" ref="I140">_xlfn.IFS(G140=$K$4,$L$4, G140=$K$5,$L$5, G140=$K$6,$L$6,G140=$K$7,$L$7, G140=$K$8,$L$8)</f>
        <v>3000</v>
      </c>
      <c r="J140" s="80"/>
    </row>
    <row r="141" spans="1:10">
      <c r="A141" s="171" t="s">
        <v>1389</v>
      </c>
      <c r="B141" s="172" t="s">
        <v>129</v>
      </c>
      <c r="C141" s="171" t="s">
        <v>1386</v>
      </c>
      <c r="D141" s="173">
        <v>40216</v>
      </c>
      <c r="E141" s="174">
        <v>11</v>
      </c>
      <c r="F141" s="175">
        <v>91950</v>
      </c>
      <c r="G141" s="172">
        <v>4</v>
      </c>
      <c r="H141" s="176">
        <f t="shared" si="2"/>
        <v>1500</v>
      </c>
      <c r="I141" s="80" cm="1">
        <f t="array" ref="I141">_xlfn.IFS(G141=$K$4,$L$4, G141=$K$5,$L$5, G141=$K$6,$L$6,G141=$K$7,$L$7, G141=$K$8,$L$8)</f>
        <v>1500</v>
      </c>
      <c r="J141" s="80"/>
    </row>
    <row r="142" spans="1:10">
      <c r="A142" s="171" t="s">
        <v>1390</v>
      </c>
      <c r="B142" s="172" t="s">
        <v>1257</v>
      </c>
      <c r="C142" s="171" t="s">
        <v>1386</v>
      </c>
      <c r="D142" s="173">
        <v>38366</v>
      </c>
      <c r="E142" s="174">
        <v>17</v>
      </c>
      <c r="F142" s="175">
        <v>96410</v>
      </c>
      <c r="G142" s="172">
        <v>3</v>
      </c>
      <c r="H142" s="176">
        <f t="shared" si="2"/>
        <v>900</v>
      </c>
      <c r="I142" s="80" cm="1">
        <f t="array" ref="I142">_xlfn.IFS(G142=$K$4,$L$4, G142=$K$5,$L$5, G142=$K$6,$L$6,G142=$K$7,$L$7, G142=$K$8,$L$8)</f>
        <v>900</v>
      </c>
      <c r="J142" s="80"/>
    </row>
    <row r="143" spans="1:10">
      <c r="A143" s="171" t="s">
        <v>1391</v>
      </c>
      <c r="B143" s="172" t="s">
        <v>129</v>
      </c>
      <c r="C143" s="171" t="s">
        <v>1386</v>
      </c>
      <c r="D143" s="173">
        <v>39831</v>
      </c>
      <c r="E143" s="174">
        <v>13</v>
      </c>
      <c r="F143" s="175">
        <v>103347</v>
      </c>
      <c r="G143" s="172">
        <v>4</v>
      </c>
      <c r="H143" s="176">
        <f t="shared" si="2"/>
        <v>1500</v>
      </c>
      <c r="I143" s="80" cm="1">
        <f t="array" ref="I143">_xlfn.IFS(G143=$K$4,$L$4, G143=$K$5,$L$5, G143=$K$6,$L$6,G143=$K$7,$L$7, G143=$K$8,$L$8)</f>
        <v>1500</v>
      </c>
      <c r="J143" s="80"/>
    </row>
    <row r="144" spans="1:10">
      <c r="A144" s="171" t="s">
        <v>1392</v>
      </c>
      <c r="B144" s="172" t="s">
        <v>1257</v>
      </c>
      <c r="C144" s="171" t="s">
        <v>1386</v>
      </c>
      <c r="D144" s="173">
        <v>41314</v>
      </c>
      <c r="E144" s="174">
        <v>8</v>
      </c>
      <c r="F144" s="175">
        <v>118046</v>
      </c>
      <c r="G144" s="172">
        <v>4</v>
      </c>
      <c r="H144" s="176">
        <f t="shared" si="2"/>
        <v>1500</v>
      </c>
      <c r="I144" s="80" cm="1">
        <f t="array" ref="I144">_xlfn.IFS(G144=$K$4,$L$4, G144=$K$5,$L$5, G144=$K$6,$L$6,G144=$K$7,$L$7, G144=$K$8,$L$8)</f>
        <v>1500</v>
      </c>
      <c r="J144" s="80"/>
    </row>
    <row r="145" spans="1:10">
      <c r="A145" s="171" t="s">
        <v>1393</v>
      </c>
      <c r="B145" s="172" t="s">
        <v>105</v>
      </c>
      <c r="C145" s="171" t="s">
        <v>1386</v>
      </c>
      <c r="D145" s="173">
        <v>40222</v>
      </c>
      <c r="E145" s="174">
        <v>11</v>
      </c>
      <c r="F145" s="175">
        <v>50029</v>
      </c>
      <c r="G145" s="172">
        <v>5</v>
      </c>
      <c r="H145" s="176">
        <f t="shared" si="2"/>
        <v>3000</v>
      </c>
      <c r="I145" s="80" cm="1">
        <f t="array" ref="I145">_xlfn.IFS(G145=$K$4,$L$4, G145=$K$5,$L$5, G145=$K$6,$L$6,G145=$K$7,$L$7, G145=$K$8,$L$8)</f>
        <v>3000</v>
      </c>
      <c r="J145" s="80"/>
    </row>
    <row r="146" spans="1:10">
      <c r="A146" s="171" t="s">
        <v>1394</v>
      </c>
      <c r="B146" s="172" t="s">
        <v>1257</v>
      </c>
      <c r="C146" s="171" t="s">
        <v>1386</v>
      </c>
      <c r="D146" s="173">
        <v>40232</v>
      </c>
      <c r="E146" s="174">
        <v>11</v>
      </c>
      <c r="F146" s="175">
        <v>63297</v>
      </c>
      <c r="G146" s="172">
        <v>4</v>
      </c>
      <c r="H146" s="176">
        <f t="shared" si="2"/>
        <v>1500</v>
      </c>
      <c r="I146" s="80" cm="1">
        <f t="array" ref="I146">_xlfn.IFS(G146=$K$4,$L$4, G146=$K$5,$L$5, G146=$K$6,$L$6,G146=$K$7,$L$7, G146=$K$8,$L$8)</f>
        <v>1500</v>
      </c>
      <c r="J146" s="80"/>
    </row>
    <row r="147" spans="1:10">
      <c r="A147" s="171" t="s">
        <v>1395</v>
      </c>
      <c r="B147" s="172" t="s">
        <v>129</v>
      </c>
      <c r="C147" s="171" t="s">
        <v>1386</v>
      </c>
      <c r="D147" s="173">
        <v>39866</v>
      </c>
      <c r="E147" s="174">
        <v>12</v>
      </c>
      <c r="F147" s="175">
        <v>93380</v>
      </c>
      <c r="G147" s="172">
        <v>5</v>
      </c>
      <c r="H147" s="176">
        <f t="shared" si="2"/>
        <v>3000</v>
      </c>
      <c r="I147" s="80" cm="1">
        <f t="array" ref="I147">_xlfn.IFS(G147=$K$4,$L$4, G147=$K$5,$L$5, G147=$K$6,$L$6,G147=$K$7,$L$7, G147=$K$8,$L$8)</f>
        <v>3000</v>
      </c>
      <c r="J147" s="80"/>
    </row>
    <row r="148" spans="1:10">
      <c r="A148" s="171" t="s">
        <v>1396</v>
      </c>
      <c r="B148" s="172" t="s">
        <v>1257</v>
      </c>
      <c r="C148" s="171" t="s">
        <v>1386</v>
      </c>
      <c r="D148" s="173">
        <v>40971</v>
      </c>
      <c r="E148" s="174">
        <v>9</v>
      </c>
      <c r="F148" s="175">
        <v>100478</v>
      </c>
      <c r="G148" s="172">
        <v>3</v>
      </c>
      <c r="H148" s="176">
        <f t="shared" si="2"/>
        <v>900</v>
      </c>
      <c r="I148" s="80" cm="1">
        <f t="array" ref="I148">_xlfn.IFS(G148=$K$4,$L$4, G148=$K$5,$L$5, G148=$K$6,$L$6,G148=$K$7,$L$7, G148=$K$8,$L$8)</f>
        <v>900</v>
      </c>
      <c r="J148" s="80"/>
    </row>
    <row r="149" spans="1:10">
      <c r="A149" s="171" t="s">
        <v>1397</v>
      </c>
      <c r="B149" s="172" t="s">
        <v>1255</v>
      </c>
      <c r="C149" s="171" t="s">
        <v>1386</v>
      </c>
      <c r="D149" s="173">
        <v>41337</v>
      </c>
      <c r="E149" s="174">
        <v>8</v>
      </c>
      <c r="F149" s="175">
        <v>96780</v>
      </c>
      <c r="G149" s="172">
        <v>3</v>
      </c>
      <c r="H149" s="176">
        <f t="shared" si="2"/>
        <v>900</v>
      </c>
      <c r="I149" s="80" cm="1">
        <f t="array" ref="I149">_xlfn.IFS(G149=$K$4,$L$4, G149=$K$5,$L$5, G149=$K$6,$L$6,G149=$K$7,$L$7, G149=$K$8,$L$8)</f>
        <v>900</v>
      </c>
      <c r="J149" s="80"/>
    </row>
    <row r="150" spans="1:10">
      <c r="A150" s="171" t="s">
        <v>1398</v>
      </c>
      <c r="B150" s="172" t="s">
        <v>105</v>
      </c>
      <c r="C150" s="171" t="s">
        <v>1386</v>
      </c>
      <c r="D150" s="173">
        <v>42092</v>
      </c>
      <c r="E150" s="174">
        <v>6</v>
      </c>
      <c r="F150" s="175">
        <v>51487</v>
      </c>
      <c r="G150" s="172">
        <v>4</v>
      </c>
      <c r="H150" s="176">
        <f t="shared" si="2"/>
        <v>1500</v>
      </c>
      <c r="I150" s="80" cm="1">
        <f t="array" ref="I150">_xlfn.IFS(G150=$K$4,$L$4, G150=$K$5,$L$5, G150=$K$6,$L$6,G150=$K$7,$L$7, G150=$K$8,$L$8)</f>
        <v>1500</v>
      </c>
      <c r="J150" s="80"/>
    </row>
    <row r="151" spans="1:10">
      <c r="A151" s="171" t="s">
        <v>1399</v>
      </c>
      <c r="B151" s="172" t="s">
        <v>129</v>
      </c>
      <c r="C151" s="171" t="s">
        <v>1386</v>
      </c>
      <c r="D151" s="173">
        <v>40277</v>
      </c>
      <c r="E151" s="174">
        <v>11</v>
      </c>
      <c r="F151" s="175">
        <v>44692</v>
      </c>
      <c r="G151" s="172">
        <v>1</v>
      </c>
      <c r="H151" s="176">
        <f t="shared" si="2"/>
        <v>0</v>
      </c>
      <c r="I151" s="80" cm="1">
        <f t="array" ref="I151">_xlfn.IFS(G151=$K$4,$L$4, G151=$K$5,$L$5, G151=$K$6,$L$6,G151=$K$7,$L$7, G151=$K$8,$L$8)</f>
        <v>0</v>
      </c>
      <c r="J151" s="80"/>
    </row>
    <row r="152" spans="1:10">
      <c r="A152" s="171" t="s">
        <v>1400</v>
      </c>
      <c r="B152" s="172" t="s">
        <v>120</v>
      </c>
      <c r="C152" s="171" t="s">
        <v>1386</v>
      </c>
      <c r="D152" s="173">
        <v>37341</v>
      </c>
      <c r="E152" s="174">
        <v>19</v>
      </c>
      <c r="F152" s="175">
        <v>114029</v>
      </c>
      <c r="G152" s="172">
        <v>4</v>
      </c>
      <c r="H152" s="176">
        <f t="shared" si="2"/>
        <v>1500</v>
      </c>
      <c r="I152" s="80" cm="1">
        <f t="array" ref="I152">_xlfn.IFS(G152=$K$4,$L$4, G152=$K$5,$L$5, G152=$K$6,$L$6,G152=$K$7,$L$7, G152=$K$8,$L$8)</f>
        <v>1500</v>
      </c>
      <c r="J152" s="80"/>
    </row>
    <row r="153" spans="1:10">
      <c r="A153" s="171" t="s">
        <v>1401</v>
      </c>
      <c r="B153" s="172" t="s">
        <v>105</v>
      </c>
      <c r="C153" s="171" t="s">
        <v>1386</v>
      </c>
      <c r="D153" s="173">
        <v>37721</v>
      </c>
      <c r="E153" s="174">
        <v>18</v>
      </c>
      <c r="F153" s="175">
        <v>101481</v>
      </c>
      <c r="G153" s="172">
        <v>2</v>
      </c>
      <c r="H153" s="176">
        <f t="shared" si="2"/>
        <v>100</v>
      </c>
      <c r="I153" s="80" cm="1">
        <f t="array" ref="I153">_xlfn.IFS(G153=$K$4,$L$4, G153=$K$5,$L$5, G153=$K$6,$L$6,G153=$K$7,$L$7, G153=$K$8,$L$8)</f>
        <v>100</v>
      </c>
      <c r="J153" s="80"/>
    </row>
    <row r="154" spans="1:10">
      <c r="A154" s="171" t="s">
        <v>1402</v>
      </c>
      <c r="B154" s="172" t="s">
        <v>129</v>
      </c>
      <c r="C154" s="171" t="s">
        <v>1386</v>
      </c>
      <c r="D154" s="173">
        <v>41377</v>
      </c>
      <c r="E154" s="174">
        <v>8</v>
      </c>
      <c r="F154" s="175">
        <v>113877</v>
      </c>
      <c r="G154" s="172">
        <v>2</v>
      </c>
      <c r="H154" s="176">
        <f t="shared" si="2"/>
        <v>100</v>
      </c>
      <c r="I154" s="80" cm="1">
        <f t="array" ref="I154">_xlfn.IFS(G154=$K$4,$L$4, G154=$K$5,$L$5, G154=$K$6,$L$6,G154=$K$7,$L$7, G154=$K$8,$L$8)</f>
        <v>100</v>
      </c>
      <c r="J154" s="80"/>
    </row>
    <row r="155" spans="1:10">
      <c r="A155" s="171" t="s">
        <v>1403</v>
      </c>
      <c r="B155" s="172" t="s">
        <v>1257</v>
      </c>
      <c r="C155" s="171" t="s">
        <v>1386</v>
      </c>
      <c r="D155" s="173">
        <v>37017</v>
      </c>
      <c r="E155" s="174">
        <v>20</v>
      </c>
      <c r="F155" s="175">
        <v>75226</v>
      </c>
      <c r="G155" s="172">
        <v>5</v>
      </c>
      <c r="H155" s="176">
        <f t="shared" si="2"/>
        <v>3000</v>
      </c>
      <c r="I155" s="80" cm="1">
        <f t="array" ref="I155">_xlfn.IFS(G155=$K$4,$L$4, G155=$K$5,$L$5, G155=$K$6,$L$6,G155=$K$7,$L$7, G155=$K$8,$L$8)</f>
        <v>3000</v>
      </c>
      <c r="J155" s="80"/>
    </row>
    <row r="156" spans="1:10">
      <c r="A156" s="171" t="s">
        <v>1404</v>
      </c>
      <c r="B156" s="172" t="s">
        <v>129</v>
      </c>
      <c r="C156" s="171" t="s">
        <v>1386</v>
      </c>
      <c r="D156" s="173">
        <v>39213</v>
      </c>
      <c r="E156" s="174">
        <v>14</v>
      </c>
      <c r="F156" s="175">
        <v>62791</v>
      </c>
      <c r="G156" s="172">
        <v>1</v>
      </c>
      <c r="H156" s="176">
        <f t="shared" si="2"/>
        <v>0</v>
      </c>
      <c r="I156" s="80" cm="1">
        <f t="array" ref="I156">_xlfn.IFS(G156=$K$4,$L$4, G156=$K$5,$L$5, G156=$K$6,$L$6,G156=$K$7,$L$7, G156=$K$8,$L$8)</f>
        <v>0</v>
      </c>
      <c r="J156" s="80"/>
    </row>
    <row r="157" spans="1:10">
      <c r="A157" s="171" t="s">
        <v>1405</v>
      </c>
      <c r="B157" s="172" t="s">
        <v>1257</v>
      </c>
      <c r="C157" s="171" t="s">
        <v>1386</v>
      </c>
      <c r="D157" s="173">
        <v>41788</v>
      </c>
      <c r="E157" s="174">
        <v>7</v>
      </c>
      <c r="F157" s="175">
        <v>86093</v>
      </c>
      <c r="G157" s="172">
        <v>2</v>
      </c>
      <c r="H157" s="176">
        <f t="shared" si="2"/>
        <v>100</v>
      </c>
      <c r="I157" s="80" cm="1">
        <f t="array" ref="I157">_xlfn.IFS(G157=$K$4,$L$4, G157=$K$5,$L$5, G157=$K$6,$L$6,G157=$K$7,$L$7, G157=$K$8,$L$8)</f>
        <v>100</v>
      </c>
      <c r="J157" s="80"/>
    </row>
    <row r="158" spans="1:10">
      <c r="A158" s="171" t="s">
        <v>1406</v>
      </c>
      <c r="B158" s="172" t="s">
        <v>1257</v>
      </c>
      <c r="C158" s="171" t="s">
        <v>1386</v>
      </c>
      <c r="D158" s="173">
        <v>39970</v>
      </c>
      <c r="E158" s="174">
        <v>12</v>
      </c>
      <c r="F158" s="175">
        <v>49871</v>
      </c>
      <c r="G158" s="172">
        <v>1</v>
      </c>
      <c r="H158" s="176">
        <f t="shared" si="2"/>
        <v>0</v>
      </c>
      <c r="I158" s="80" cm="1">
        <f t="array" ref="I158">_xlfn.IFS(G158=$K$4,$L$4, G158=$K$5,$L$5, G158=$K$6,$L$6,G158=$K$7,$L$7, G158=$K$8,$L$8)</f>
        <v>0</v>
      </c>
      <c r="J158" s="80"/>
    </row>
    <row r="159" spans="1:10">
      <c r="A159" s="171" t="s">
        <v>1407</v>
      </c>
      <c r="B159" s="172" t="s">
        <v>120</v>
      </c>
      <c r="C159" s="171" t="s">
        <v>1386</v>
      </c>
      <c r="D159" s="173">
        <v>40732</v>
      </c>
      <c r="E159" s="174">
        <v>10</v>
      </c>
      <c r="F159" s="175">
        <v>80928</v>
      </c>
      <c r="G159" s="172">
        <v>4</v>
      </c>
      <c r="H159" s="176">
        <f t="shared" si="2"/>
        <v>1500</v>
      </c>
      <c r="I159" s="80" cm="1">
        <f t="array" ref="I159">_xlfn.IFS(G159=$K$4,$L$4, G159=$K$5,$L$5, G159=$K$6,$L$6,G159=$K$7,$L$7, G159=$K$8,$L$8)</f>
        <v>1500</v>
      </c>
      <c r="J159" s="80"/>
    </row>
    <row r="160" spans="1:10">
      <c r="A160" s="171" t="s">
        <v>1408</v>
      </c>
      <c r="B160" s="172" t="s">
        <v>129</v>
      </c>
      <c r="C160" s="171" t="s">
        <v>1386</v>
      </c>
      <c r="D160" s="173">
        <v>41807</v>
      </c>
      <c r="E160" s="174">
        <v>7</v>
      </c>
      <c r="F160" s="175">
        <v>90371</v>
      </c>
      <c r="G160" s="172">
        <v>2</v>
      </c>
      <c r="H160" s="176">
        <f t="shared" si="2"/>
        <v>100</v>
      </c>
      <c r="I160" s="80" cm="1">
        <f t="array" ref="I160">_xlfn.IFS(G160=$K$4,$L$4, G160=$K$5,$L$5, G160=$K$6,$L$6,G160=$K$7,$L$7, G160=$K$8,$L$8)</f>
        <v>100</v>
      </c>
      <c r="J160" s="80"/>
    </row>
    <row r="161" spans="1:10">
      <c r="A161" s="171" t="s">
        <v>1409</v>
      </c>
      <c r="B161" s="172" t="s">
        <v>105</v>
      </c>
      <c r="C161" s="171" t="s">
        <v>1386</v>
      </c>
      <c r="D161" s="173">
        <v>40352</v>
      </c>
      <c r="E161" s="174">
        <v>11</v>
      </c>
      <c r="F161" s="175">
        <v>59013</v>
      </c>
      <c r="G161" s="172">
        <v>2</v>
      </c>
      <c r="H161" s="176">
        <f t="shared" si="2"/>
        <v>100</v>
      </c>
      <c r="I161" s="80" cm="1">
        <f t="array" ref="I161">_xlfn.IFS(G161=$K$4,$L$4, G161=$K$5,$L$5, G161=$K$6,$L$6,G161=$K$7,$L$7, G161=$K$8,$L$8)</f>
        <v>100</v>
      </c>
      <c r="J161" s="80"/>
    </row>
    <row r="162" spans="1:10">
      <c r="A162" s="171" t="s">
        <v>1410</v>
      </c>
      <c r="B162" s="172" t="s">
        <v>129</v>
      </c>
      <c r="C162" s="171" t="s">
        <v>1386</v>
      </c>
      <c r="D162" s="173">
        <v>41444</v>
      </c>
      <c r="E162" s="174">
        <v>8</v>
      </c>
      <c r="F162" s="175">
        <v>76509</v>
      </c>
      <c r="G162" s="172">
        <v>5</v>
      </c>
      <c r="H162" s="176">
        <f t="shared" si="2"/>
        <v>3000</v>
      </c>
      <c r="I162" s="80" cm="1">
        <f t="array" ref="I162">_xlfn.IFS(G162=$K$4,$L$4, G162=$K$5,$L$5, G162=$K$6,$L$6,G162=$K$7,$L$7, G162=$K$8,$L$8)</f>
        <v>3000</v>
      </c>
      <c r="J162" s="80"/>
    </row>
    <row r="163" spans="1:10">
      <c r="A163" s="171" t="s">
        <v>1411</v>
      </c>
      <c r="B163" s="172" t="s">
        <v>1254</v>
      </c>
      <c r="C163" s="171" t="s">
        <v>1386</v>
      </c>
      <c r="D163" s="173">
        <v>37067</v>
      </c>
      <c r="E163" s="174">
        <v>20</v>
      </c>
      <c r="F163" s="175">
        <v>116386</v>
      </c>
      <c r="G163" s="172">
        <v>5</v>
      </c>
      <c r="H163" s="176">
        <f t="shared" si="2"/>
        <v>3000</v>
      </c>
      <c r="I163" s="80" cm="1">
        <f t="array" ref="I163">_xlfn.IFS(G163=$K$4,$L$4, G163=$K$5,$L$5, G163=$K$6,$L$6,G163=$K$7,$L$7, G163=$K$8,$L$8)</f>
        <v>3000</v>
      </c>
      <c r="J163" s="80"/>
    </row>
    <row r="164" spans="1:10">
      <c r="A164" s="171" t="s">
        <v>1412</v>
      </c>
      <c r="B164" s="172" t="s">
        <v>129</v>
      </c>
      <c r="C164" s="171" t="s">
        <v>1386</v>
      </c>
      <c r="D164" s="173">
        <v>40373</v>
      </c>
      <c r="E164" s="174">
        <v>11</v>
      </c>
      <c r="F164" s="175">
        <v>69384</v>
      </c>
      <c r="G164" s="172">
        <v>5</v>
      </c>
      <c r="H164" s="176">
        <f t="shared" si="2"/>
        <v>3000</v>
      </c>
      <c r="I164" s="80" cm="1">
        <f t="array" ref="I164">_xlfn.IFS(G164=$K$4,$L$4, G164=$K$5,$L$5, G164=$K$6,$L$6,G164=$K$7,$L$7, G164=$K$8,$L$8)</f>
        <v>3000</v>
      </c>
      <c r="J164" s="80"/>
    </row>
    <row r="165" spans="1:10">
      <c r="A165" s="171" t="s">
        <v>1413</v>
      </c>
      <c r="B165" s="172" t="s">
        <v>1254</v>
      </c>
      <c r="C165" s="171" t="s">
        <v>1386</v>
      </c>
      <c r="D165" s="173">
        <v>41132</v>
      </c>
      <c r="E165" s="174">
        <v>9</v>
      </c>
      <c r="F165" s="175">
        <v>123331</v>
      </c>
      <c r="G165" s="172">
        <v>4</v>
      </c>
      <c r="H165" s="176">
        <f t="shared" si="2"/>
        <v>1500</v>
      </c>
      <c r="I165" s="80" cm="1">
        <f t="array" ref="I165">_xlfn.IFS(G165=$K$4,$L$4, G165=$K$5,$L$5, G165=$K$6,$L$6,G165=$K$7,$L$7, G165=$K$8,$L$8)</f>
        <v>1500</v>
      </c>
      <c r="J165" s="80"/>
    </row>
    <row r="166" spans="1:10">
      <c r="A166" s="171" t="s">
        <v>1414</v>
      </c>
      <c r="B166" s="172" t="s">
        <v>1257</v>
      </c>
      <c r="C166" s="171" t="s">
        <v>1386</v>
      </c>
      <c r="D166" s="173">
        <v>41477</v>
      </c>
      <c r="E166" s="174">
        <v>8</v>
      </c>
      <c r="F166" s="175">
        <v>55705</v>
      </c>
      <c r="G166" s="172">
        <v>4</v>
      </c>
      <c r="H166" s="176">
        <f t="shared" si="2"/>
        <v>1500</v>
      </c>
      <c r="I166" s="80" cm="1">
        <f t="array" ref="I166">_xlfn.IFS(G166=$K$4,$L$4, G166=$K$5,$L$5, G166=$K$6,$L$6,G166=$K$7,$L$7, G166=$K$8,$L$8)</f>
        <v>1500</v>
      </c>
      <c r="J166" s="80"/>
    </row>
    <row r="167" spans="1:10">
      <c r="A167" s="171" t="s">
        <v>1415</v>
      </c>
      <c r="B167" s="172" t="s">
        <v>1257</v>
      </c>
      <c r="C167" s="171" t="s">
        <v>1386</v>
      </c>
      <c r="D167" s="173">
        <v>40770</v>
      </c>
      <c r="E167" s="174">
        <v>10</v>
      </c>
      <c r="F167" s="175">
        <v>72893</v>
      </c>
      <c r="G167" s="172">
        <v>5</v>
      </c>
      <c r="H167" s="176">
        <f t="shared" si="2"/>
        <v>3000</v>
      </c>
      <c r="I167" s="80" cm="1">
        <f t="array" ref="I167">_xlfn.IFS(G167=$K$4,$L$4, G167=$K$5,$L$5, G167=$K$6,$L$6,G167=$K$7,$L$7, G167=$K$8,$L$8)</f>
        <v>3000</v>
      </c>
      <c r="J167" s="80"/>
    </row>
    <row r="168" spans="1:10">
      <c r="A168" s="171" t="s">
        <v>1416</v>
      </c>
      <c r="B168" s="172" t="s">
        <v>120</v>
      </c>
      <c r="C168" s="171" t="s">
        <v>1386</v>
      </c>
      <c r="D168" s="173">
        <v>42255</v>
      </c>
      <c r="E168" s="174">
        <v>6</v>
      </c>
      <c r="F168" s="175">
        <v>63123</v>
      </c>
      <c r="G168" s="172">
        <v>3</v>
      </c>
      <c r="H168" s="176">
        <f t="shared" si="2"/>
        <v>900</v>
      </c>
      <c r="I168" s="80" cm="1">
        <f t="array" ref="I168">_xlfn.IFS(G168=$K$4,$L$4, G168=$K$5,$L$5, G168=$K$6,$L$6,G168=$K$7,$L$7, G168=$K$8,$L$8)</f>
        <v>900</v>
      </c>
      <c r="J168" s="80"/>
    </row>
    <row r="169" spans="1:10">
      <c r="A169" s="171" t="s">
        <v>1417</v>
      </c>
      <c r="B169" s="172" t="s">
        <v>1257</v>
      </c>
      <c r="C169" s="171" t="s">
        <v>1386</v>
      </c>
      <c r="D169" s="173">
        <v>40404</v>
      </c>
      <c r="E169" s="174">
        <v>11</v>
      </c>
      <c r="F169" s="175">
        <v>64193</v>
      </c>
      <c r="G169" s="172">
        <v>3</v>
      </c>
      <c r="H169" s="176">
        <f t="shared" si="2"/>
        <v>900</v>
      </c>
      <c r="I169" s="80" cm="1">
        <f t="array" ref="I169">_xlfn.IFS(G169=$K$4,$L$4, G169=$K$5,$L$5, G169=$K$6,$L$6,G169=$K$7,$L$7, G169=$K$8,$L$8)</f>
        <v>900</v>
      </c>
      <c r="J169" s="80"/>
    </row>
    <row r="170" spans="1:10">
      <c r="A170" s="171" t="s">
        <v>1418</v>
      </c>
      <c r="B170" s="172" t="s">
        <v>120</v>
      </c>
      <c r="C170" s="171" t="s">
        <v>1386</v>
      </c>
      <c r="D170" s="173">
        <v>37492</v>
      </c>
      <c r="E170" s="174">
        <v>19</v>
      </c>
      <c r="F170" s="175">
        <v>111238</v>
      </c>
      <c r="G170" s="172">
        <v>5</v>
      </c>
      <c r="H170" s="176">
        <f t="shared" si="2"/>
        <v>3000</v>
      </c>
      <c r="I170" s="80" cm="1">
        <f t="array" ref="I170">_xlfn.IFS(G170=$K$4,$L$4, G170=$K$5,$L$5, G170=$K$6,$L$6,G170=$K$7,$L$7, G170=$K$8,$L$8)</f>
        <v>3000</v>
      </c>
      <c r="J170" s="80"/>
    </row>
    <row r="171" spans="1:10">
      <c r="A171" s="171" t="s">
        <v>1419</v>
      </c>
      <c r="B171" s="172" t="s">
        <v>1254</v>
      </c>
      <c r="C171" s="171" t="s">
        <v>1386</v>
      </c>
      <c r="D171" s="173">
        <v>37160</v>
      </c>
      <c r="E171" s="174">
        <v>20</v>
      </c>
      <c r="F171" s="175">
        <v>62446</v>
      </c>
      <c r="G171" s="172">
        <v>2</v>
      </c>
      <c r="H171" s="176">
        <f t="shared" si="2"/>
        <v>100</v>
      </c>
      <c r="I171" s="80" cm="1">
        <f t="array" ref="I171">_xlfn.IFS(G171=$K$4,$L$4, G171=$K$5,$L$5, G171=$K$6,$L$6,G171=$K$7,$L$7, G171=$K$8,$L$8)</f>
        <v>100</v>
      </c>
      <c r="J171" s="80"/>
    </row>
    <row r="172" spans="1:10">
      <c r="A172" s="171" t="s">
        <v>1420</v>
      </c>
      <c r="B172" s="172" t="s">
        <v>129</v>
      </c>
      <c r="C172" s="171" t="s">
        <v>1386</v>
      </c>
      <c r="D172" s="173">
        <v>41548</v>
      </c>
      <c r="E172" s="174">
        <v>8</v>
      </c>
      <c r="F172" s="175">
        <v>71086</v>
      </c>
      <c r="G172" s="172">
        <v>3</v>
      </c>
      <c r="H172" s="176">
        <f t="shared" si="2"/>
        <v>900</v>
      </c>
      <c r="I172" s="80" cm="1">
        <f t="array" ref="I172">_xlfn.IFS(G172=$K$4,$L$4, G172=$K$5,$L$5, G172=$K$6,$L$6,G172=$K$7,$L$7, G172=$K$8,$L$8)</f>
        <v>900</v>
      </c>
      <c r="J172" s="80"/>
    </row>
    <row r="173" spans="1:10">
      <c r="A173" s="171" t="s">
        <v>1421</v>
      </c>
      <c r="B173" s="172" t="s">
        <v>1254</v>
      </c>
      <c r="C173" s="171" t="s">
        <v>1386</v>
      </c>
      <c r="D173" s="173">
        <v>42306</v>
      </c>
      <c r="E173" s="174">
        <v>6</v>
      </c>
      <c r="F173" s="175">
        <v>69039</v>
      </c>
      <c r="G173" s="172">
        <v>5</v>
      </c>
      <c r="H173" s="176">
        <f t="shared" si="2"/>
        <v>3000</v>
      </c>
      <c r="I173" s="80" cm="1">
        <f t="array" ref="I173">_xlfn.IFS(G173=$K$4,$L$4, G173=$K$5,$L$5, G173=$K$6,$L$6,G173=$K$7,$L$7, G173=$K$8,$L$8)</f>
        <v>3000</v>
      </c>
      <c r="J173" s="80"/>
    </row>
    <row r="174" spans="1:10">
      <c r="A174" s="171" t="s">
        <v>1422</v>
      </c>
      <c r="B174" s="172" t="s">
        <v>1257</v>
      </c>
      <c r="C174" s="171" t="s">
        <v>1386</v>
      </c>
      <c r="D174" s="173">
        <v>40846</v>
      </c>
      <c r="E174" s="174">
        <v>10</v>
      </c>
      <c r="F174" s="175">
        <v>79262</v>
      </c>
      <c r="G174" s="172">
        <v>5</v>
      </c>
      <c r="H174" s="176">
        <f t="shared" si="2"/>
        <v>3000</v>
      </c>
      <c r="I174" s="80" cm="1">
        <f t="array" ref="I174">_xlfn.IFS(G174=$K$4,$L$4, G174=$K$5,$L$5, G174=$K$6,$L$6,G174=$K$7,$L$7, G174=$K$8,$L$8)</f>
        <v>3000</v>
      </c>
      <c r="J174" s="80"/>
    </row>
    <row r="175" spans="1:10">
      <c r="A175" s="171" t="s">
        <v>1423</v>
      </c>
      <c r="B175" s="172" t="s">
        <v>1257</v>
      </c>
      <c r="C175" s="171" t="s">
        <v>1386</v>
      </c>
      <c r="D175" s="173">
        <v>42332</v>
      </c>
      <c r="E175" s="174">
        <v>6</v>
      </c>
      <c r="F175" s="175">
        <v>55686</v>
      </c>
      <c r="G175" s="172">
        <v>5</v>
      </c>
      <c r="H175" s="176">
        <f t="shared" si="2"/>
        <v>3000</v>
      </c>
      <c r="I175" s="80" cm="1">
        <f t="array" ref="I175">_xlfn.IFS(G175=$K$4,$L$4, G175=$K$5,$L$5, G175=$K$6,$L$6,G175=$K$7,$L$7, G175=$K$8,$L$8)</f>
        <v>3000</v>
      </c>
      <c r="J175" s="80"/>
    </row>
    <row r="176" spans="1:10">
      <c r="A176" s="171" t="s">
        <v>1424</v>
      </c>
      <c r="B176" s="172" t="s">
        <v>1257</v>
      </c>
      <c r="C176" s="171" t="s">
        <v>1425</v>
      </c>
      <c r="D176" s="173">
        <v>40593</v>
      </c>
      <c r="E176" s="174">
        <v>10</v>
      </c>
      <c r="F176" s="175">
        <v>48576</v>
      </c>
      <c r="G176" s="172">
        <v>4</v>
      </c>
      <c r="H176" s="176">
        <f t="shared" si="2"/>
        <v>1500</v>
      </c>
      <c r="I176" s="80" cm="1">
        <f t="array" ref="I176">_xlfn.IFS(G176=$K$4,$L$4, G176=$K$5,$L$5, G176=$K$6,$L$6,G176=$K$7,$L$7, G176=$K$8,$L$8)</f>
        <v>1500</v>
      </c>
      <c r="J176" s="80"/>
    </row>
    <row r="177" spans="1:10">
      <c r="A177" s="171" t="s">
        <v>1426</v>
      </c>
      <c r="B177" s="172" t="s">
        <v>1254</v>
      </c>
      <c r="C177" s="171" t="s">
        <v>1425</v>
      </c>
      <c r="D177" s="173">
        <v>41341</v>
      </c>
      <c r="E177" s="174">
        <v>8</v>
      </c>
      <c r="F177" s="175">
        <v>56792</v>
      </c>
      <c r="G177" s="172">
        <v>4</v>
      </c>
      <c r="H177" s="176">
        <f t="shared" si="2"/>
        <v>1500</v>
      </c>
      <c r="I177" s="80" cm="1">
        <f t="array" ref="I177">_xlfn.IFS(G177=$K$4,$L$4, G177=$K$5,$L$5, G177=$K$6,$L$6,G177=$K$7,$L$7, G177=$K$8,$L$8)</f>
        <v>1500</v>
      </c>
      <c r="J177" s="80"/>
    </row>
    <row r="178" spans="1:10">
      <c r="A178" s="171" t="s">
        <v>1427</v>
      </c>
      <c r="B178" s="172" t="s">
        <v>1257</v>
      </c>
      <c r="C178" s="171" t="s">
        <v>1425</v>
      </c>
      <c r="D178" s="173">
        <v>41768</v>
      </c>
      <c r="E178" s="174">
        <v>7</v>
      </c>
      <c r="F178" s="175">
        <v>103041</v>
      </c>
      <c r="G178" s="172">
        <v>1</v>
      </c>
      <c r="H178" s="176">
        <f t="shared" si="2"/>
        <v>0</v>
      </c>
      <c r="I178" s="80" cm="1">
        <f t="array" ref="I178">_xlfn.IFS(G178=$K$4,$L$4, G178=$K$5,$L$5, G178=$K$6,$L$6,G178=$K$7,$L$7, G178=$K$8,$L$8)</f>
        <v>0</v>
      </c>
      <c r="J178" s="80"/>
    </row>
    <row r="179" spans="1:10">
      <c r="A179" s="171" t="s">
        <v>1428</v>
      </c>
      <c r="B179" s="172" t="s">
        <v>120</v>
      </c>
      <c r="C179" s="171" t="s">
        <v>1425</v>
      </c>
      <c r="D179" s="173">
        <v>37751</v>
      </c>
      <c r="E179" s="174">
        <v>18</v>
      </c>
      <c r="F179" s="175">
        <v>114941</v>
      </c>
      <c r="G179" s="172">
        <v>4</v>
      </c>
      <c r="H179" s="176">
        <f t="shared" si="2"/>
        <v>1500</v>
      </c>
      <c r="I179" s="80" cm="1">
        <f t="array" ref="I179">_xlfn.IFS(G179=$K$4,$L$4, G179=$K$5,$L$5, G179=$K$6,$L$6,G179=$K$7,$L$7, G179=$K$8,$L$8)</f>
        <v>1500</v>
      </c>
      <c r="J179" s="80"/>
    </row>
    <row r="180" spans="1:10">
      <c r="A180" s="171" t="s">
        <v>1429</v>
      </c>
      <c r="B180" s="172" t="s">
        <v>120</v>
      </c>
      <c r="C180" s="171" t="s">
        <v>1425</v>
      </c>
      <c r="D180" s="173">
        <v>38121</v>
      </c>
      <c r="E180" s="174">
        <v>17</v>
      </c>
      <c r="F180" s="175">
        <v>47250</v>
      </c>
      <c r="G180" s="172">
        <v>1</v>
      </c>
      <c r="H180" s="176">
        <f t="shared" si="2"/>
        <v>0</v>
      </c>
      <c r="I180" s="80" cm="1">
        <f t="array" ref="I180">_xlfn.IFS(G180=$K$4,$L$4, G180=$K$5,$L$5, G180=$K$6,$L$6,G180=$K$7,$L$7, G180=$K$8,$L$8)</f>
        <v>0</v>
      </c>
      <c r="J180" s="80"/>
    </row>
    <row r="181" spans="1:10">
      <c r="A181" s="171" t="s">
        <v>1430</v>
      </c>
      <c r="B181" s="172" t="s">
        <v>129</v>
      </c>
      <c r="C181" s="171" t="s">
        <v>1425</v>
      </c>
      <c r="D181" s="173">
        <v>38583</v>
      </c>
      <c r="E181" s="174">
        <v>16</v>
      </c>
      <c r="F181" s="175">
        <v>88967</v>
      </c>
      <c r="G181" s="172">
        <v>1</v>
      </c>
      <c r="H181" s="176">
        <f t="shared" si="2"/>
        <v>0</v>
      </c>
      <c r="I181" s="80" cm="1">
        <f t="array" ref="I181">_xlfn.IFS(G181=$K$4,$L$4, G181=$K$5,$L$5, G181=$K$6,$L$6,G181=$K$7,$L$7, G181=$K$8,$L$8)</f>
        <v>0</v>
      </c>
      <c r="J181" s="80"/>
    </row>
    <row r="182" spans="1:10">
      <c r="A182" s="171" t="s">
        <v>1431</v>
      </c>
      <c r="B182" s="172" t="s">
        <v>129</v>
      </c>
      <c r="C182" s="171" t="s">
        <v>1425</v>
      </c>
      <c r="D182" s="173">
        <v>39024</v>
      </c>
      <c r="E182" s="174">
        <v>15</v>
      </c>
      <c r="F182" s="175">
        <v>56812</v>
      </c>
      <c r="G182" s="172">
        <v>5</v>
      </c>
      <c r="H182" s="176">
        <f t="shared" si="2"/>
        <v>3000</v>
      </c>
      <c r="I182" s="80" cm="1">
        <f t="array" ref="I182">_xlfn.IFS(G182=$K$4,$L$4, G182=$K$5,$L$5, G182=$K$6,$L$6,G182=$K$7,$L$7, G182=$K$8,$L$8)</f>
        <v>3000</v>
      </c>
      <c r="J182" s="80"/>
    </row>
    <row r="183" spans="1:10">
      <c r="A183" s="171" t="s">
        <v>1432</v>
      </c>
      <c r="B183" s="172" t="s">
        <v>1257</v>
      </c>
      <c r="C183" s="171" t="s">
        <v>1425</v>
      </c>
      <c r="D183" s="173">
        <v>37597</v>
      </c>
      <c r="E183" s="174">
        <v>19</v>
      </c>
      <c r="F183" s="175">
        <v>79741</v>
      </c>
      <c r="G183" s="172">
        <v>5</v>
      </c>
      <c r="H183" s="176">
        <f t="shared" si="2"/>
        <v>3000</v>
      </c>
      <c r="I183" s="80" cm="1">
        <f t="array" ref="I183">_xlfn.IFS(G183=$K$4,$L$4, G183=$K$5,$L$5, G183=$K$6,$L$6,G183=$K$7,$L$7, G183=$K$8,$L$8)</f>
        <v>3000</v>
      </c>
      <c r="J183" s="80"/>
    </row>
    <row r="184" spans="1:10">
      <c r="A184" s="171" t="s">
        <v>1433</v>
      </c>
      <c r="B184" s="172" t="s">
        <v>129</v>
      </c>
      <c r="C184" s="171" t="s">
        <v>1434</v>
      </c>
      <c r="D184" s="173">
        <v>41996</v>
      </c>
      <c r="E184" s="174">
        <v>7</v>
      </c>
      <c r="F184" s="175">
        <v>42649</v>
      </c>
      <c r="G184" s="172">
        <v>5</v>
      </c>
      <c r="H184" s="176">
        <f t="shared" si="2"/>
        <v>3000</v>
      </c>
      <c r="I184" s="80" cm="1">
        <f t="array" ref="I184">_xlfn.IFS(G184=$K$4,$L$4, G184=$K$5,$L$5, G184=$K$6,$L$6,G184=$K$7,$L$7, G184=$K$8,$L$8)</f>
        <v>3000</v>
      </c>
      <c r="J184" s="80"/>
    </row>
    <row r="185" spans="1:10">
      <c r="A185" s="171" t="s">
        <v>1435</v>
      </c>
      <c r="B185" s="172" t="s">
        <v>1257</v>
      </c>
      <c r="C185" s="171" t="s">
        <v>1434</v>
      </c>
      <c r="D185" s="173">
        <v>42014</v>
      </c>
      <c r="E185" s="174">
        <v>7</v>
      </c>
      <c r="F185" s="175">
        <v>96721</v>
      </c>
      <c r="G185" s="172">
        <v>4</v>
      </c>
      <c r="H185" s="176">
        <f t="shared" si="2"/>
        <v>1500</v>
      </c>
      <c r="I185" s="80" cm="1">
        <f t="array" ref="I185">_xlfn.IFS(G185=$K$4,$L$4, G185=$K$5,$L$5, G185=$K$6,$L$6,G185=$K$7,$L$7, G185=$K$8,$L$8)</f>
        <v>1500</v>
      </c>
      <c r="J185" s="80"/>
    </row>
    <row r="186" spans="1:10">
      <c r="A186" s="171" t="s">
        <v>1436</v>
      </c>
      <c r="B186" s="172" t="s">
        <v>1257</v>
      </c>
      <c r="C186" s="171" t="s">
        <v>1434</v>
      </c>
      <c r="D186" s="173">
        <v>40170</v>
      </c>
      <c r="E186" s="174">
        <v>12</v>
      </c>
      <c r="F186" s="175">
        <v>92402</v>
      </c>
      <c r="G186" s="172">
        <v>3</v>
      </c>
      <c r="H186" s="176">
        <f t="shared" si="2"/>
        <v>900</v>
      </c>
      <c r="I186" s="80" cm="1">
        <f t="array" ref="I186">_xlfn.IFS(G186=$K$4,$L$4, G186=$K$5,$L$5, G186=$K$6,$L$6,G186=$K$7,$L$7, G186=$K$8,$L$8)</f>
        <v>900</v>
      </c>
      <c r="J186" s="80"/>
    </row>
    <row r="187" spans="1:10">
      <c r="A187" s="171" t="s">
        <v>1437</v>
      </c>
      <c r="B187" s="172" t="s">
        <v>1257</v>
      </c>
      <c r="C187" s="171" t="s">
        <v>1434</v>
      </c>
      <c r="D187" s="173">
        <v>40184</v>
      </c>
      <c r="E187" s="174">
        <v>12</v>
      </c>
      <c r="F187" s="175">
        <v>110812</v>
      </c>
      <c r="G187" s="172">
        <v>3</v>
      </c>
      <c r="H187" s="176">
        <f t="shared" si="2"/>
        <v>900</v>
      </c>
      <c r="I187" s="80" cm="1">
        <f t="array" ref="I187">_xlfn.IFS(G187=$K$4,$L$4, G187=$K$5,$L$5, G187=$K$6,$L$6,G187=$K$7,$L$7, G187=$K$8,$L$8)</f>
        <v>900</v>
      </c>
      <c r="J187" s="80"/>
    </row>
    <row r="188" spans="1:10">
      <c r="A188" s="171" t="s">
        <v>1438</v>
      </c>
      <c r="B188" s="172" t="s">
        <v>1257</v>
      </c>
      <c r="C188" s="171" t="s">
        <v>1434</v>
      </c>
      <c r="D188" s="173">
        <v>39816</v>
      </c>
      <c r="E188" s="174">
        <v>13</v>
      </c>
      <c r="F188" s="175">
        <v>89875</v>
      </c>
      <c r="G188" s="172">
        <v>5</v>
      </c>
      <c r="H188" s="176">
        <f t="shared" si="2"/>
        <v>3000</v>
      </c>
      <c r="I188" s="80" cm="1">
        <f t="array" ref="I188">_xlfn.IFS(G188=$K$4,$L$4, G188=$K$5,$L$5, G188=$K$6,$L$6,G188=$K$7,$L$7, G188=$K$8,$L$8)</f>
        <v>3000</v>
      </c>
      <c r="J188" s="80"/>
    </row>
    <row r="189" spans="1:10">
      <c r="A189" s="171" t="s">
        <v>1439</v>
      </c>
      <c r="B189" s="172" t="s">
        <v>1254</v>
      </c>
      <c r="C189" s="171" t="s">
        <v>1434</v>
      </c>
      <c r="D189" s="173">
        <v>36879</v>
      </c>
      <c r="E189" s="174">
        <v>21</v>
      </c>
      <c r="F189" s="175">
        <v>81584</v>
      </c>
      <c r="G189" s="172">
        <v>1</v>
      </c>
      <c r="H189" s="176">
        <f t="shared" si="2"/>
        <v>0</v>
      </c>
      <c r="I189" s="80" cm="1">
        <f t="array" ref="I189">_xlfn.IFS(G189=$K$4,$L$4, G189=$K$5,$L$5, G189=$K$6,$L$6,G189=$K$7,$L$7, G189=$K$8,$L$8)</f>
        <v>0</v>
      </c>
      <c r="J189" s="80"/>
    </row>
    <row r="190" spans="1:10">
      <c r="A190" s="171" t="s">
        <v>1440</v>
      </c>
      <c r="B190" s="172" t="s">
        <v>1254</v>
      </c>
      <c r="C190" s="171" t="s">
        <v>1434</v>
      </c>
      <c r="D190" s="173">
        <v>36885</v>
      </c>
      <c r="E190" s="174">
        <v>21</v>
      </c>
      <c r="F190" s="175">
        <v>74768</v>
      </c>
      <c r="G190" s="172">
        <v>5</v>
      </c>
      <c r="H190" s="176">
        <f t="shared" si="2"/>
        <v>3000</v>
      </c>
      <c r="I190" s="80" cm="1">
        <f t="array" ref="I190">_xlfn.IFS(G190=$K$4,$L$4, G190=$K$5,$L$5, G190=$K$6,$L$6,G190=$K$7,$L$7, G190=$K$8,$L$8)</f>
        <v>3000</v>
      </c>
      <c r="J190" s="80"/>
    </row>
    <row r="191" spans="1:10">
      <c r="A191" s="171" t="s">
        <v>1441</v>
      </c>
      <c r="B191" s="172" t="s">
        <v>1257</v>
      </c>
      <c r="C191" s="171" t="s">
        <v>1434</v>
      </c>
      <c r="D191" s="173">
        <v>37255</v>
      </c>
      <c r="E191" s="174">
        <v>20</v>
      </c>
      <c r="F191" s="175">
        <v>104733</v>
      </c>
      <c r="G191" s="172">
        <v>2</v>
      </c>
      <c r="H191" s="176">
        <f t="shared" si="2"/>
        <v>100</v>
      </c>
      <c r="I191" s="80" cm="1">
        <f t="array" ref="I191">_xlfn.IFS(G191=$K$4,$L$4, G191=$K$5,$L$5, G191=$K$6,$L$6,G191=$K$7,$L$7, G191=$K$8,$L$8)</f>
        <v>100</v>
      </c>
      <c r="J191" s="80"/>
    </row>
    <row r="192" spans="1:10">
      <c r="A192" s="171" t="s">
        <v>1442</v>
      </c>
      <c r="B192" s="172" t="s">
        <v>1257</v>
      </c>
      <c r="C192" s="171" t="s">
        <v>1434</v>
      </c>
      <c r="D192" s="173">
        <v>37613</v>
      </c>
      <c r="E192" s="174">
        <v>19</v>
      </c>
      <c r="F192" s="175">
        <v>80559</v>
      </c>
      <c r="G192" s="172">
        <v>4</v>
      </c>
      <c r="H192" s="176">
        <f t="shared" si="2"/>
        <v>1500</v>
      </c>
      <c r="I192" s="80" cm="1">
        <f t="array" ref="I192">_xlfn.IFS(G192=$K$4,$L$4, G192=$K$5,$L$5, G192=$K$6,$L$6,G192=$K$7,$L$7, G192=$K$8,$L$8)</f>
        <v>1500</v>
      </c>
      <c r="J192" s="80"/>
    </row>
    <row r="193" spans="1:10">
      <c r="A193" s="171" t="s">
        <v>1443</v>
      </c>
      <c r="B193" s="172" t="s">
        <v>129</v>
      </c>
      <c r="C193" s="171" t="s">
        <v>1434</v>
      </c>
      <c r="D193" s="173">
        <v>38712</v>
      </c>
      <c r="E193" s="174">
        <v>16</v>
      </c>
      <c r="F193" s="175">
        <v>69372</v>
      </c>
      <c r="G193" s="172">
        <v>3</v>
      </c>
      <c r="H193" s="176">
        <f t="shared" si="2"/>
        <v>900</v>
      </c>
      <c r="I193" s="80" cm="1">
        <f t="array" ref="I193">_xlfn.IFS(G193=$K$4,$L$4, G193=$K$5,$L$5, G193=$K$6,$L$6,G193=$K$7,$L$7, G193=$K$8,$L$8)</f>
        <v>900</v>
      </c>
      <c r="J193" s="80"/>
    </row>
    <row r="194" spans="1:10">
      <c r="A194" s="171" t="s">
        <v>1444</v>
      </c>
      <c r="B194" s="172" t="s">
        <v>120</v>
      </c>
      <c r="C194" s="171" t="s">
        <v>1434</v>
      </c>
      <c r="D194" s="173">
        <v>40550</v>
      </c>
      <c r="E194" s="174">
        <v>11</v>
      </c>
      <c r="F194" s="175">
        <v>84899</v>
      </c>
      <c r="G194" s="172">
        <v>3</v>
      </c>
      <c r="H194" s="176">
        <f t="shared" si="2"/>
        <v>900</v>
      </c>
      <c r="I194" s="80" cm="1">
        <f t="array" ref="I194">_xlfn.IFS(G194=$K$4,$L$4, G194=$K$5,$L$5, G194=$K$6,$L$6,G194=$K$7,$L$7, G194=$K$8,$L$8)</f>
        <v>900</v>
      </c>
      <c r="J194" s="80"/>
    </row>
    <row r="195" spans="1:10">
      <c r="A195" s="171" t="s">
        <v>1445</v>
      </c>
      <c r="B195" s="172" t="s">
        <v>129</v>
      </c>
      <c r="C195" s="171" t="s">
        <v>1434</v>
      </c>
      <c r="D195" s="173">
        <v>40550</v>
      </c>
      <c r="E195" s="174">
        <v>11</v>
      </c>
      <c r="F195" s="175">
        <v>71445</v>
      </c>
      <c r="G195" s="172">
        <v>1</v>
      </c>
      <c r="H195" s="176">
        <f t="shared" ref="H195:H258" si="3">IF(G195=$K$4,$L$4,IF(G195=$K$5,$L$5,IF(G195=$K$6,$L$6,IF(G195=$K$7,$L$7,IF(G195=$K$8,$L$8)))))</f>
        <v>0</v>
      </c>
      <c r="I195" s="80" cm="1">
        <f t="array" ref="I195">_xlfn.IFS(G195=$K$4,$L$4, G195=$K$5,$L$5, G195=$K$6,$L$6,G195=$K$7,$L$7, G195=$K$8,$L$8)</f>
        <v>0</v>
      </c>
      <c r="J195" s="80"/>
    </row>
    <row r="196" spans="1:10">
      <c r="A196" s="171" t="s">
        <v>1446</v>
      </c>
      <c r="B196" s="172" t="s">
        <v>105</v>
      </c>
      <c r="C196" s="171" t="s">
        <v>1434</v>
      </c>
      <c r="D196" s="173">
        <v>39811</v>
      </c>
      <c r="E196" s="174">
        <v>13</v>
      </c>
      <c r="F196" s="175">
        <v>57624</v>
      </c>
      <c r="G196" s="172">
        <v>4</v>
      </c>
      <c r="H196" s="176">
        <f t="shared" si="3"/>
        <v>1500</v>
      </c>
      <c r="I196" s="80" cm="1">
        <f t="array" ref="I196">_xlfn.IFS(G196=$K$4,$L$4, G196=$K$5,$L$5, G196=$K$6,$L$6,G196=$K$7,$L$7, G196=$K$8,$L$8)</f>
        <v>1500</v>
      </c>
      <c r="J196" s="80"/>
    </row>
    <row r="197" spans="1:10">
      <c r="A197" s="171" t="s">
        <v>1447</v>
      </c>
      <c r="B197" s="172" t="s">
        <v>105</v>
      </c>
      <c r="C197" s="171" t="s">
        <v>1434</v>
      </c>
      <c r="D197" s="173">
        <v>40165</v>
      </c>
      <c r="E197" s="174">
        <v>12</v>
      </c>
      <c r="F197" s="175">
        <v>118087</v>
      </c>
      <c r="G197" s="172">
        <v>4</v>
      </c>
      <c r="H197" s="176">
        <f t="shared" si="3"/>
        <v>1500</v>
      </c>
      <c r="I197" s="80" cm="1">
        <f t="array" ref="I197">_xlfn.IFS(G197=$K$4,$L$4, G197=$K$5,$L$5, G197=$K$6,$L$6,G197=$K$7,$L$7, G197=$K$8,$L$8)</f>
        <v>1500</v>
      </c>
      <c r="J197" s="80"/>
    </row>
    <row r="198" spans="1:10">
      <c r="A198" s="171" t="s">
        <v>1448</v>
      </c>
      <c r="B198" s="172" t="s">
        <v>1255</v>
      </c>
      <c r="C198" s="171" t="s">
        <v>1434</v>
      </c>
      <c r="D198" s="173">
        <v>40533</v>
      </c>
      <c r="E198" s="174">
        <v>11</v>
      </c>
      <c r="F198" s="175">
        <v>46256</v>
      </c>
      <c r="G198" s="172">
        <v>4</v>
      </c>
      <c r="H198" s="176">
        <f t="shared" si="3"/>
        <v>1500</v>
      </c>
      <c r="I198" s="80" cm="1">
        <f t="array" ref="I198">_xlfn.IFS(G198=$K$4,$L$4, G198=$K$5,$L$5, G198=$K$6,$L$6,G198=$K$7,$L$7, G198=$K$8,$L$8)</f>
        <v>1500</v>
      </c>
      <c r="J198" s="80"/>
    </row>
    <row r="199" spans="1:10">
      <c r="A199" s="171" t="s">
        <v>1449</v>
      </c>
      <c r="B199" s="172" t="s">
        <v>105</v>
      </c>
      <c r="C199" s="171" t="s">
        <v>1434</v>
      </c>
      <c r="D199" s="173">
        <v>40900</v>
      </c>
      <c r="E199" s="174">
        <v>10</v>
      </c>
      <c r="F199" s="175">
        <v>43152</v>
      </c>
      <c r="G199" s="172">
        <v>5</v>
      </c>
      <c r="H199" s="176">
        <f t="shared" si="3"/>
        <v>3000</v>
      </c>
      <c r="I199" s="80" cm="1">
        <f t="array" ref="I199">_xlfn.IFS(G199=$K$4,$L$4, G199=$K$5,$L$5, G199=$K$6,$L$6,G199=$K$7,$L$7, G199=$K$8,$L$8)</f>
        <v>3000</v>
      </c>
      <c r="J199" s="80"/>
    </row>
    <row r="200" spans="1:10">
      <c r="A200" s="171" t="s">
        <v>1450</v>
      </c>
      <c r="B200" s="172" t="s">
        <v>105</v>
      </c>
      <c r="C200" s="171" t="s">
        <v>1434</v>
      </c>
      <c r="D200" s="173">
        <v>40908</v>
      </c>
      <c r="E200" s="174">
        <v>10</v>
      </c>
      <c r="F200" s="175">
        <v>79572</v>
      </c>
      <c r="G200" s="172">
        <v>4</v>
      </c>
      <c r="H200" s="176">
        <f t="shared" si="3"/>
        <v>1500</v>
      </c>
      <c r="I200" s="80" cm="1">
        <f t="array" ref="I200">_xlfn.IFS(G200=$K$4,$L$4, G200=$K$5,$L$5, G200=$K$6,$L$6,G200=$K$7,$L$7, G200=$K$8,$L$8)</f>
        <v>1500</v>
      </c>
      <c r="J200" s="80"/>
    </row>
    <row r="201" spans="1:10">
      <c r="A201" s="171" t="s">
        <v>1451</v>
      </c>
      <c r="B201" s="172" t="s">
        <v>129</v>
      </c>
      <c r="C201" s="171" t="s">
        <v>1434</v>
      </c>
      <c r="D201" s="173">
        <v>41281</v>
      </c>
      <c r="E201" s="174">
        <v>9</v>
      </c>
      <c r="F201" s="175">
        <v>119381</v>
      </c>
      <c r="G201" s="172">
        <v>5</v>
      </c>
      <c r="H201" s="176">
        <f t="shared" si="3"/>
        <v>3000</v>
      </c>
      <c r="I201" s="80" cm="1">
        <f t="array" ref="I201">_xlfn.IFS(G201=$K$4,$L$4, G201=$K$5,$L$5, G201=$K$6,$L$6,G201=$K$7,$L$7, G201=$K$8,$L$8)</f>
        <v>3000</v>
      </c>
      <c r="J201" s="80"/>
    </row>
    <row r="202" spans="1:10">
      <c r="A202" s="171" t="s">
        <v>1452</v>
      </c>
      <c r="B202" s="172" t="s">
        <v>1257</v>
      </c>
      <c r="C202" s="171" t="s">
        <v>1434</v>
      </c>
      <c r="D202" s="173">
        <v>41652</v>
      </c>
      <c r="E202" s="174">
        <v>8</v>
      </c>
      <c r="F202" s="175">
        <v>77764</v>
      </c>
      <c r="G202" s="172">
        <v>4</v>
      </c>
      <c r="H202" s="176">
        <f t="shared" si="3"/>
        <v>1500</v>
      </c>
      <c r="I202" s="80" cm="1">
        <f t="array" ref="I202">_xlfn.IFS(G202=$K$4,$L$4, G202=$K$5,$L$5, G202=$K$6,$L$6,G202=$K$7,$L$7, G202=$K$8,$L$8)</f>
        <v>1500</v>
      </c>
      <c r="J202" s="80"/>
    </row>
    <row r="203" spans="1:10">
      <c r="A203" s="171" t="s">
        <v>1453</v>
      </c>
      <c r="B203" s="172" t="s">
        <v>1257</v>
      </c>
      <c r="C203" s="171" t="s">
        <v>1434</v>
      </c>
      <c r="D203" s="173">
        <v>42031</v>
      </c>
      <c r="E203" s="174">
        <v>6</v>
      </c>
      <c r="F203" s="175">
        <v>116158</v>
      </c>
      <c r="G203" s="172">
        <v>4</v>
      </c>
      <c r="H203" s="176">
        <f t="shared" si="3"/>
        <v>1500</v>
      </c>
      <c r="I203" s="80" cm="1">
        <f t="array" ref="I203">_xlfn.IFS(G203=$K$4,$L$4, G203=$K$5,$L$5, G203=$K$6,$L$6,G203=$K$7,$L$7, G203=$K$8,$L$8)</f>
        <v>1500</v>
      </c>
      <c r="J203" s="80"/>
    </row>
    <row r="204" spans="1:10">
      <c r="A204" s="171" t="s">
        <v>1454</v>
      </c>
      <c r="B204" s="172" t="s">
        <v>105</v>
      </c>
      <c r="C204" s="171" t="s">
        <v>1434</v>
      </c>
      <c r="D204" s="173">
        <v>36907</v>
      </c>
      <c r="E204" s="174">
        <v>21</v>
      </c>
      <c r="F204" s="175">
        <v>85348</v>
      </c>
      <c r="G204" s="172">
        <v>3</v>
      </c>
      <c r="H204" s="176">
        <f t="shared" si="3"/>
        <v>900</v>
      </c>
      <c r="I204" s="80" cm="1">
        <f t="array" ref="I204">_xlfn.IFS(G204=$K$4,$L$4, G204=$K$5,$L$5, G204=$K$6,$L$6,G204=$K$7,$L$7, G204=$K$8,$L$8)</f>
        <v>900</v>
      </c>
      <c r="J204" s="80"/>
    </row>
    <row r="205" spans="1:10">
      <c r="A205" s="171" t="s">
        <v>1455</v>
      </c>
      <c r="B205" s="172" t="s">
        <v>1255</v>
      </c>
      <c r="C205" s="171" t="s">
        <v>1434</v>
      </c>
      <c r="D205" s="173">
        <v>36908</v>
      </c>
      <c r="E205" s="174">
        <v>21</v>
      </c>
      <c r="F205" s="175">
        <v>98150</v>
      </c>
      <c r="G205" s="172">
        <v>5</v>
      </c>
      <c r="H205" s="176">
        <f t="shared" si="3"/>
        <v>3000</v>
      </c>
      <c r="I205" s="80" cm="1">
        <f t="array" ref="I205">_xlfn.IFS(G205=$K$4,$L$4, G205=$K$5,$L$5, G205=$K$6,$L$6,G205=$K$7,$L$7, G205=$K$8,$L$8)</f>
        <v>3000</v>
      </c>
      <c r="J205" s="80"/>
    </row>
    <row r="206" spans="1:10">
      <c r="A206" s="171" t="s">
        <v>1456</v>
      </c>
      <c r="B206" s="172" t="s">
        <v>1254</v>
      </c>
      <c r="C206" s="171" t="s">
        <v>1434</v>
      </c>
      <c r="D206" s="173">
        <v>37276</v>
      </c>
      <c r="E206" s="174">
        <v>20</v>
      </c>
      <c r="F206" s="175">
        <v>85604</v>
      </c>
      <c r="G206" s="172">
        <v>2</v>
      </c>
      <c r="H206" s="176">
        <f t="shared" si="3"/>
        <v>100</v>
      </c>
      <c r="I206" s="80" cm="1">
        <f t="array" ref="I206">_xlfn.IFS(G206=$K$4,$L$4, G206=$K$5,$L$5, G206=$K$6,$L$6,G206=$K$7,$L$7, G206=$K$8,$L$8)</f>
        <v>100</v>
      </c>
      <c r="J206" s="80"/>
    </row>
    <row r="207" spans="1:10">
      <c r="A207" s="171" t="s">
        <v>1457</v>
      </c>
      <c r="B207" s="172" t="s">
        <v>129</v>
      </c>
      <c r="C207" s="171" t="s">
        <v>1434</v>
      </c>
      <c r="D207" s="173">
        <v>39122</v>
      </c>
      <c r="E207" s="174">
        <v>14</v>
      </c>
      <c r="F207" s="175">
        <v>44072</v>
      </c>
      <c r="G207" s="172">
        <v>2</v>
      </c>
      <c r="H207" s="176">
        <f t="shared" si="3"/>
        <v>100</v>
      </c>
      <c r="I207" s="80" cm="1">
        <f t="array" ref="I207">_xlfn.IFS(G207=$K$4,$L$4, G207=$K$5,$L$5, G207=$K$6,$L$6,G207=$K$7,$L$7, G207=$K$8,$L$8)</f>
        <v>100</v>
      </c>
      <c r="J207" s="80"/>
    </row>
    <row r="208" spans="1:10">
      <c r="A208" s="171" t="s">
        <v>1458</v>
      </c>
      <c r="B208" s="172" t="s">
        <v>105</v>
      </c>
      <c r="C208" s="171" t="s">
        <v>1434</v>
      </c>
      <c r="D208" s="173">
        <v>41656</v>
      </c>
      <c r="E208" s="174">
        <v>8</v>
      </c>
      <c r="F208" s="175">
        <v>49935</v>
      </c>
      <c r="G208" s="172">
        <v>2</v>
      </c>
      <c r="H208" s="176">
        <f t="shared" si="3"/>
        <v>100</v>
      </c>
      <c r="I208" s="80" cm="1">
        <f t="array" ref="I208">_xlfn.IFS(G208=$K$4,$L$4, G208=$K$5,$L$5, G208=$K$6,$L$6,G208=$K$7,$L$7, G208=$K$8,$L$8)</f>
        <v>100</v>
      </c>
      <c r="J208" s="80"/>
    </row>
    <row r="209" spans="1:10">
      <c r="A209" s="171" t="s">
        <v>1459</v>
      </c>
      <c r="B209" s="172" t="s">
        <v>1254</v>
      </c>
      <c r="C209" s="171" t="s">
        <v>1434</v>
      </c>
      <c r="D209" s="173">
        <v>40222</v>
      </c>
      <c r="E209" s="174">
        <v>11</v>
      </c>
      <c r="F209" s="175">
        <v>59161</v>
      </c>
      <c r="G209" s="172">
        <v>4</v>
      </c>
      <c r="H209" s="176">
        <f t="shared" si="3"/>
        <v>1500</v>
      </c>
      <c r="I209" s="80" cm="1">
        <f t="array" ref="I209">_xlfn.IFS(G209=$K$4,$L$4, G209=$K$5,$L$5, G209=$K$6,$L$6,G209=$K$7,$L$7, G209=$K$8,$L$8)</f>
        <v>1500</v>
      </c>
      <c r="J209" s="80"/>
    </row>
    <row r="210" spans="1:10">
      <c r="A210" s="171" t="s">
        <v>1460</v>
      </c>
      <c r="B210" s="172" t="s">
        <v>105</v>
      </c>
      <c r="C210" s="171" t="s">
        <v>1434</v>
      </c>
      <c r="D210" s="173">
        <v>40244</v>
      </c>
      <c r="E210" s="174">
        <v>11</v>
      </c>
      <c r="F210" s="175">
        <v>49138</v>
      </c>
      <c r="G210" s="172">
        <v>4</v>
      </c>
      <c r="H210" s="176">
        <f t="shared" si="3"/>
        <v>1500</v>
      </c>
      <c r="I210" s="80" cm="1">
        <f t="array" ref="I210">_xlfn.IFS(G210=$K$4,$L$4, G210=$K$5,$L$5, G210=$K$6,$L$6,G210=$K$7,$L$7, G210=$K$8,$L$8)</f>
        <v>1500</v>
      </c>
      <c r="J210" s="80"/>
    </row>
    <row r="211" spans="1:10">
      <c r="A211" s="171" t="s">
        <v>1461</v>
      </c>
      <c r="B211" s="172" t="s">
        <v>1257</v>
      </c>
      <c r="C211" s="171" t="s">
        <v>1434</v>
      </c>
      <c r="D211" s="173">
        <v>40596</v>
      </c>
      <c r="E211" s="174">
        <v>10</v>
      </c>
      <c r="F211" s="175">
        <v>110203</v>
      </c>
      <c r="G211" s="172">
        <v>2</v>
      </c>
      <c r="H211" s="176">
        <f t="shared" si="3"/>
        <v>100</v>
      </c>
      <c r="I211" s="80" cm="1">
        <f t="array" ref="I211">_xlfn.IFS(G211=$K$4,$L$4, G211=$K$5,$L$5, G211=$K$6,$L$6,G211=$K$7,$L$7, G211=$K$8,$L$8)</f>
        <v>100</v>
      </c>
      <c r="J211" s="80"/>
    </row>
    <row r="212" spans="1:10">
      <c r="A212" s="171" t="s">
        <v>1462</v>
      </c>
      <c r="B212" s="172" t="s">
        <v>1254</v>
      </c>
      <c r="C212" s="171" t="s">
        <v>1434</v>
      </c>
      <c r="D212" s="173">
        <v>40246</v>
      </c>
      <c r="E212" s="174">
        <v>11</v>
      </c>
      <c r="F212" s="175">
        <v>74224</v>
      </c>
      <c r="G212" s="172">
        <v>3</v>
      </c>
      <c r="H212" s="176">
        <f t="shared" si="3"/>
        <v>900</v>
      </c>
      <c r="I212" s="80" cm="1">
        <f t="array" ref="I212">_xlfn.IFS(G212=$K$4,$L$4, G212=$K$5,$L$5, G212=$K$6,$L$6,G212=$K$7,$L$7, G212=$K$8,$L$8)</f>
        <v>900</v>
      </c>
      <c r="J212" s="80"/>
    </row>
    <row r="213" spans="1:10">
      <c r="A213" s="171" t="s">
        <v>1463</v>
      </c>
      <c r="B213" s="172" t="s">
        <v>105</v>
      </c>
      <c r="C213" s="171" t="s">
        <v>1434</v>
      </c>
      <c r="D213" s="173">
        <v>39855</v>
      </c>
      <c r="E213" s="174">
        <v>12</v>
      </c>
      <c r="F213" s="175">
        <v>91698</v>
      </c>
      <c r="G213" s="172">
        <v>1</v>
      </c>
      <c r="H213" s="176">
        <f t="shared" si="3"/>
        <v>0</v>
      </c>
      <c r="I213" s="80" cm="1">
        <f t="array" ref="I213">_xlfn.IFS(G213=$K$4,$L$4, G213=$K$5,$L$5, G213=$K$6,$L$6,G213=$K$7,$L$7, G213=$K$8,$L$8)</f>
        <v>0</v>
      </c>
      <c r="J213" s="80"/>
    </row>
    <row r="214" spans="1:10">
      <c r="A214" s="171" t="s">
        <v>1464</v>
      </c>
      <c r="B214" s="172" t="s">
        <v>105</v>
      </c>
      <c r="C214" s="171" t="s">
        <v>1434</v>
      </c>
      <c r="D214" s="173">
        <v>39876</v>
      </c>
      <c r="E214" s="174">
        <v>12</v>
      </c>
      <c r="F214" s="175">
        <v>75799</v>
      </c>
      <c r="G214" s="172">
        <v>5</v>
      </c>
      <c r="H214" s="176">
        <f t="shared" si="3"/>
        <v>3000</v>
      </c>
      <c r="I214" s="80" cm="1">
        <f t="array" ref="I214">_xlfn.IFS(G214=$K$4,$L$4, G214=$K$5,$L$5, G214=$K$6,$L$6,G214=$K$7,$L$7, G214=$K$8,$L$8)</f>
        <v>3000</v>
      </c>
      <c r="J214" s="80"/>
    </row>
    <row r="215" spans="1:10">
      <c r="A215" s="171" t="s">
        <v>1465</v>
      </c>
      <c r="B215" s="172" t="s">
        <v>1257</v>
      </c>
      <c r="C215" s="171" t="s">
        <v>1434</v>
      </c>
      <c r="D215" s="173">
        <v>39885</v>
      </c>
      <c r="E215" s="174">
        <v>12</v>
      </c>
      <c r="F215" s="175">
        <v>99925</v>
      </c>
      <c r="G215" s="172">
        <v>2</v>
      </c>
      <c r="H215" s="176">
        <f t="shared" si="3"/>
        <v>100</v>
      </c>
      <c r="I215" s="80" cm="1">
        <f t="array" ref="I215">_xlfn.IFS(G215=$K$4,$L$4, G215=$K$5,$L$5, G215=$K$6,$L$6,G215=$K$7,$L$7, G215=$K$8,$L$8)</f>
        <v>100</v>
      </c>
      <c r="J215" s="80"/>
    </row>
    <row r="216" spans="1:10">
      <c r="A216" s="171" t="s">
        <v>1466</v>
      </c>
      <c r="B216" s="172" t="s">
        <v>120</v>
      </c>
      <c r="C216" s="171" t="s">
        <v>1434</v>
      </c>
      <c r="D216" s="173">
        <v>37678</v>
      </c>
      <c r="E216" s="174">
        <v>18</v>
      </c>
      <c r="F216" s="175">
        <v>108582</v>
      </c>
      <c r="G216" s="172">
        <v>2</v>
      </c>
      <c r="H216" s="176">
        <f t="shared" si="3"/>
        <v>100</v>
      </c>
      <c r="I216" s="80" cm="1">
        <f t="array" ref="I216">_xlfn.IFS(G216=$K$4,$L$4, G216=$K$5,$L$5, G216=$K$6,$L$6,G216=$K$7,$L$7, G216=$K$8,$L$8)</f>
        <v>100</v>
      </c>
      <c r="J216" s="80"/>
    </row>
    <row r="217" spans="1:10">
      <c r="A217" s="171" t="s">
        <v>1467</v>
      </c>
      <c r="B217" s="172" t="s">
        <v>129</v>
      </c>
      <c r="C217" s="171" t="s">
        <v>1434</v>
      </c>
      <c r="D217" s="173">
        <v>37682</v>
      </c>
      <c r="E217" s="174">
        <v>18</v>
      </c>
      <c r="F217" s="175">
        <v>45498</v>
      </c>
      <c r="G217" s="172">
        <v>3</v>
      </c>
      <c r="H217" s="176">
        <f t="shared" si="3"/>
        <v>900</v>
      </c>
      <c r="I217" s="80" cm="1">
        <f t="array" ref="I217">_xlfn.IFS(G217=$K$4,$L$4, G217=$K$5,$L$5, G217=$K$6,$L$6,G217=$K$7,$L$7, G217=$K$8,$L$8)</f>
        <v>900</v>
      </c>
      <c r="J217" s="80"/>
    </row>
    <row r="218" spans="1:10">
      <c r="A218" s="171" t="s">
        <v>1468</v>
      </c>
      <c r="B218" s="172" t="s">
        <v>129</v>
      </c>
      <c r="C218" s="171" t="s">
        <v>1434</v>
      </c>
      <c r="D218" s="173">
        <v>38055</v>
      </c>
      <c r="E218" s="174">
        <v>17</v>
      </c>
      <c r="F218" s="175">
        <v>55683</v>
      </c>
      <c r="G218" s="172">
        <v>5</v>
      </c>
      <c r="H218" s="176">
        <f t="shared" si="3"/>
        <v>3000</v>
      </c>
      <c r="I218" s="80" cm="1">
        <f t="array" ref="I218">_xlfn.IFS(G218=$K$4,$L$4, G218=$K$5,$L$5, G218=$K$6,$L$6,G218=$K$7,$L$7, G218=$K$8,$L$8)</f>
        <v>3000</v>
      </c>
      <c r="J218" s="80"/>
    </row>
    <row r="219" spans="1:10">
      <c r="A219" s="171" t="s">
        <v>1469</v>
      </c>
      <c r="B219" s="172" t="s">
        <v>1254</v>
      </c>
      <c r="C219" s="171" t="s">
        <v>1434</v>
      </c>
      <c r="D219" s="173">
        <v>38404</v>
      </c>
      <c r="E219" s="174">
        <v>16</v>
      </c>
      <c r="F219" s="175">
        <v>63745</v>
      </c>
      <c r="G219" s="172">
        <v>2</v>
      </c>
      <c r="H219" s="176">
        <f t="shared" si="3"/>
        <v>100</v>
      </c>
      <c r="I219" s="80" cm="1">
        <f t="array" ref="I219">_xlfn.IFS(G219=$K$4,$L$4, G219=$K$5,$L$5, G219=$K$6,$L$6,G219=$K$7,$L$7, G219=$K$8,$L$8)</f>
        <v>100</v>
      </c>
      <c r="J219" s="80"/>
    </row>
    <row r="220" spans="1:10">
      <c r="A220" s="171" t="s">
        <v>1470</v>
      </c>
      <c r="B220" s="172" t="s">
        <v>1257</v>
      </c>
      <c r="C220" s="171" t="s">
        <v>1434</v>
      </c>
      <c r="D220" s="173">
        <v>38409</v>
      </c>
      <c r="E220" s="174">
        <v>16</v>
      </c>
      <c r="F220" s="175">
        <v>77739</v>
      </c>
      <c r="G220" s="172">
        <v>3</v>
      </c>
      <c r="H220" s="176">
        <f t="shared" si="3"/>
        <v>900</v>
      </c>
      <c r="I220" s="80" cm="1">
        <f t="array" ref="I220">_xlfn.IFS(G220=$K$4,$L$4, G220=$K$5,$L$5, G220=$K$6,$L$6,G220=$K$7,$L$7, G220=$K$8,$L$8)</f>
        <v>900</v>
      </c>
      <c r="J220" s="80"/>
    </row>
    <row r="221" spans="1:10">
      <c r="A221" s="171" t="s">
        <v>1471</v>
      </c>
      <c r="B221" s="172" t="s">
        <v>129</v>
      </c>
      <c r="C221" s="171" t="s">
        <v>1434</v>
      </c>
      <c r="D221" s="173">
        <v>39151</v>
      </c>
      <c r="E221" s="174">
        <v>14</v>
      </c>
      <c r="F221" s="175">
        <v>55397</v>
      </c>
      <c r="G221" s="172">
        <v>2</v>
      </c>
      <c r="H221" s="176">
        <f t="shared" si="3"/>
        <v>100</v>
      </c>
      <c r="I221" s="80" cm="1">
        <f t="array" ref="I221">_xlfn.IFS(G221=$K$4,$L$4, G221=$K$5,$L$5, G221=$K$6,$L$6,G221=$K$7,$L$7, G221=$K$8,$L$8)</f>
        <v>100</v>
      </c>
      <c r="J221" s="80"/>
    </row>
    <row r="222" spans="1:10">
      <c r="A222" s="171" t="s">
        <v>1472</v>
      </c>
      <c r="B222" s="172" t="s">
        <v>105</v>
      </c>
      <c r="C222" s="171" t="s">
        <v>1434</v>
      </c>
      <c r="D222" s="173">
        <v>40616</v>
      </c>
      <c r="E222" s="174">
        <v>10</v>
      </c>
      <c r="F222" s="175">
        <v>43656</v>
      </c>
      <c r="G222" s="172">
        <v>4</v>
      </c>
      <c r="H222" s="176">
        <f t="shared" si="3"/>
        <v>1500</v>
      </c>
      <c r="I222" s="80" cm="1">
        <f t="array" ref="I222">_xlfn.IFS(G222=$K$4,$L$4, G222=$K$5,$L$5, G222=$K$6,$L$6,G222=$K$7,$L$7, G222=$K$8,$L$8)</f>
        <v>1500</v>
      </c>
      <c r="J222" s="80"/>
    </row>
    <row r="223" spans="1:10">
      <c r="A223" s="171" t="s">
        <v>1473</v>
      </c>
      <c r="B223" s="172" t="s">
        <v>129</v>
      </c>
      <c r="C223" s="171" t="s">
        <v>1434</v>
      </c>
      <c r="D223" s="173">
        <v>41681</v>
      </c>
      <c r="E223" s="174">
        <v>7</v>
      </c>
      <c r="F223" s="175">
        <v>80066</v>
      </c>
      <c r="G223" s="172">
        <v>1</v>
      </c>
      <c r="H223" s="176">
        <f t="shared" si="3"/>
        <v>0</v>
      </c>
      <c r="I223" s="80" cm="1">
        <f t="array" ref="I223">_xlfn.IFS(G223=$K$4,$L$4, G223=$K$5,$L$5, G223=$K$6,$L$6,G223=$K$7,$L$7, G223=$K$8,$L$8)</f>
        <v>0</v>
      </c>
      <c r="J223" s="80"/>
    </row>
    <row r="224" spans="1:10">
      <c r="A224" s="171" t="s">
        <v>1474</v>
      </c>
      <c r="B224" s="172" t="s">
        <v>105</v>
      </c>
      <c r="C224" s="171" t="s">
        <v>1434</v>
      </c>
      <c r="D224" s="173">
        <v>42103</v>
      </c>
      <c r="E224" s="174">
        <v>6</v>
      </c>
      <c r="F224" s="175">
        <v>54894</v>
      </c>
      <c r="G224" s="172">
        <v>1</v>
      </c>
      <c r="H224" s="176">
        <f t="shared" si="3"/>
        <v>0</v>
      </c>
      <c r="I224" s="80" cm="1">
        <f t="array" ref="I224">_xlfn.IFS(G224=$K$4,$L$4, G224=$K$5,$L$5, G224=$K$6,$L$6,G224=$K$7,$L$7, G224=$K$8,$L$8)</f>
        <v>0</v>
      </c>
      <c r="J224" s="80"/>
    </row>
    <row r="225" spans="1:10">
      <c r="A225" s="171" t="s">
        <v>1475</v>
      </c>
      <c r="B225" s="172" t="s">
        <v>1257</v>
      </c>
      <c r="C225" s="171" t="s">
        <v>1434</v>
      </c>
      <c r="D225" s="173">
        <v>42104</v>
      </c>
      <c r="E225" s="174">
        <v>6</v>
      </c>
      <c r="F225" s="175">
        <v>80600</v>
      </c>
      <c r="G225" s="172">
        <v>5</v>
      </c>
      <c r="H225" s="176">
        <f t="shared" si="3"/>
        <v>3000</v>
      </c>
      <c r="I225" s="80" cm="1">
        <f t="array" ref="I225">_xlfn.IFS(G225=$K$4,$L$4, G225=$K$5,$L$5, G225=$K$6,$L$6,G225=$K$7,$L$7, G225=$K$8,$L$8)</f>
        <v>3000</v>
      </c>
      <c r="J225" s="80"/>
    </row>
    <row r="226" spans="1:10">
      <c r="A226" s="171" t="s">
        <v>1476</v>
      </c>
      <c r="B226" s="172" t="s">
        <v>120</v>
      </c>
      <c r="C226" s="171" t="s">
        <v>1434</v>
      </c>
      <c r="D226" s="173">
        <v>40259</v>
      </c>
      <c r="E226" s="174">
        <v>11</v>
      </c>
      <c r="F226" s="175">
        <v>108167</v>
      </c>
      <c r="G226" s="172">
        <v>4</v>
      </c>
      <c r="H226" s="176">
        <f t="shared" si="3"/>
        <v>1500</v>
      </c>
      <c r="I226" s="80" cm="1">
        <f t="array" ref="I226">_xlfn.IFS(G226=$K$4,$L$4, G226=$K$5,$L$5, G226=$K$6,$L$6,G226=$K$7,$L$7, G226=$K$8,$L$8)</f>
        <v>1500</v>
      </c>
      <c r="J226" s="80"/>
    </row>
    <row r="227" spans="1:10">
      <c r="A227" s="171" t="s">
        <v>1477</v>
      </c>
      <c r="B227" s="172" t="s">
        <v>1257</v>
      </c>
      <c r="C227" s="171" t="s">
        <v>1434</v>
      </c>
      <c r="D227" s="173">
        <v>40617</v>
      </c>
      <c r="E227" s="174">
        <v>10</v>
      </c>
      <c r="F227" s="175">
        <v>124571</v>
      </c>
      <c r="G227" s="172">
        <v>3</v>
      </c>
      <c r="H227" s="176">
        <f t="shared" si="3"/>
        <v>900</v>
      </c>
      <c r="I227" s="80" cm="1">
        <f t="array" ref="I227">_xlfn.IFS(G227=$K$4,$L$4, G227=$K$5,$L$5, G227=$K$6,$L$6,G227=$K$7,$L$7, G227=$K$8,$L$8)</f>
        <v>900</v>
      </c>
      <c r="J227" s="80"/>
    </row>
    <row r="228" spans="1:10">
      <c r="A228" s="171" t="s">
        <v>1478</v>
      </c>
      <c r="B228" s="172" t="s">
        <v>1257</v>
      </c>
      <c r="C228" s="171" t="s">
        <v>1434</v>
      </c>
      <c r="D228" s="173">
        <v>41347</v>
      </c>
      <c r="E228" s="174">
        <v>8</v>
      </c>
      <c r="F228" s="175">
        <v>60684</v>
      </c>
      <c r="G228" s="172">
        <v>3</v>
      </c>
      <c r="H228" s="176">
        <f t="shared" si="3"/>
        <v>900</v>
      </c>
      <c r="I228" s="80" cm="1">
        <f t="array" ref="I228">_xlfn.IFS(G228=$K$4,$L$4, G228=$K$5,$L$5, G228=$K$6,$L$6,G228=$K$7,$L$7, G228=$K$8,$L$8)</f>
        <v>900</v>
      </c>
      <c r="J228" s="80"/>
    </row>
    <row r="229" spans="1:10">
      <c r="A229" s="171" t="s">
        <v>1479</v>
      </c>
      <c r="B229" s="172" t="s">
        <v>129</v>
      </c>
      <c r="C229" s="171" t="s">
        <v>1434</v>
      </c>
      <c r="D229" s="173">
        <v>41376</v>
      </c>
      <c r="E229" s="174">
        <v>8</v>
      </c>
      <c r="F229" s="175">
        <v>89796</v>
      </c>
      <c r="G229" s="172">
        <v>3</v>
      </c>
      <c r="H229" s="176">
        <f t="shared" si="3"/>
        <v>900</v>
      </c>
      <c r="I229" s="80" cm="1">
        <f t="array" ref="I229">_xlfn.IFS(G229=$K$4,$L$4, G229=$K$5,$L$5, G229=$K$6,$L$6,G229=$K$7,$L$7, G229=$K$8,$L$8)</f>
        <v>900</v>
      </c>
      <c r="J229" s="80"/>
    </row>
    <row r="230" spans="1:10">
      <c r="A230" s="171" t="s">
        <v>1480</v>
      </c>
      <c r="B230" s="172" t="s">
        <v>129</v>
      </c>
      <c r="C230" s="171" t="s">
        <v>1434</v>
      </c>
      <c r="D230" s="173">
        <v>39891</v>
      </c>
      <c r="E230" s="174">
        <v>12</v>
      </c>
      <c r="F230" s="175">
        <v>101665</v>
      </c>
      <c r="G230" s="172">
        <v>2</v>
      </c>
      <c r="H230" s="176">
        <f t="shared" si="3"/>
        <v>100</v>
      </c>
      <c r="I230" s="80" cm="1">
        <f t="array" ref="I230">_xlfn.IFS(G230=$K$4,$L$4, G230=$K$5,$L$5, G230=$K$6,$L$6,G230=$K$7,$L$7, G230=$K$8,$L$8)</f>
        <v>100</v>
      </c>
      <c r="J230" s="80"/>
    </row>
    <row r="231" spans="1:10">
      <c r="A231" s="171" t="s">
        <v>1481</v>
      </c>
      <c r="B231" s="172" t="s">
        <v>120</v>
      </c>
      <c r="C231" s="171" t="s">
        <v>1434</v>
      </c>
      <c r="D231" s="173">
        <v>39894</v>
      </c>
      <c r="E231" s="174">
        <v>12</v>
      </c>
      <c r="F231" s="175">
        <v>103608</v>
      </c>
      <c r="G231" s="172">
        <v>1</v>
      </c>
      <c r="H231" s="176">
        <f t="shared" si="3"/>
        <v>0</v>
      </c>
      <c r="I231" s="80" cm="1">
        <f t="array" ref="I231">_xlfn.IFS(G231=$K$4,$L$4, G231=$K$5,$L$5, G231=$K$6,$L$6,G231=$K$7,$L$7, G231=$K$8,$L$8)</f>
        <v>0</v>
      </c>
      <c r="J231" s="80"/>
    </row>
    <row r="232" spans="1:10">
      <c r="A232" s="171" t="s">
        <v>1482</v>
      </c>
      <c r="B232" s="172" t="s">
        <v>1257</v>
      </c>
      <c r="C232" s="171" t="s">
        <v>1434</v>
      </c>
      <c r="D232" s="173">
        <v>37347</v>
      </c>
      <c r="E232" s="174">
        <v>19</v>
      </c>
      <c r="F232" s="175">
        <v>95553</v>
      </c>
      <c r="G232" s="172">
        <v>1</v>
      </c>
      <c r="H232" s="176">
        <f t="shared" si="3"/>
        <v>0</v>
      </c>
      <c r="I232" s="80" cm="1">
        <f t="array" ref="I232">_xlfn.IFS(G232=$K$4,$L$4, G232=$K$5,$L$5, G232=$K$6,$L$6,G232=$K$7,$L$7, G232=$K$8,$L$8)</f>
        <v>0</v>
      </c>
      <c r="J232" s="80"/>
    </row>
    <row r="233" spans="1:10">
      <c r="A233" s="171" t="s">
        <v>1483</v>
      </c>
      <c r="B233" s="172" t="s">
        <v>1257</v>
      </c>
      <c r="C233" s="171" t="s">
        <v>1434</v>
      </c>
      <c r="D233" s="173">
        <v>37351</v>
      </c>
      <c r="E233" s="174">
        <v>19</v>
      </c>
      <c r="F233" s="175">
        <v>60725</v>
      </c>
      <c r="G233" s="172">
        <v>4</v>
      </c>
      <c r="H233" s="176">
        <f t="shared" si="3"/>
        <v>1500</v>
      </c>
      <c r="I233" s="80" cm="1">
        <f t="array" ref="I233">_xlfn.IFS(G233=$K$4,$L$4, G233=$K$5,$L$5, G233=$K$6,$L$6,G233=$K$7,$L$7, G233=$K$8,$L$8)</f>
        <v>1500</v>
      </c>
      <c r="J233" s="80"/>
    </row>
    <row r="234" spans="1:10">
      <c r="A234" s="171" t="s">
        <v>1484</v>
      </c>
      <c r="B234" s="172" t="s">
        <v>1257</v>
      </c>
      <c r="C234" s="171" t="s">
        <v>1434</v>
      </c>
      <c r="D234" s="173">
        <v>37715</v>
      </c>
      <c r="E234" s="174">
        <v>18</v>
      </c>
      <c r="F234" s="175">
        <v>95190</v>
      </c>
      <c r="G234" s="172">
        <v>3</v>
      </c>
      <c r="H234" s="176">
        <f t="shared" si="3"/>
        <v>900</v>
      </c>
      <c r="I234" s="80" cm="1">
        <f t="array" ref="I234">_xlfn.IFS(G234=$K$4,$L$4, G234=$K$5,$L$5, G234=$K$6,$L$6,G234=$K$7,$L$7, G234=$K$8,$L$8)</f>
        <v>900</v>
      </c>
      <c r="J234" s="80"/>
    </row>
    <row r="235" spans="1:10">
      <c r="A235" s="171" t="s">
        <v>1485</v>
      </c>
      <c r="B235" s="172" t="s">
        <v>129</v>
      </c>
      <c r="C235" s="171" t="s">
        <v>1434</v>
      </c>
      <c r="D235" s="173">
        <v>38808</v>
      </c>
      <c r="E235" s="174">
        <v>15</v>
      </c>
      <c r="F235" s="175">
        <v>120516</v>
      </c>
      <c r="G235" s="172">
        <v>1</v>
      </c>
      <c r="H235" s="176">
        <f t="shared" si="3"/>
        <v>0</v>
      </c>
      <c r="I235" s="80" cm="1">
        <f t="array" ref="I235">_xlfn.IFS(G235=$K$4,$L$4, G235=$K$5,$L$5, G235=$K$6,$L$6,G235=$K$7,$L$7, G235=$K$8,$L$8)</f>
        <v>0</v>
      </c>
      <c r="J235" s="80"/>
    </row>
    <row r="236" spans="1:10">
      <c r="A236" s="171" t="s">
        <v>1486</v>
      </c>
      <c r="B236" s="172" t="s">
        <v>105</v>
      </c>
      <c r="C236" s="171" t="s">
        <v>1434</v>
      </c>
      <c r="D236" s="173">
        <v>39887</v>
      </c>
      <c r="E236" s="174">
        <v>12</v>
      </c>
      <c r="F236" s="175">
        <v>82468</v>
      </c>
      <c r="G236" s="172">
        <v>1</v>
      </c>
      <c r="H236" s="176">
        <f t="shared" si="3"/>
        <v>0</v>
      </c>
      <c r="I236" s="80" cm="1">
        <f t="array" ref="I236">_xlfn.IFS(G236=$K$4,$L$4, G236=$K$5,$L$5, G236=$K$6,$L$6,G236=$K$7,$L$7, G236=$K$8,$L$8)</f>
        <v>0</v>
      </c>
      <c r="J236" s="80"/>
    </row>
    <row r="237" spans="1:10">
      <c r="A237" s="171" t="s">
        <v>1487</v>
      </c>
      <c r="B237" s="172" t="s">
        <v>129</v>
      </c>
      <c r="C237" s="171" t="s">
        <v>1434</v>
      </c>
      <c r="D237" s="173">
        <v>39899</v>
      </c>
      <c r="E237" s="174">
        <v>12</v>
      </c>
      <c r="F237" s="175">
        <v>47066</v>
      </c>
      <c r="G237" s="172">
        <v>1</v>
      </c>
      <c r="H237" s="176">
        <f t="shared" si="3"/>
        <v>0</v>
      </c>
      <c r="I237" s="80" cm="1">
        <f t="array" ref="I237">_xlfn.IFS(G237=$K$4,$L$4, G237=$K$5,$L$5, G237=$K$6,$L$6,G237=$K$7,$L$7, G237=$K$8,$L$8)</f>
        <v>0</v>
      </c>
      <c r="J237" s="80"/>
    </row>
    <row r="238" spans="1:10">
      <c r="A238" s="171" t="s">
        <v>1488</v>
      </c>
      <c r="B238" s="172" t="s">
        <v>129</v>
      </c>
      <c r="C238" s="171" t="s">
        <v>1434</v>
      </c>
      <c r="D238" s="173">
        <v>39910</v>
      </c>
      <c r="E238" s="174">
        <v>12</v>
      </c>
      <c r="F238" s="175">
        <v>75425</v>
      </c>
      <c r="G238" s="172">
        <v>5</v>
      </c>
      <c r="H238" s="176">
        <f t="shared" si="3"/>
        <v>3000</v>
      </c>
      <c r="I238" s="80" cm="1">
        <f t="array" ref="I238">_xlfn.IFS(G238=$K$4,$L$4, G238=$K$5,$L$5, G238=$K$6,$L$6,G238=$K$7,$L$7, G238=$K$8,$L$8)</f>
        <v>3000</v>
      </c>
      <c r="J238" s="80"/>
    </row>
    <row r="239" spans="1:10">
      <c r="A239" s="171" t="s">
        <v>1489</v>
      </c>
      <c r="B239" s="172" t="s">
        <v>129</v>
      </c>
      <c r="C239" s="171" t="s">
        <v>1434</v>
      </c>
      <c r="D239" s="173">
        <v>40267</v>
      </c>
      <c r="E239" s="174">
        <v>11</v>
      </c>
      <c r="F239" s="175">
        <v>62646</v>
      </c>
      <c r="G239" s="172">
        <v>2</v>
      </c>
      <c r="H239" s="176">
        <f t="shared" si="3"/>
        <v>100</v>
      </c>
      <c r="I239" s="80" cm="1">
        <f t="array" ref="I239">_xlfn.IFS(G239=$K$4,$L$4, G239=$K$5,$L$5, G239=$K$6,$L$6,G239=$K$7,$L$7, G239=$K$8,$L$8)</f>
        <v>100</v>
      </c>
      <c r="J239" s="80"/>
    </row>
    <row r="240" spans="1:10">
      <c r="A240" s="171" t="s">
        <v>1490</v>
      </c>
      <c r="B240" s="172" t="s">
        <v>1257</v>
      </c>
      <c r="C240" s="171" t="s">
        <v>1434</v>
      </c>
      <c r="D240" s="173">
        <v>40623</v>
      </c>
      <c r="E240" s="174">
        <v>10</v>
      </c>
      <c r="F240" s="175">
        <v>102244</v>
      </c>
      <c r="G240" s="172">
        <v>2</v>
      </c>
      <c r="H240" s="176">
        <f t="shared" si="3"/>
        <v>100</v>
      </c>
      <c r="I240" s="80" cm="1">
        <f t="array" ref="I240">_xlfn.IFS(G240=$K$4,$L$4, G240=$K$5,$L$5, G240=$K$6,$L$6,G240=$K$7,$L$7, G240=$K$8,$L$8)</f>
        <v>100</v>
      </c>
      <c r="J240" s="80"/>
    </row>
    <row r="241" spans="1:10">
      <c r="A241" s="171" t="s">
        <v>1491</v>
      </c>
      <c r="B241" s="172" t="s">
        <v>1257</v>
      </c>
      <c r="C241" s="171" t="s">
        <v>1434</v>
      </c>
      <c r="D241" s="173">
        <v>41348</v>
      </c>
      <c r="E241" s="174">
        <v>8</v>
      </c>
      <c r="F241" s="175">
        <v>124999</v>
      </c>
      <c r="G241" s="172">
        <v>5</v>
      </c>
      <c r="H241" s="176">
        <f t="shared" si="3"/>
        <v>3000</v>
      </c>
      <c r="I241" s="80" cm="1">
        <f t="array" ref="I241">_xlfn.IFS(G241=$K$4,$L$4, G241=$K$5,$L$5, G241=$K$6,$L$6,G241=$K$7,$L$7, G241=$K$8,$L$8)</f>
        <v>3000</v>
      </c>
      <c r="J241" s="80"/>
    </row>
    <row r="242" spans="1:10">
      <c r="A242" s="171" t="s">
        <v>1492</v>
      </c>
      <c r="B242" s="172" t="s">
        <v>1257</v>
      </c>
      <c r="C242" s="171" t="s">
        <v>1434</v>
      </c>
      <c r="D242" s="173">
        <v>41712</v>
      </c>
      <c r="E242" s="174">
        <v>7</v>
      </c>
      <c r="F242" s="175">
        <v>114912</v>
      </c>
      <c r="G242" s="172">
        <v>3</v>
      </c>
      <c r="H242" s="176">
        <f t="shared" si="3"/>
        <v>900</v>
      </c>
      <c r="I242" s="80" cm="1">
        <f t="array" ref="I242">_xlfn.IFS(G242=$K$4,$L$4, G242=$K$5,$L$5, G242=$K$6,$L$6,G242=$K$7,$L$7, G242=$K$8,$L$8)</f>
        <v>900</v>
      </c>
      <c r="J242" s="80"/>
    </row>
    <row r="243" spans="1:10">
      <c r="A243" s="171" t="s">
        <v>1493</v>
      </c>
      <c r="B243" s="172" t="s">
        <v>120</v>
      </c>
      <c r="C243" s="171" t="s">
        <v>1434</v>
      </c>
      <c r="D243" s="173">
        <v>42134</v>
      </c>
      <c r="E243" s="174">
        <v>6</v>
      </c>
      <c r="F243" s="175">
        <v>51756</v>
      </c>
      <c r="G243" s="172">
        <v>4</v>
      </c>
      <c r="H243" s="176">
        <f t="shared" si="3"/>
        <v>1500</v>
      </c>
      <c r="I243" s="80" cm="1">
        <f t="array" ref="I243">_xlfn.IFS(G243=$K$4,$L$4, G243=$K$5,$L$5, G243=$K$6,$L$6,G243=$K$7,$L$7, G243=$K$8,$L$8)</f>
        <v>1500</v>
      </c>
      <c r="J243" s="80"/>
    </row>
    <row r="244" spans="1:10">
      <c r="A244" s="171" t="s">
        <v>1494</v>
      </c>
      <c r="B244" s="172" t="s">
        <v>1254</v>
      </c>
      <c r="C244" s="171" t="s">
        <v>1434</v>
      </c>
      <c r="D244" s="173">
        <v>40675</v>
      </c>
      <c r="E244" s="174">
        <v>10</v>
      </c>
      <c r="F244" s="175">
        <v>85667</v>
      </c>
      <c r="G244" s="172">
        <v>4</v>
      </c>
      <c r="H244" s="176">
        <f t="shared" si="3"/>
        <v>1500</v>
      </c>
      <c r="I244" s="80" cm="1">
        <f t="array" ref="I244">_xlfn.IFS(G244=$K$4,$L$4, G244=$K$5,$L$5, G244=$K$6,$L$6,G244=$K$7,$L$7, G244=$K$8,$L$8)</f>
        <v>1500</v>
      </c>
      <c r="J244" s="80"/>
    </row>
    <row r="245" spans="1:10">
      <c r="A245" s="171" t="s">
        <v>1495</v>
      </c>
      <c r="B245" s="172" t="s">
        <v>1257</v>
      </c>
      <c r="C245" s="171" t="s">
        <v>1434</v>
      </c>
      <c r="D245" s="173">
        <v>41379</v>
      </c>
      <c r="E245" s="174">
        <v>8</v>
      </c>
      <c r="F245" s="175">
        <v>76361</v>
      </c>
      <c r="G245" s="172">
        <v>2</v>
      </c>
      <c r="H245" s="176">
        <f t="shared" si="3"/>
        <v>100</v>
      </c>
      <c r="I245" s="80" cm="1">
        <f t="array" ref="I245">_xlfn.IFS(G245=$K$4,$L$4, G245=$K$5,$L$5, G245=$K$6,$L$6,G245=$K$7,$L$7, G245=$K$8,$L$8)</f>
        <v>100</v>
      </c>
      <c r="J245" s="80"/>
    </row>
    <row r="246" spans="1:10">
      <c r="A246" s="171" t="s">
        <v>1496</v>
      </c>
      <c r="B246" s="172" t="s">
        <v>129</v>
      </c>
      <c r="C246" s="171" t="s">
        <v>1434</v>
      </c>
      <c r="D246" s="173">
        <v>41380</v>
      </c>
      <c r="E246" s="174">
        <v>8</v>
      </c>
      <c r="F246" s="175">
        <v>42913</v>
      </c>
      <c r="G246" s="172">
        <v>5</v>
      </c>
      <c r="H246" s="176">
        <f t="shared" si="3"/>
        <v>3000</v>
      </c>
      <c r="I246" s="80" cm="1">
        <f t="array" ref="I246">_xlfn.IFS(G246=$K$4,$L$4, G246=$K$5,$L$5, G246=$K$6,$L$6,G246=$K$7,$L$7, G246=$K$8,$L$8)</f>
        <v>3000</v>
      </c>
      <c r="J246" s="80"/>
    </row>
    <row r="247" spans="1:10">
      <c r="A247" s="171" t="s">
        <v>1497</v>
      </c>
      <c r="B247" s="172" t="s">
        <v>129</v>
      </c>
      <c r="C247" s="171" t="s">
        <v>1434</v>
      </c>
      <c r="D247" s="173">
        <v>41390</v>
      </c>
      <c r="E247" s="174">
        <v>8</v>
      </c>
      <c r="F247" s="175">
        <v>99718</v>
      </c>
      <c r="G247" s="172">
        <v>3</v>
      </c>
      <c r="H247" s="176">
        <f t="shared" si="3"/>
        <v>900</v>
      </c>
      <c r="I247" s="80" cm="1">
        <f t="array" ref="I247">_xlfn.IFS(G247=$K$4,$L$4, G247=$K$5,$L$5, G247=$K$6,$L$6,G247=$K$7,$L$7, G247=$K$8,$L$8)</f>
        <v>900</v>
      </c>
      <c r="J247" s="80"/>
    </row>
    <row r="248" spans="1:10">
      <c r="A248" s="171" t="s">
        <v>1498</v>
      </c>
      <c r="B248" s="172" t="s">
        <v>1254</v>
      </c>
      <c r="C248" s="171" t="s">
        <v>1434</v>
      </c>
      <c r="D248" s="173">
        <v>37005</v>
      </c>
      <c r="E248" s="174">
        <v>20</v>
      </c>
      <c r="F248" s="175">
        <v>62074</v>
      </c>
      <c r="G248" s="172">
        <v>1</v>
      </c>
      <c r="H248" s="176">
        <f t="shared" si="3"/>
        <v>0</v>
      </c>
      <c r="I248" s="80" cm="1">
        <f t="array" ref="I248">_xlfn.IFS(G248=$K$4,$L$4, G248=$K$5,$L$5, G248=$K$6,$L$6,G248=$K$7,$L$7, G248=$K$8,$L$8)</f>
        <v>0</v>
      </c>
      <c r="J248" s="80"/>
    </row>
    <row r="249" spans="1:10">
      <c r="A249" s="171" t="s">
        <v>1499</v>
      </c>
      <c r="B249" s="172" t="s">
        <v>129</v>
      </c>
      <c r="C249" s="171" t="s">
        <v>1434</v>
      </c>
      <c r="D249" s="173">
        <v>37010</v>
      </c>
      <c r="E249" s="174">
        <v>20</v>
      </c>
      <c r="F249" s="175">
        <v>97294</v>
      </c>
      <c r="G249" s="172">
        <v>5</v>
      </c>
      <c r="H249" s="176">
        <f t="shared" si="3"/>
        <v>3000</v>
      </c>
      <c r="I249" s="80" cm="1">
        <f t="array" ref="I249">_xlfn.IFS(G249=$K$4,$L$4, G249=$K$5,$L$5, G249=$K$6,$L$6,G249=$K$7,$L$7, G249=$K$8,$L$8)</f>
        <v>3000</v>
      </c>
      <c r="J249" s="80"/>
    </row>
    <row r="250" spans="1:10">
      <c r="A250" s="171" t="s">
        <v>1500</v>
      </c>
      <c r="B250" s="172" t="s">
        <v>105</v>
      </c>
      <c r="C250" s="171" t="s">
        <v>1434</v>
      </c>
      <c r="D250" s="173">
        <v>37016</v>
      </c>
      <c r="E250" s="174">
        <v>20</v>
      </c>
      <c r="F250" s="175">
        <v>91384</v>
      </c>
      <c r="G250" s="172">
        <v>5</v>
      </c>
      <c r="H250" s="176">
        <f t="shared" si="3"/>
        <v>3000</v>
      </c>
      <c r="I250" s="80" cm="1">
        <f t="array" ref="I250">_xlfn.IFS(G250=$K$4,$L$4, G250=$K$5,$L$5, G250=$K$6,$L$6,G250=$K$7,$L$7, G250=$K$8,$L$8)</f>
        <v>3000</v>
      </c>
      <c r="J250" s="80"/>
    </row>
    <row r="251" spans="1:10">
      <c r="A251" s="171" t="s">
        <v>1501</v>
      </c>
      <c r="B251" s="172" t="s">
        <v>120</v>
      </c>
      <c r="C251" s="171" t="s">
        <v>1434</v>
      </c>
      <c r="D251" s="173">
        <v>37361</v>
      </c>
      <c r="E251" s="174">
        <v>19</v>
      </c>
      <c r="F251" s="175">
        <v>121377</v>
      </c>
      <c r="G251" s="172">
        <v>5</v>
      </c>
      <c r="H251" s="176">
        <f t="shared" si="3"/>
        <v>3000</v>
      </c>
      <c r="I251" s="80" cm="1">
        <f t="array" ref="I251">_xlfn.IFS(G251=$K$4,$L$4, G251=$K$5,$L$5, G251=$K$6,$L$6,G251=$K$7,$L$7, G251=$K$8,$L$8)</f>
        <v>3000</v>
      </c>
      <c r="J251" s="80"/>
    </row>
    <row r="252" spans="1:10">
      <c r="A252" s="171" t="s">
        <v>1502</v>
      </c>
      <c r="B252" s="172" t="s">
        <v>1257</v>
      </c>
      <c r="C252" s="171" t="s">
        <v>1434</v>
      </c>
      <c r="D252" s="173">
        <v>37383</v>
      </c>
      <c r="E252" s="174">
        <v>19</v>
      </c>
      <c r="F252" s="175">
        <v>117432</v>
      </c>
      <c r="G252" s="172">
        <v>4</v>
      </c>
      <c r="H252" s="176">
        <f t="shared" si="3"/>
        <v>1500</v>
      </c>
      <c r="I252" s="80" cm="1">
        <f t="array" ref="I252">_xlfn.IFS(G252=$K$4,$L$4, G252=$K$5,$L$5, G252=$K$6,$L$6,G252=$K$7,$L$7, G252=$K$8,$L$8)</f>
        <v>1500</v>
      </c>
      <c r="J252" s="80"/>
    </row>
    <row r="253" spans="1:10">
      <c r="A253" s="171" t="s">
        <v>1503</v>
      </c>
      <c r="B253" s="172" t="s">
        <v>129</v>
      </c>
      <c r="C253" s="171" t="s">
        <v>1434</v>
      </c>
      <c r="D253" s="173">
        <v>38472</v>
      </c>
      <c r="E253" s="174">
        <v>16</v>
      </c>
      <c r="F253" s="175">
        <v>104621</v>
      </c>
      <c r="G253" s="172">
        <v>3</v>
      </c>
      <c r="H253" s="176">
        <f t="shared" si="3"/>
        <v>900</v>
      </c>
      <c r="I253" s="80" cm="1">
        <f t="array" ref="I253">_xlfn.IFS(G253=$K$4,$L$4, G253=$K$5,$L$5, G253=$K$6,$L$6,G253=$K$7,$L$7, G253=$K$8,$L$8)</f>
        <v>900</v>
      </c>
      <c r="J253" s="80"/>
    </row>
    <row r="254" spans="1:10">
      <c r="A254" s="171" t="s">
        <v>1504</v>
      </c>
      <c r="B254" s="172" t="s">
        <v>1257</v>
      </c>
      <c r="C254" s="171" t="s">
        <v>1434</v>
      </c>
      <c r="D254" s="173">
        <v>41758</v>
      </c>
      <c r="E254" s="174">
        <v>7</v>
      </c>
      <c r="F254" s="175">
        <v>85202</v>
      </c>
      <c r="G254" s="172">
        <v>3</v>
      </c>
      <c r="H254" s="176">
        <f t="shared" si="3"/>
        <v>900</v>
      </c>
      <c r="I254" s="80" cm="1">
        <f t="array" ref="I254">_xlfn.IFS(G254=$K$4,$L$4, G254=$K$5,$L$5, G254=$K$6,$L$6,G254=$K$7,$L$7, G254=$K$8,$L$8)</f>
        <v>900</v>
      </c>
      <c r="J254" s="80"/>
    </row>
    <row r="255" spans="1:10">
      <c r="A255" s="171" t="s">
        <v>1505</v>
      </c>
      <c r="B255" s="172" t="s">
        <v>129</v>
      </c>
      <c r="C255" s="171" t="s">
        <v>1434</v>
      </c>
      <c r="D255" s="173">
        <v>42157</v>
      </c>
      <c r="E255" s="174">
        <v>6</v>
      </c>
      <c r="F255" s="175">
        <v>42102</v>
      </c>
      <c r="G255" s="172">
        <v>3</v>
      </c>
      <c r="H255" s="176">
        <f t="shared" si="3"/>
        <v>900</v>
      </c>
      <c r="I255" s="80" cm="1">
        <f t="array" ref="I255">_xlfn.IFS(G255=$K$4,$L$4, G255=$K$5,$L$5, G255=$K$6,$L$6,G255=$K$7,$L$7, G255=$K$8,$L$8)</f>
        <v>900</v>
      </c>
      <c r="J255" s="80"/>
    </row>
    <row r="256" spans="1:10">
      <c r="A256" s="171" t="s">
        <v>1506</v>
      </c>
      <c r="B256" s="172" t="s">
        <v>1257</v>
      </c>
      <c r="C256" s="171" t="s">
        <v>1434</v>
      </c>
      <c r="D256" s="173">
        <v>40340</v>
      </c>
      <c r="E256" s="174">
        <v>11</v>
      </c>
      <c r="F256" s="175">
        <v>66624</v>
      </c>
      <c r="G256" s="172">
        <v>5</v>
      </c>
      <c r="H256" s="176">
        <f t="shared" si="3"/>
        <v>3000</v>
      </c>
      <c r="I256" s="80" cm="1">
        <f t="array" ref="I256">_xlfn.IFS(G256=$K$4,$L$4, G256=$K$5,$L$5, G256=$K$6,$L$6,G256=$K$7,$L$7, G256=$K$8,$L$8)</f>
        <v>3000</v>
      </c>
      <c r="J256" s="80"/>
    </row>
    <row r="257" spans="1:10">
      <c r="A257" s="171" t="s">
        <v>1507</v>
      </c>
      <c r="B257" s="172" t="s">
        <v>1257</v>
      </c>
      <c r="C257" s="171" t="s">
        <v>1434</v>
      </c>
      <c r="D257" s="173">
        <v>39954</v>
      </c>
      <c r="E257" s="174">
        <v>12</v>
      </c>
      <c r="F257" s="175">
        <v>64887</v>
      </c>
      <c r="G257" s="172">
        <v>1</v>
      </c>
      <c r="H257" s="176">
        <f t="shared" si="3"/>
        <v>0</v>
      </c>
      <c r="I257" s="80" cm="1">
        <f t="array" ref="I257">_xlfn.IFS(G257=$K$4,$L$4, G257=$K$5,$L$5, G257=$K$6,$L$6,G257=$K$7,$L$7, G257=$K$8,$L$8)</f>
        <v>0</v>
      </c>
      <c r="J257" s="80"/>
    </row>
    <row r="258" spans="1:10">
      <c r="A258" s="171" t="s">
        <v>1508</v>
      </c>
      <c r="B258" s="172" t="s">
        <v>1254</v>
      </c>
      <c r="C258" s="171" t="s">
        <v>1434</v>
      </c>
      <c r="D258" s="173">
        <v>39956</v>
      </c>
      <c r="E258" s="174">
        <v>12</v>
      </c>
      <c r="F258" s="175">
        <v>44751</v>
      </c>
      <c r="G258" s="172">
        <v>2</v>
      </c>
      <c r="H258" s="176">
        <f t="shared" si="3"/>
        <v>100</v>
      </c>
      <c r="I258" s="80" cm="1">
        <f t="array" ref="I258">_xlfn.IFS(G258=$K$4,$L$4, G258=$K$5,$L$5, G258=$K$6,$L$6,G258=$K$7,$L$7, G258=$K$8,$L$8)</f>
        <v>100</v>
      </c>
      <c r="J258" s="80"/>
    </row>
    <row r="259" spans="1:10">
      <c r="A259" s="171" t="s">
        <v>1509</v>
      </c>
      <c r="B259" s="172" t="s">
        <v>129</v>
      </c>
      <c r="C259" s="171" t="s">
        <v>1434</v>
      </c>
      <c r="D259" s="173">
        <v>37050</v>
      </c>
      <c r="E259" s="174">
        <v>20</v>
      </c>
      <c r="F259" s="175">
        <v>42470</v>
      </c>
      <c r="G259" s="172">
        <v>5</v>
      </c>
      <c r="H259" s="176">
        <f t="shared" ref="H259:H322" si="4">IF(G259=$K$4,$L$4,IF(G259=$K$5,$L$5,IF(G259=$K$6,$L$6,IF(G259=$K$7,$L$7,IF(G259=$K$8,$L$8)))))</f>
        <v>3000</v>
      </c>
      <c r="I259" s="80" cm="1">
        <f t="array" ref="I259">_xlfn.IFS(G259=$K$4,$L$4, G259=$K$5,$L$5, G259=$K$6,$L$6,G259=$K$7,$L$7, G259=$K$8,$L$8)</f>
        <v>3000</v>
      </c>
      <c r="J259" s="80"/>
    </row>
    <row r="260" spans="1:10">
      <c r="A260" s="171" t="s">
        <v>1510</v>
      </c>
      <c r="B260" s="172" t="s">
        <v>129</v>
      </c>
      <c r="C260" s="171" t="s">
        <v>1434</v>
      </c>
      <c r="D260" s="173">
        <v>37396</v>
      </c>
      <c r="E260" s="174">
        <v>19</v>
      </c>
      <c r="F260" s="175">
        <v>90126</v>
      </c>
      <c r="G260" s="172">
        <v>1</v>
      </c>
      <c r="H260" s="176">
        <f t="shared" si="4"/>
        <v>0</v>
      </c>
      <c r="I260" s="80" cm="1">
        <f t="array" ref="I260">_xlfn.IFS(G260=$K$4,$L$4, G260=$K$5,$L$5, G260=$K$6,$L$6,G260=$K$7,$L$7, G260=$K$8,$L$8)</f>
        <v>0</v>
      </c>
      <c r="J260" s="80"/>
    </row>
    <row r="261" spans="1:10">
      <c r="A261" s="171" t="s">
        <v>1511</v>
      </c>
      <c r="B261" s="172" t="s">
        <v>129</v>
      </c>
      <c r="C261" s="171" t="s">
        <v>1434</v>
      </c>
      <c r="D261" s="173">
        <v>37410</v>
      </c>
      <c r="E261" s="174">
        <v>19</v>
      </c>
      <c r="F261" s="175">
        <v>47765</v>
      </c>
      <c r="G261" s="172">
        <v>2</v>
      </c>
      <c r="H261" s="176">
        <f t="shared" si="4"/>
        <v>100</v>
      </c>
      <c r="I261" s="80" cm="1">
        <f t="array" ref="I261">_xlfn.IFS(G261=$K$4,$L$4, G261=$K$5,$L$5, G261=$K$6,$L$6,G261=$K$7,$L$7, G261=$K$8,$L$8)</f>
        <v>100</v>
      </c>
      <c r="J261" s="80"/>
    </row>
    <row r="262" spans="1:10">
      <c r="A262" s="171" t="s">
        <v>1512</v>
      </c>
      <c r="B262" s="172" t="s">
        <v>105</v>
      </c>
      <c r="C262" s="171" t="s">
        <v>1434</v>
      </c>
      <c r="D262" s="173">
        <v>37776</v>
      </c>
      <c r="E262" s="174">
        <v>18</v>
      </c>
      <c r="F262" s="175">
        <v>65500</v>
      </c>
      <c r="G262" s="172">
        <v>1</v>
      </c>
      <c r="H262" s="176">
        <f t="shared" si="4"/>
        <v>0</v>
      </c>
      <c r="I262" s="80" cm="1">
        <f t="array" ref="I262">_xlfn.IFS(G262=$K$4,$L$4, G262=$K$5,$L$5, G262=$K$6,$L$6,G262=$K$7,$L$7, G262=$K$8,$L$8)</f>
        <v>0</v>
      </c>
      <c r="J262" s="80"/>
    </row>
    <row r="263" spans="1:10">
      <c r="A263" s="171" t="s">
        <v>1513</v>
      </c>
      <c r="B263" s="172" t="s">
        <v>120</v>
      </c>
      <c r="C263" s="171" t="s">
        <v>1434</v>
      </c>
      <c r="D263" s="173">
        <v>37782</v>
      </c>
      <c r="E263" s="174">
        <v>18</v>
      </c>
      <c r="F263" s="175">
        <v>42664</v>
      </c>
      <c r="G263" s="172">
        <v>3</v>
      </c>
      <c r="H263" s="176">
        <f t="shared" si="4"/>
        <v>900</v>
      </c>
      <c r="I263" s="80" cm="1">
        <f t="array" ref="I263">_xlfn.IFS(G263=$K$4,$L$4, G263=$K$5,$L$5, G263=$K$6,$L$6,G263=$K$7,$L$7, G263=$K$8,$L$8)</f>
        <v>900</v>
      </c>
      <c r="J263" s="80"/>
    </row>
    <row r="264" spans="1:10">
      <c r="A264" s="171" t="s">
        <v>1514</v>
      </c>
      <c r="B264" s="172" t="s">
        <v>129</v>
      </c>
      <c r="C264" s="171" t="s">
        <v>1434</v>
      </c>
      <c r="D264" s="173">
        <v>37785</v>
      </c>
      <c r="E264" s="174">
        <v>18</v>
      </c>
      <c r="F264" s="175">
        <v>97758</v>
      </c>
      <c r="G264" s="172">
        <v>2</v>
      </c>
      <c r="H264" s="176">
        <f t="shared" si="4"/>
        <v>100</v>
      </c>
      <c r="I264" s="80" cm="1">
        <f t="array" ref="I264">_xlfn.IFS(G264=$K$4,$L$4, G264=$K$5,$L$5, G264=$K$6,$L$6,G264=$K$7,$L$7, G264=$K$8,$L$8)</f>
        <v>100</v>
      </c>
      <c r="J264" s="80"/>
    </row>
    <row r="265" spans="1:10">
      <c r="A265" s="171" t="s">
        <v>1515</v>
      </c>
      <c r="B265" s="172" t="s">
        <v>129</v>
      </c>
      <c r="C265" s="171" t="s">
        <v>1434</v>
      </c>
      <c r="D265" s="173">
        <v>38146</v>
      </c>
      <c r="E265" s="174">
        <v>17</v>
      </c>
      <c r="F265" s="175">
        <v>88858</v>
      </c>
      <c r="G265" s="172">
        <v>5</v>
      </c>
      <c r="H265" s="176">
        <f t="shared" si="4"/>
        <v>3000</v>
      </c>
      <c r="I265" s="80" cm="1">
        <f t="array" ref="I265">_xlfn.IFS(G265=$K$4,$L$4, G265=$K$5,$L$5, G265=$K$6,$L$6,G265=$K$7,$L$7, G265=$K$8,$L$8)</f>
        <v>3000</v>
      </c>
      <c r="J265" s="80"/>
    </row>
    <row r="266" spans="1:10">
      <c r="A266" s="171" t="s">
        <v>1516</v>
      </c>
      <c r="B266" s="172" t="s">
        <v>1257</v>
      </c>
      <c r="C266" s="171" t="s">
        <v>1434</v>
      </c>
      <c r="D266" s="173">
        <v>38514</v>
      </c>
      <c r="E266" s="174">
        <v>16</v>
      </c>
      <c r="F266" s="175">
        <v>92324</v>
      </c>
      <c r="G266" s="172">
        <v>1</v>
      </c>
      <c r="H266" s="176">
        <f t="shared" si="4"/>
        <v>0</v>
      </c>
      <c r="I266" s="80" cm="1">
        <f t="array" ref="I266">_xlfn.IFS(G266=$K$4,$L$4, G266=$K$5,$L$5, G266=$K$6,$L$6,G266=$K$7,$L$7, G266=$K$8,$L$8)</f>
        <v>0</v>
      </c>
      <c r="J266" s="80"/>
    </row>
    <row r="267" spans="1:10">
      <c r="A267" s="171" t="s">
        <v>1517</v>
      </c>
      <c r="B267" s="172" t="s">
        <v>105</v>
      </c>
      <c r="C267" s="171" t="s">
        <v>1434</v>
      </c>
      <c r="D267" s="173">
        <v>39224</v>
      </c>
      <c r="E267" s="174">
        <v>14</v>
      </c>
      <c r="F267" s="175">
        <v>102792</v>
      </c>
      <c r="G267" s="172">
        <v>2</v>
      </c>
      <c r="H267" s="176">
        <f t="shared" si="4"/>
        <v>100</v>
      </c>
      <c r="I267" s="80" cm="1">
        <f t="array" ref="I267">_xlfn.IFS(G267=$K$4,$L$4, G267=$K$5,$L$5, G267=$K$6,$L$6,G267=$K$7,$L$7, G267=$K$8,$L$8)</f>
        <v>100</v>
      </c>
      <c r="J267" s="80"/>
    </row>
    <row r="268" spans="1:10">
      <c r="A268" s="171" t="s">
        <v>1518</v>
      </c>
      <c r="B268" s="172" t="s">
        <v>129</v>
      </c>
      <c r="C268" s="171" t="s">
        <v>1434</v>
      </c>
      <c r="D268" s="173">
        <v>40681</v>
      </c>
      <c r="E268" s="174">
        <v>10</v>
      </c>
      <c r="F268" s="175">
        <v>69142</v>
      </c>
      <c r="G268" s="172">
        <v>2</v>
      </c>
      <c r="H268" s="176">
        <f t="shared" si="4"/>
        <v>100</v>
      </c>
      <c r="I268" s="80" cm="1">
        <f t="array" ref="I268">_xlfn.IFS(G268=$K$4,$L$4, G268=$K$5,$L$5, G268=$K$6,$L$6,G268=$K$7,$L$7, G268=$K$8,$L$8)</f>
        <v>100</v>
      </c>
      <c r="J268" s="80"/>
    </row>
    <row r="269" spans="1:10">
      <c r="A269" s="171" t="s">
        <v>1519</v>
      </c>
      <c r="B269" s="172" t="s">
        <v>120</v>
      </c>
      <c r="C269" s="171" t="s">
        <v>1434</v>
      </c>
      <c r="D269" s="173">
        <v>39952</v>
      </c>
      <c r="E269" s="174">
        <v>12</v>
      </c>
      <c r="F269" s="175">
        <v>95292</v>
      </c>
      <c r="G269" s="172">
        <v>4</v>
      </c>
      <c r="H269" s="176">
        <f t="shared" si="4"/>
        <v>1500</v>
      </c>
      <c r="I269" s="80" cm="1">
        <f t="array" ref="I269">_xlfn.IFS(G269=$K$4,$L$4, G269=$K$5,$L$5, G269=$K$6,$L$6,G269=$K$7,$L$7, G269=$K$8,$L$8)</f>
        <v>1500</v>
      </c>
      <c r="J269" s="80"/>
    </row>
    <row r="270" spans="1:10">
      <c r="A270" s="171" t="s">
        <v>1520</v>
      </c>
      <c r="B270" s="172" t="s">
        <v>120</v>
      </c>
      <c r="C270" s="171" t="s">
        <v>1434</v>
      </c>
      <c r="D270" s="173">
        <v>41050</v>
      </c>
      <c r="E270" s="174">
        <v>9</v>
      </c>
      <c r="F270" s="175">
        <v>65688</v>
      </c>
      <c r="G270" s="172">
        <v>5</v>
      </c>
      <c r="H270" s="176">
        <f t="shared" si="4"/>
        <v>3000</v>
      </c>
      <c r="I270" s="80" cm="1">
        <f t="array" ref="I270">_xlfn.IFS(G270=$K$4,$L$4, G270=$K$5,$L$5, G270=$K$6,$L$6,G270=$K$7,$L$7, G270=$K$8,$L$8)</f>
        <v>3000</v>
      </c>
      <c r="J270" s="80"/>
    </row>
    <row r="271" spans="1:10">
      <c r="A271" s="171" t="s">
        <v>1521</v>
      </c>
      <c r="B271" s="172" t="s">
        <v>1257</v>
      </c>
      <c r="C271" s="171" t="s">
        <v>1434</v>
      </c>
      <c r="D271" s="173">
        <v>40342</v>
      </c>
      <c r="E271" s="174">
        <v>11</v>
      </c>
      <c r="F271" s="175">
        <v>87125</v>
      </c>
      <c r="G271" s="172">
        <v>2</v>
      </c>
      <c r="H271" s="176">
        <f t="shared" si="4"/>
        <v>100</v>
      </c>
      <c r="I271" s="80" cm="1">
        <f t="array" ref="I271">_xlfn.IFS(G271=$K$4,$L$4, G271=$K$5,$L$5, G271=$K$6,$L$6,G271=$K$7,$L$7, G271=$K$8,$L$8)</f>
        <v>100</v>
      </c>
      <c r="J271" s="80"/>
    </row>
    <row r="272" spans="1:10">
      <c r="A272" s="171" t="s">
        <v>1522</v>
      </c>
      <c r="B272" s="172" t="s">
        <v>105</v>
      </c>
      <c r="C272" s="171" t="s">
        <v>1434</v>
      </c>
      <c r="D272" s="173">
        <v>40354</v>
      </c>
      <c r="E272" s="174">
        <v>11</v>
      </c>
      <c r="F272" s="175">
        <v>95877</v>
      </c>
      <c r="G272" s="172">
        <v>4</v>
      </c>
      <c r="H272" s="176">
        <f t="shared" si="4"/>
        <v>1500</v>
      </c>
      <c r="I272" s="80" cm="1">
        <f t="array" ref="I272">_xlfn.IFS(G272=$K$4,$L$4, G272=$K$5,$L$5, G272=$K$6,$L$6,G272=$K$7,$L$7, G272=$K$8,$L$8)</f>
        <v>1500</v>
      </c>
      <c r="J272" s="80"/>
    </row>
    <row r="273" spans="1:10">
      <c r="A273" s="171" t="s">
        <v>1523</v>
      </c>
      <c r="B273" s="172" t="s">
        <v>120</v>
      </c>
      <c r="C273" s="171" t="s">
        <v>1434</v>
      </c>
      <c r="D273" s="173">
        <v>40356</v>
      </c>
      <c r="E273" s="174">
        <v>11</v>
      </c>
      <c r="F273" s="175">
        <v>104511</v>
      </c>
      <c r="G273" s="172">
        <v>1</v>
      </c>
      <c r="H273" s="176">
        <f t="shared" si="4"/>
        <v>0</v>
      </c>
      <c r="I273" s="80" cm="1">
        <f t="array" ref="I273">_xlfn.IFS(G273=$K$4,$L$4, G273=$K$5,$L$5, G273=$K$6,$L$6,G273=$K$7,$L$7, G273=$K$8,$L$8)</f>
        <v>0</v>
      </c>
      <c r="J273" s="80"/>
    </row>
    <row r="274" spans="1:10">
      <c r="A274" s="171" t="s">
        <v>1524</v>
      </c>
      <c r="B274" s="172" t="s">
        <v>105</v>
      </c>
      <c r="C274" s="171" t="s">
        <v>1434</v>
      </c>
      <c r="D274" s="173">
        <v>40733</v>
      </c>
      <c r="E274" s="174">
        <v>10</v>
      </c>
      <c r="F274" s="175">
        <v>53431</v>
      </c>
      <c r="G274" s="172">
        <v>3</v>
      </c>
      <c r="H274" s="176">
        <f t="shared" si="4"/>
        <v>900</v>
      </c>
      <c r="I274" s="80" cm="1">
        <f t="array" ref="I274">_xlfn.IFS(G274=$K$4,$L$4, G274=$K$5,$L$5, G274=$K$6,$L$6,G274=$K$7,$L$7, G274=$K$8,$L$8)</f>
        <v>900</v>
      </c>
      <c r="J274" s="80"/>
    </row>
    <row r="275" spans="1:10">
      <c r="A275" s="171" t="s">
        <v>1525</v>
      </c>
      <c r="B275" s="172" t="s">
        <v>129</v>
      </c>
      <c r="C275" s="171" t="s">
        <v>1434</v>
      </c>
      <c r="D275" s="173">
        <v>40342</v>
      </c>
      <c r="E275" s="174">
        <v>11</v>
      </c>
      <c r="F275" s="175">
        <v>54633</v>
      </c>
      <c r="G275" s="172">
        <v>1</v>
      </c>
      <c r="H275" s="176">
        <f t="shared" si="4"/>
        <v>0</v>
      </c>
      <c r="I275" s="80" cm="1">
        <f t="array" ref="I275">_xlfn.IFS(G275=$K$4,$L$4, G275=$K$5,$L$5, G275=$K$6,$L$6,G275=$K$7,$L$7, G275=$K$8,$L$8)</f>
        <v>0</v>
      </c>
      <c r="J275" s="80"/>
    </row>
    <row r="276" spans="1:10">
      <c r="A276" s="171" t="s">
        <v>1526</v>
      </c>
      <c r="B276" s="172" t="s">
        <v>129</v>
      </c>
      <c r="C276" s="171" t="s">
        <v>1434</v>
      </c>
      <c r="D276" s="173">
        <v>37060</v>
      </c>
      <c r="E276" s="174">
        <v>20</v>
      </c>
      <c r="F276" s="175">
        <v>62423</v>
      </c>
      <c r="G276" s="172">
        <v>3</v>
      </c>
      <c r="H276" s="176">
        <f t="shared" si="4"/>
        <v>900</v>
      </c>
      <c r="I276" s="80" cm="1">
        <f t="array" ref="I276">_xlfn.IFS(G276=$K$4,$L$4, G276=$K$5,$L$5, G276=$K$6,$L$6,G276=$K$7,$L$7, G276=$K$8,$L$8)</f>
        <v>900</v>
      </c>
      <c r="J276" s="80"/>
    </row>
    <row r="277" spans="1:10">
      <c r="A277" s="171" t="s">
        <v>1527</v>
      </c>
      <c r="B277" s="172" t="s">
        <v>1257</v>
      </c>
      <c r="C277" s="171" t="s">
        <v>1434</v>
      </c>
      <c r="D277" s="173">
        <v>37070</v>
      </c>
      <c r="E277" s="174">
        <v>20</v>
      </c>
      <c r="F277" s="175">
        <v>107924</v>
      </c>
      <c r="G277" s="172">
        <v>5</v>
      </c>
      <c r="H277" s="176">
        <f t="shared" si="4"/>
        <v>3000</v>
      </c>
      <c r="I277" s="80" cm="1">
        <f t="array" ref="I277">_xlfn.IFS(G277=$K$4,$L$4, G277=$K$5,$L$5, G277=$K$6,$L$6,G277=$K$7,$L$7, G277=$K$8,$L$8)</f>
        <v>3000</v>
      </c>
      <c r="J277" s="80"/>
    </row>
    <row r="278" spans="1:10">
      <c r="A278" s="171" t="s">
        <v>1528</v>
      </c>
      <c r="B278" s="172" t="s">
        <v>1257</v>
      </c>
      <c r="C278" s="171" t="s">
        <v>1434</v>
      </c>
      <c r="D278" s="173">
        <v>37074</v>
      </c>
      <c r="E278" s="174">
        <v>20</v>
      </c>
      <c r="F278" s="175">
        <v>50610</v>
      </c>
      <c r="G278" s="172">
        <v>2</v>
      </c>
      <c r="H278" s="176">
        <f t="shared" si="4"/>
        <v>100</v>
      </c>
      <c r="I278" s="80" cm="1">
        <f t="array" ref="I278">_xlfn.IFS(G278=$K$4,$L$4, G278=$K$5,$L$5, G278=$K$6,$L$6,G278=$K$7,$L$7, G278=$K$8,$L$8)</f>
        <v>100</v>
      </c>
      <c r="J278" s="80"/>
    </row>
    <row r="279" spans="1:10">
      <c r="A279" s="171" t="s">
        <v>1529</v>
      </c>
      <c r="B279" s="172" t="s">
        <v>129</v>
      </c>
      <c r="C279" s="171" t="s">
        <v>1434</v>
      </c>
      <c r="D279" s="173">
        <v>37075</v>
      </c>
      <c r="E279" s="174">
        <v>20</v>
      </c>
      <c r="F279" s="175">
        <v>85065</v>
      </c>
      <c r="G279" s="172">
        <v>3</v>
      </c>
      <c r="H279" s="176">
        <f t="shared" si="4"/>
        <v>900</v>
      </c>
      <c r="I279" s="80" cm="1">
        <f t="array" ref="I279">_xlfn.IFS(G279=$K$4,$L$4, G279=$K$5,$L$5, G279=$K$6,$L$6,G279=$K$7,$L$7, G279=$K$8,$L$8)</f>
        <v>900</v>
      </c>
      <c r="J279" s="80"/>
    </row>
    <row r="280" spans="1:10">
      <c r="A280" s="171" t="s">
        <v>1530</v>
      </c>
      <c r="B280" s="172" t="s">
        <v>1255</v>
      </c>
      <c r="C280" s="171" t="s">
        <v>1434</v>
      </c>
      <c r="D280" s="173">
        <v>37428</v>
      </c>
      <c r="E280" s="174">
        <v>19</v>
      </c>
      <c r="F280" s="175">
        <v>58262</v>
      </c>
      <c r="G280" s="172">
        <v>3</v>
      </c>
      <c r="H280" s="176">
        <f t="shared" si="4"/>
        <v>900</v>
      </c>
      <c r="I280" s="80" cm="1">
        <f t="array" ref="I280">_xlfn.IFS(G280=$K$4,$L$4, G280=$K$5,$L$5, G280=$K$6,$L$6,G280=$K$7,$L$7, G280=$K$8,$L$8)</f>
        <v>900</v>
      </c>
      <c r="J280" s="80"/>
    </row>
    <row r="281" spans="1:10">
      <c r="A281" s="171" t="s">
        <v>1531</v>
      </c>
      <c r="B281" s="172" t="s">
        <v>129</v>
      </c>
      <c r="C281" s="171" t="s">
        <v>1434</v>
      </c>
      <c r="D281" s="173">
        <v>37438</v>
      </c>
      <c r="E281" s="174">
        <v>19</v>
      </c>
      <c r="F281" s="175">
        <v>100359</v>
      </c>
      <c r="G281" s="172">
        <v>1</v>
      </c>
      <c r="H281" s="176">
        <f t="shared" si="4"/>
        <v>0</v>
      </c>
      <c r="I281" s="80" cm="1">
        <f t="array" ref="I281">_xlfn.IFS(G281=$K$4,$L$4, G281=$K$5,$L$5, G281=$K$6,$L$6,G281=$K$7,$L$7, G281=$K$8,$L$8)</f>
        <v>0</v>
      </c>
      <c r="J281" s="80"/>
    </row>
    <row r="282" spans="1:10">
      <c r="A282" s="171" t="s">
        <v>1532</v>
      </c>
      <c r="B282" s="172" t="s">
        <v>129</v>
      </c>
      <c r="C282" s="171" t="s">
        <v>1434</v>
      </c>
      <c r="D282" s="173">
        <v>37796</v>
      </c>
      <c r="E282" s="174">
        <v>18</v>
      </c>
      <c r="F282" s="175">
        <v>108890</v>
      </c>
      <c r="G282" s="172">
        <v>5</v>
      </c>
      <c r="H282" s="176">
        <f t="shared" si="4"/>
        <v>3000</v>
      </c>
      <c r="I282" s="80" cm="1">
        <f t="array" ref="I282">_xlfn.IFS(G282=$K$4,$L$4, G282=$K$5,$L$5, G282=$K$6,$L$6,G282=$K$7,$L$7, G282=$K$8,$L$8)</f>
        <v>3000</v>
      </c>
      <c r="J282" s="80"/>
    </row>
    <row r="283" spans="1:10">
      <c r="A283" s="171" t="s">
        <v>1533</v>
      </c>
      <c r="B283" s="172" t="s">
        <v>129</v>
      </c>
      <c r="C283" s="171" t="s">
        <v>1434</v>
      </c>
      <c r="D283" s="173">
        <v>37807</v>
      </c>
      <c r="E283" s="174">
        <v>18</v>
      </c>
      <c r="F283" s="175">
        <v>51441</v>
      </c>
      <c r="G283" s="172">
        <v>1</v>
      </c>
      <c r="H283" s="176">
        <f t="shared" si="4"/>
        <v>0</v>
      </c>
      <c r="I283" s="80" cm="1">
        <f t="array" ref="I283">_xlfn.IFS(G283=$K$4,$L$4, G283=$K$5,$L$5, G283=$K$6,$L$6,G283=$K$7,$L$7, G283=$K$8,$L$8)</f>
        <v>0</v>
      </c>
      <c r="J283" s="80"/>
    </row>
    <row r="284" spans="1:10">
      <c r="A284" s="171" t="s">
        <v>1534</v>
      </c>
      <c r="B284" s="172" t="s">
        <v>1255</v>
      </c>
      <c r="C284" s="171" t="s">
        <v>1434</v>
      </c>
      <c r="D284" s="173">
        <v>38898</v>
      </c>
      <c r="E284" s="174">
        <v>15</v>
      </c>
      <c r="F284" s="175">
        <v>43570</v>
      </c>
      <c r="G284" s="172">
        <v>1</v>
      </c>
      <c r="H284" s="176">
        <f t="shared" si="4"/>
        <v>0</v>
      </c>
      <c r="I284" s="80" cm="1">
        <f t="array" ref="I284">_xlfn.IFS(G284=$K$4,$L$4, G284=$K$5,$L$5, G284=$K$6,$L$6,G284=$K$7,$L$7, G284=$K$8,$L$8)</f>
        <v>0</v>
      </c>
      <c r="J284" s="80"/>
    </row>
    <row r="285" spans="1:10">
      <c r="A285" s="171" t="s">
        <v>1535</v>
      </c>
      <c r="B285" s="172" t="s">
        <v>105</v>
      </c>
      <c r="C285" s="171" t="s">
        <v>1434</v>
      </c>
      <c r="D285" s="173">
        <v>40711</v>
      </c>
      <c r="E285" s="174">
        <v>10</v>
      </c>
      <c r="F285" s="175">
        <v>121090</v>
      </c>
      <c r="G285" s="172">
        <v>1</v>
      </c>
      <c r="H285" s="176">
        <f t="shared" si="4"/>
        <v>0</v>
      </c>
      <c r="I285" s="80" cm="1">
        <f t="array" ref="I285">_xlfn.IFS(G285=$K$4,$L$4, G285=$K$5,$L$5, G285=$K$6,$L$6,G285=$K$7,$L$7, G285=$K$8,$L$8)</f>
        <v>0</v>
      </c>
      <c r="J285" s="80"/>
    </row>
    <row r="286" spans="1:10">
      <c r="A286" s="171" t="s">
        <v>1536</v>
      </c>
      <c r="B286" s="172" t="s">
        <v>1254</v>
      </c>
      <c r="C286" s="171" t="s">
        <v>1434</v>
      </c>
      <c r="D286" s="173">
        <v>39990</v>
      </c>
      <c r="E286" s="174">
        <v>12</v>
      </c>
      <c r="F286" s="175">
        <v>54395</v>
      </c>
      <c r="G286" s="172">
        <v>4</v>
      </c>
      <c r="H286" s="176">
        <f t="shared" si="4"/>
        <v>1500</v>
      </c>
      <c r="I286" s="80" cm="1">
        <f t="array" ref="I286">_xlfn.IFS(G286=$K$4,$L$4, G286=$K$5,$L$5, G286=$K$6,$L$6,G286=$K$7,$L$7, G286=$K$8,$L$8)</f>
        <v>1500</v>
      </c>
      <c r="J286" s="80"/>
    </row>
    <row r="287" spans="1:10">
      <c r="A287" s="171" t="s">
        <v>1537</v>
      </c>
      <c r="B287" s="172" t="s">
        <v>1257</v>
      </c>
      <c r="C287" s="171" t="s">
        <v>1434</v>
      </c>
      <c r="D287" s="173">
        <v>42202</v>
      </c>
      <c r="E287" s="174">
        <v>6</v>
      </c>
      <c r="F287" s="175">
        <v>102154</v>
      </c>
      <c r="G287" s="172">
        <v>2</v>
      </c>
      <c r="H287" s="176">
        <f t="shared" si="4"/>
        <v>100</v>
      </c>
      <c r="I287" s="80" cm="1">
        <f t="array" ref="I287">_xlfn.IFS(G287=$K$4,$L$4, G287=$K$5,$L$5, G287=$K$6,$L$6,G287=$K$7,$L$7, G287=$K$8,$L$8)</f>
        <v>100</v>
      </c>
      <c r="J287" s="80"/>
    </row>
    <row r="288" spans="1:10">
      <c r="A288" s="171" t="s">
        <v>1538</v>
      </c>
      <c r="B288" s="172" t="s">
        <v>1257</v>
      </c>
      <c r="C288" s="171" t="s">
        <v>1434</v>
      </c>
      <c r="D288" s="173">
        <v>37087</v>
      </c>
      <c r="E288" s="174">
        <v>20</v>
      </c>
      <c r="F288" s="175">
        <v>61049</v>
      </c>
      <c r="G288" s="172">
        <v>5</v>
      </c>
      <c r="H288" s="176">
        <f t="shared" si="4"/>
        <v>3000</v>
      </c>
      <c r="I288" s="80" cm="1">
        <f t="array" ref="I288">_xlfn.IFS(G288=$K$4,$L$4, G288=$K$5,$L$5, G288=$K$6,$L$6,G288=$K$7,$L$7, G288=$K$8,$L$8)</f>
        <v>3000</v>
      </c>
      <c r="J288" s="80"/>
    </row>
    <row r="289" spans="1:10">
      <c r="A289" s="171" t="s">
        <v>1539</v>
      </c>
      <c r="B289" s="172" t="s">
        <v>120</v>
      </c>
      <c r="C289" s="171" t="s">
        <v>1434</v>
      </c>
      <c r="D289" s="173">
        <v>37089</v>
      </c>
      <c r="E289" s="174">
        <v>20</v>
      </c>
      <c r="F289" s="175">
        <v>72877</v>
      </c>
      <c r="G289" s="172">
        <v>1</v>
      </c>
      <c r="H289" s="176">
        <f t="shared" si="4"/>
        <v>0</v>
      </c>
      <c r="I289" s="80" cm="1">
        <f t="array" ref="I289">_xlfn.IFS(G289=$K$4,$L$4, G289=$K$5,$L$5, G289=$K$6,$L$6,G289=$K$7,$L$7, G289=$K$8,$L$8)</f>
        <v>0</v>
      </c>
      <c r="J289" s="80"/>
    </row>
    <row r="290" spans="1:10">
      <c r="A290" s="171" t="s">
        <v>1540</v>
      </c>
      <c r="B290" s="172" t="s">
        <v>1255</v>
      </c>
      <c r="C290" s="171" t="s">
        <v>1434</v>
      </c>
      <c r="D290" s="173">
        <v>40390</v>
      </c>
      <c r="E290" s="174">
        <v>11</v>
      </c>
      <c r="F290" s="175">
        <v>86051</v>
      </c>
      <c r="G290" s="172">
        <v>3</v>
      </c>
      <c r="H290" s="176">
        <f t="shared" si="4"/>
        <v>900</v>
      </c>
      <c r="I290" s="80" cm="1">
        <f t="array" ref="I290">_xlfn.IFS(G290=$K$4,$L$4, G290=$K$5,$L$5, G290=$K$6,$L$6,G290=$K$7,$L$7, G290=$K$8,$L$8)</f>
        <v>900</v>
      </c>
      <c r="J290" s="80"/>
    </row>
    <row r="291" spans="1:10">
      <c r="A291" s="171" t="s">
        <v>1541</v>
      </c>
      <c r="B291" s="172" t="s">
        <v>1254</v>
      </c>
      <c r="C291" s="171" t="s">
        <v>1434</v>
      </c>
      <c r="D291" s="173">
        <v>40775</v>
      </c>
      <c r="E291" s="174">
        <v>10</v>
      </c>
      <c r="F291" s="175">
        <v>113335</v>
      </c>
      <c r="G291" s="172">
        <v>2</v>
      </c>
      <c r="H291" s="176">
        <f t="shared" si="4"/>
        <v>100</v>
      </c>
      <c r="I291" s="80" cm="1">
        <f t="array" ref="I291">_xlfn.IFS(G291=$K$4,$L$4, G291=$K$5,$L$5, G291=$K$6,$L$6,G291=$K$7,$L$7, G291=$K$8,$L$8)</f>
        <v>100</v>
      </c>
      <c r="J291" s="80"/>
    </row>
    <row r="292" spans="1:10">
      <c r="A292" s="171" t="s">
        <v>1542</v>
      </c>
      <c r="B292" s="172" t="s">
        <v>129</v>
      </c>
      <c r="C292" s="171" t="s">
        <v>1434</v>
      </c>
      <c r="D292" s="173">
        <v>40432</v>
      </c>
      <c r="E292" s="174">
        <v>11</v>
      </c>
      <c r="F292" s="175">
        <v>55767</v>
      </c>
      <c r="G292" s="172">
        <v>4</v>
      </c>
      <c r="H292" s="176">
        <f t="shared" si="4"/>
        <v>1500</v>
      </c>
      <c r="I292" s="80" cm="1">
        <f t="array" ref="I292">_xlfn.IFS(G292=$K$4,$L$4, G292=$K$5,$L$5, G292=$K$6,$L$6,G292=$K$7,$L$7, G292=$K$8,$L$8)</f>
        <v>1500</v>
      </c>
      <c r="J292" s="80"/>
    </row>
    <row r="293" spans="1:10">
      <c r="A293" s="171" t="s">
        <v>1543</v>
      </c>
      <c r="B293" s="172" t="s">
        <v>1254</v>
      </c>
      <c r="C293" s="171" t="s">
        <v>1434</v>
      </c>
      <c r="D293" s="173">
        <v>41502</v>
      </c>
      <c r="E293" s="174">
        <v>8</v>
      </c>
      <c r="F293" s="175">
        <v>56149</v>
      </c>
      <c r="G293" s="172">
        <v>5</v>
      </c>
      <c r="H293" s="176">
        <f t="shared" si="4"/>
        <v>3000</v>
      </c>
      <c r="I293" s="80" cm="1">
        <f t="array" ref="I293">_xlfn.IFS(G293=$K$4,$L$4, G293=$K$5,$L$5, G293=$K$6,$L$6,G293=$K$7,$L$7, G293=$K$8,$L$8)</f>
        <v>3000</v>
      </c>
      <c r="J293" s="80"/>
    </row>
    <row r="294" spans="1:10">
      <c r="A294" s="171" t="s">
        <v>1544</v>
      </c>
      <c r="B294" s="172" t="s">
        <v>1257</v>
      </c>
      <c r="C294" s="171" t="s">
        <v>1434</v>
      </c>
      <c r="D294" s="173">
        <v>40060</v>
      </c>
      <c r="E294" s="174">
        <v>12</v>
      </c>
      <c r="F294" s="175">
        <v>54973</v>
      </c>
      <c r="G294" s="172">
        <v>1</v>
      </c>
      <c r="H294" s="176">
        <f t="shared" si="4"/>
        <v>0</v>
      </c>
      <c r="I294" s="80" cm="1">
        <f t="array" ref="I294">_xlfn.IFS(G294=$K$4,$L$4, G294=$K$5,$L$5, G294=$K$6,$L$6,G294=$K$7,$L$7, G294=$K$8,$L$8)</f>
        <v>0</v>
      </c>
      <c r="J294" s="80"/>
    </row>
    <row r="295" spans="1:10">
      <c r="A295" s="171" t="s">
        <v>1545</v>
      </c>
      <c r="B295" s="172" t="s">
        <v>129</v>
      </c>
      <c r="C295" s="171" t="s">
        <v>1434</v>
      </c>
      <c r="D295" s="173">
        <v>40068</v>
      </c>
      <c r="E295" s="174">
        <v>12</v>
      </c>
      <c r="F295" s="175">
        <v>119949</v>
      </c>
      <c r="G295" s="172">
        <v>2</v>
      </c>
      <c r="H295" s="176">
        <f t="shared" si="4"/>
        <v>100</v>
      </c>
      <c r="I295" s="80" cm="1">
        <f t="array" ref="I295">_xlfn.IFS(G295=$K$4,$L$4, G295=$K$5,$L$5, G295=$K$6,$L$6,G295=$K$7,$L$7, G295=$K$8,$L$8)</f>
        <v>100</v>
      </c>
      <c r="J295" s="80"/>
    </row>
    <row r="296" spans="1:10">
      <c r="A296" s="171" t="s">
        <v>1546</v>
      </c>
      <c r="B296" s="172" t="s">
        <v>120</v>
      </c>
      <c r="C296" s="171" t="s">
        <v>1434</v>
      </c>
      <c r="D296" s="173">
        <v>37145</v>
      </c>
      <c r="E296" s="174">
        <v>20</v>
      </c>
      <c r="F296" s="175">
        <v>49488</v>
      </c>
      <c r="G296" s="172">
        <v>4</v>
      </c>
      <c r="H296" s="176">
        <f t="shared" si="4"/>
        <v>1500</v>
      </c>
      <c r="I296" s="80" cm="1">
        <f t="array" ref="I296">_xlfn.IFS(G296=$K$4,$L$4, G296=$K$5,$L$5, G296=$K$6,$L$6,G296=$K$7,$L$7, G296=$K$8,$L$8)</f>
        <v>1500</v>
      </c>
      <c r="J296" s="80"/>
    </row>
    <row r="297" spans="1:10">
      <c r="A297" s="171" t="s">
        <v>1547</v>
      </c>
      <c r="B297" s="172" t="s">
        <v>120</v>
      </c>
      <c r="C297" s="171" t="s">
        <v>1434</v>
      </c>
      <c r="D297" s="173">
        <v>37491</v>
      </c>
      <c r="E297" s="174">
        <v>19</v>
      </c>
      <c r="F297" s="175">
        <v>43343</v>
      </c>
      <c r="G297" s="172">
        <v>3</v>
      </c>
      <c r="H297" s="176">
        <f t="shared" si="4"/>
        <v>900</v>
      </c>
      <c r="I297" s="80" cm="1">
        <f t="array" ref="I297">_xlfn.IFS(G297=$K$4,$L$4, G297=$K$5,$L$5, G297=$K$6,$L$6,G297=$K$7,$L$7, G297=$K$8,$L$8)</f>
        <v>900</v>
      </c>
      <c r="J297" s="80"/>
    </row>
    <row r="298" spans="1:10">
      <c r="A298" s="171" t="s">
        <v>1548</v>
      </c>
      <c r="B298" s="172" t="s">
        <v>129</v>
      </c>
      <c r="C298" s="171" t="s">
        <v>1434</v>
      </c>
      <c r="D298" s="173">
        <v>37500</v>
      </c>
      <c r="E298" s="174">
        <v>19</v>
      </c>
      <c r="F298" s="175">
        <v>58134</v>
      </c>
      <c r="G298" s="172">
        <v>5</v>
      </c>
      <c r="H298" s="176">
        <f t="shared" si="4"/>
        <v>3000</v>
      </c>
      <c r="I298" s="80" cm="1">
        <f t="array" ref="I298">_xlfn.IFS(G298=$K$4,$L$4, G298=$K$5,$L$5, G298=$K$6,$L$6,G298=$K$7,$L$7, G298=$K$8,$L$8)</f>
        <v>3000</v>
      </c>
      <c r="J298" s="80"/>
    </row>
    <row r="299" spans="1:10">
      <c r="A299" s="171" t="s">
        <v>1549</v>
      </c>
      <c r="B299" s="172" t="s">
        <v>129</v>
      </c>
      <c r="C299" s="171" t="s">
        <v>1434</v>
      </c>
      <c r="D299" s="173">
        <v>37509</v>
      </c>
      <c r="E299" s="174">
        <v>19</v>
      </c>
      <c r="F299" s="175">
        <v>55295</v>
      </c>
      <c r="G299" s="172">
        <v>2</v>
      </c>
      <c r="H299" s="176">
        <f t="shared" si="4"/>
        <v>100</v>
      </c>
      <c r="I299" s="80" cm="1">
        <f t="array" ref="I299">_xlfn.IFS(G299=$K$4,$L$4, G299=$K$5,$L$5, G299=$K$6,$L$6,G299=$K$7,$L$7, G299=$K$8,$L$8)</f>
        <v>100</v>
      </c>
      <c r="J299" s="80"/>
    </row>
    <row r="300" spans="1:10">
      <c r="A300" s="171" t="s">
        <v>1550</v>
      </c>
      <c r="B300" s="172" t="s">
        <v>1257</v>
      </c>
      <c r="C300" s="171" t="s">
        <v>1434</v>
      </c>
      <c r="D300" s="173">
        <v>38587</v>
      </c>
      <c r="E300" s="174">
        <v>16</v>
      </c>
      <c r="F300" s="175">
        <v>104197</v>
      </c>
      <c r="G300" s="172">
        <v>3</v>
      </c>
      <c r="H300" s="176">
        <f t="shared" si="4"/>
        <v>900</v>
      </c>
      <c r="I300" s="80" cm="1">
        <f t="array" ref="I300">_xlfn.IFS(G300=$K$4,$L$4, G300=$K$5,$L$5, G300=$K$6,$L$6,G300=$K$7,$L$7, G300=$K$8,$L$8)</f>
        <v>900</v>
      </c>
      <c r="J300" s="80"/>
    </row>
    <row r="301" spans="1:10">
      <c r="A301" s="171" t="s">
        <v>1551</v>
      </c>
      <c r="B301" s="172" t="s">
        <v>129</v>
      </c>
      <c r="C301" s="171" t="s">
        <v>1434</v>
      </c>
      <c r="D301" s="173">
        <v>38944</v>
      </c>
      <c r="E301" s="174">
        <v>15</v>
      </c>
      <c r="F301" s="175">
        <v>46006</v>
      </c>
      <c r="G301" s="172">
        <v>5</v>
      </c>
      <c r="H301" s="176">
        <f t="shared" si="4"/>
        <v>3000</v>
      </c>
      <c r="I301" s="80" cm="1">
        <f t="array" ref="I301">_xlfn.IFS(G301=$K$4,$L$4, G301=$K$5,$L$5, G301=$K$6,$L$6,G301=$K$7,$L$7, G301=$K$8,$L$8)</f>
        <v>3000</v>
      </c>
      <c r="J301" s="80"/>
    </row>
    <row r="302" spans="1:10">
      <c r="A302" s="171" t="s">
        <v>1552</v>
      </c>
      <c r="B302" s="172" t="s">
        <v>120</v>
      </c>
      <c r="C302" s="171" t="s">
        <v>1434</v>
      </c>
      <c r="D302" s="173">
        <v>40426</v>
      </c>
      <c r="E302" s="174">
        <v>11</v>
      </c>
      <c r="F302" s="175">
        <v>105667</v>
      </c>
      <c r="G302" s="172">
        <v>2</v>
      </c>
      <c r="H302" s="176">
        <f t="shared" si="4"/>
        <v>100</v>
      </c>
      <c r="I302" s="80" cm="1">
        <f t="array" ref="I302">_xlfn.IFS(G302=$K$4,$L$4, G302=$K$5,$L$5, G302=$K$6,$L$6,G302=$K$7,$L$7, G302=$K$8,$L$8)</f>
        <v>100</v>
      </c>
      <c r="J302" s="80"/>
    </row>
    <row r="303" spans="1:10">
      <c r="A303" s="171" t="s">
        <v>1553</v>
      </c>
      <c r="B303" s="172" t="s">
        <v>1257</v>
      </c>
      <c r="C303" s="171" t="s">
        <v>1434</v>
      </c>
      <c r="D303" s="173">
        <v>40774</v>
      </c>
      <c r="E303" s="174">
        <v>10</v>
      </c>
      <c r="F303" s="175">
        <v>50007</v>
      </c>
      <c r="G303" s="172">
        <v>3</v>
      </c>
      <c r="H303" s="176">
        <f t="shared" si="4"/>
        <v>900</v>
      </c>
      <c r="I303" s="80" cm="1">
        <f t="array" ref="I303">_xlfn.IFS(G303=$K$4,$L$4, G303=$K$5,$L$5, G303=$K$6,$L$6,G303=$K$7,$L$7, G303=$K$8,$L$8)</f>
        <v>900</v>
      </c>
      <c r="J303" s="80"/>
    </row>
    <row r="304" spans="1:10">
      <c r="A304" s="171" t="s">
        <v>1554</v>
      </c>
      <c r="B304" s="172" t="s">
        <v>129</v>
      </c>
      <c r="C304" s="171" t="s">
        <v>1434</v>
      </c>
      <c r="D304" s="173">
        <v>41527</v>
      </c>
      <c r="E304" s="174">
        <v>8</v>
      </c>
      <c r="F304" s="175">
        <v>77016</v>
      </c>
      <c r="G304" s="172">
        <v>5</v>
      </c>
      <c r="H304" s="176">
        <f t="shared" si="4"/>
        <v>3000</v>
      </c>
      <c r="I304" s="80" cm="1">
        <f t="array" ref="I304">_xlfn.IFS(G304=$K$4,$L$4, G304=$K$5,$L$5, G304=$K$6,$L$6,G304=$K$7,$L$7, G304=$K$8,$L$8)</f>
        <v>3000</v>
      </c>
      <c r="J304" s="80"/>
    </row>
    <row r="305" spans="1:10">
      <c r="A305" s="171" t="s">
        <v>1555</v>
      </c>
      <c r="B305" s="172" t="s">
        <v>120</v>
      </c>
      <c r="C305" s="171" t="s">
        <v>1434</v>
      </c>
      <c r="D305" s="173">
        <v>40456</v>
      </c>
      <c r="E305" s="174">
        <v>11</v>
      </c>
      <c r="F305" s="175">
        <v>125134</v>
      </c>
      <c r="G305" s="172">
        <v>3</v>
      </c>
      <c r="H305" s="176">
        <f t="shared" si="4"/>
        <v>900</v>
      </c>
      <c r="I305" s="80" cm="1">
        <f t="array" ref="I305">_xlfn.IFS(G305=$K$4,$L$4, G305=$K$5,$L$5, G305=$K$6,$L$6,G305=$K$7,$L$7, G305=$K$8,$L$8)</f>
        <v>900</v>
      </c>
      <c r="J305" s="80"/>
    </row>
    <row r="306" spans="1:10">
      <c r="A306" s="171" t="s">
        <v>1556</v>
      </c>
      <c r="B306" s="172" t="s">
        <v>1254</v>
      </c>
      <c r="C306" s="171" t="s">
        <v>1434</v>
      </c>
      <c r="D306" s="173">
        <v>41534</v>
      </c>
      <c r="E306" s="174">
        <v>8</v>
      </c>
      <c r="F306" s="175">
        <v>65953</v>
      </c>
      <c r="G306" s="172">
        <v>5</v>
      </c>
      <c r="H306" s="176">
        <f t="shared" si="4"/>
        <v>3000</v>
      </c>
      <c r="I306" s="80" cm="1">
        <f t="array" ref="I306">_xlfn.IFS(G306=$K$4,$L$4, G306=$K$5,$L$5, G306=$K$6,$L$6,G306=$K$7,$L$7, G306=$K$8,$L$8)</f>
        <v>3000</v>
      </c>
      <c r="J306" s="80"/>
    </row>
    <row r="307" spans="1:10">
      <c r="A307" s="171" t="s">
        <v>1557</v>
      </c>
      <c r="B307" s="172" t="s">
        <v>1257</v>
      </c>
      <c r="C307" s="171" t="s">
        <v>1434</v>
      </c>
      <c r="D307" s="173">
        <v>41540</v>
      </c>
      <c r="E307" s="174">
        <v>8</v>
      </c>
      <c r="F307" s="175">
        <v>84936</v>
      </c>
      <c r="G307" s="172">
        <v>4</v>
      </c>
      <c r="H307" s="176">
        <f t="shared" si="4"/>
        <v>1500</v>
      </c>
      <c r="I307" s="80" cm="1">
        <f t="array" ref="I307">_xlfn.IFS(G307=$K$4,$L$4, G307=$K$5,$L$5, G307=$K$6,$L$6,G307=$K$7,$L$7, G307=$K$8,$L$8)</f>
        <v>1500</v>
      </c>
      <c r="J307" s="80"/>
    </row>
    <row r="308" spans="1:10">
      <c r="A308" s="171" t="s">
        <v>1558</v>
      </c>
      <c r="B308" s="172" t="s">
        <v>1257</v>
      </c>
      <c r="C308" s="171" t="s">
        <v>1434</v>
      </c>
      <c r="D308" s="173">
        <v>41547</v>
      </c>
      <c r="E308" s="174">
        <v>8</v>
      </c>
      <c r="F308" s="175">
        <v>42514</v>
      </c>
      <c r="G308" s="172">
        <v>4</v>
      </c>
      <c r="H308" s="176">
        <f t="shared" si="4"/>
        <v>1500</v>
      </c>
      <c r="I308" s="80" cm="1">
        <f t="array" ref="I308">_xlfn.IFS(G308=$K$4,$L$4, G308=$K$5,$L$5, G308=$K$6,$L$6,G308=$K$7,$L$7, G308=$K$8,$L$8)</f>
        <v>1500</v>
      </c>
      <c r="J308" s="80"/>
    </row>
    <row r="309" spans="1:10">
      <c r="A309" s="171" t="s">
        <v>1559</v>
      </c>
      <c r="B309" s="172" t="s">
        <v>1255</v>
      </c>
      <c r="C309" s="171" t="s">
        <v>1434</v>
      </c>
      <c r="D309" s="173">
        <v>41551</v>
      </c>
      <c r="E309" s="174">
        <v>8</v>
      </c>
      <c r="F309" s="175">
        <v>68976</v>
      </c>
      <c r="G309" s="172">
        <v>5</v>
      </c>
      <c r="H309" s="176">
        <f t="shared" si="4"/>
        <v>3000</v>
      </c>
      <c r="I309" s="80" cm="1">
        <f t="array" ref="I309">_xlfn.IFS(G309=$K$4,$L$4, G309=$K$5,$L$5, G309=$K$6,$L$6,G309=$K$7,$L$7, G309=$K$8,$L$8)</f>
        <v>3000</v>
      </c>
      <c r="J309" s="80"/>
    </row>
    <row r="310" spans="1:10">
      <c r="A310" s="171" t="s">
        <v>1560</v>
      </c>
      <c r="B310" s="172" t="s">
        <v>1255</v>
      </c>
      <c r="C310" s="171" t="s">
        <v>1434</v>
      </c>
      <c r="D310" s="173">
        <v>41552</v>
      </c>
      <c r="E310" s="174">
        <v>8</v>
      </c>
      <c r="F310" s="175">
        <v>100625</v>
      </c>
      <c r="G310" s="172">
        <v>4</v>
      </c>
      <c r="H310" s="176">
        <f t="shared" si="4"/>
        <v>1500</v>
      </c>
      <c r="I310" s="80" cm="1">
        <f t="array" ref="I310">_xlfn.IFS(G310=$K$4,$L$4, G310=$K$5,$L$5, G310=$K$6,$L$6,G310=$K$7,$L$7, G310=$K$8,$L$8)</f>
        <v>1500</v>
      </c>
      <c r="J310" s="80"/>
    </row>
    <row r="311" spans="1:10">
      <c r="A311" s="171" t="s">
        <v>1561</v>
      </c>
      <c r="B311" s="172" t="s">
        <v>105</v>
      </c>
      <c r="C311" s="171" t="s">
        <v>1434</v>
      </c>
      <c r="D311" s="173">
        <v>40079</v>
      </c>
      <c r="E311" s="174">
        <v>12</v>
      </c>
      <c r="F311" s="175">
        <v>71207</v>
      </c>
      <c r="G311" s="172">
        <v>3</v>
      </c>
      <c r="H311" s="176">
        <f t="shared" si="4"/>
        <v>900</v>
      </c>
      <c r="I311" s="80" cm="1">
        <f t="array" ref="I311">_xlfn.IFS(G311=$K$4,$L$4, G311=$K$5,$L$5, G311=$K$6,$L$6,G311=$K$7,$L$7, G311=$K$8,$L$8)</f>
        <v>900</v>
      </c>
      <c r="J311" s="80"/>
    </row>
    <row r="312" spans="1:10">
      <c r="A312" s="171" t="s">
        <v>1562</v>
      </c>
      <c r="B312" s="172" t="s">
        <v>120</v>
      </c>
      <c r="C312" s="171" t="s">
        <v>1434</v>
      </c>
      <c r="D312" s="173">
        <v>37162</v>
      </c>
      <c r="E312" s="174">
        <v>20</v>
      </c>
      <c r="F312" s="175">
        <v>74177</v>
      </c>
      <c r="G312" s="172">
        <v>4</v>
      </c>
      <c r="H312" s="176">
        <f t="shared" si="4"/>
        <v>1500</v>
      </c>
      <c r="I312" s="80" cm="1">
        <f t="array" ref="I312">_xlfn.IFS(G312=$K$4,$L$4, G312=$K$5,$L$5, G312=$K$6,$L$6,G312=$K$7,$L$7, G312=$K$8,$L$8)</f>
        <v>1500</v>
      </c>
      <c r="J312" s="80"/>
    </row>
    <row r="313" spans="1:10">
      <c r="A313" s="171" t="s">
        <v>1563</v>
      </c>
      <c r="B313" s="172" t="s">
        <v>105</v>
      </c>
      <c r="C313" s="171" t="s">
        <v>1434</v>
      </c>
      <c r="D313" s="173">
        <v>37522</v>
      </c>
      <c r="E313" s="174">
        <v>19</v>
      </c>
      <c r="F313" s="175">
        <v>110056</v>
      </c>
      <c r="G313" s="172">
        <v>3</v>
      </c>
      <c r="H313" s="176">
        <f t="shared" si="4"/>
        <v>900</v>
      </c>
      <c r="I313" s="80" cm="1">
        <f t="array" ref="I313">_xlfn.IFS(G313=$K$4,$L$4, G313=$K$5,$L$5, G313=$K$6,$L$6,G313=$K$7,$L$7, G313=$K$8,$L$8)</f>
        <v>900</v>
      </c>
      <c r="J313" s="80"/>
    </row>
    <row r="314" spans="1:10">
      <c r="A314" s="171" t="s">
        <v>1564</v>
      </c>
      <c r="B314" s="172" t="s">
        <v>1257</v>
      </c>
      <c r="C314" s="171" t="s">
        <v>1434</v>
      </c>
      <c r="D314" s="173">
        <v>37533</v>
      </c>
      <c r="E314" s="174">
        <v>19</v>
      </c>
      <c r="F314" s="175">
        <v>123134</v>
      </c>
      <c r="G314" s="172">
        <v>4</v>
      </c>
      <c r="H314" s="176">
        <f t="shared" si="4"/>
        <v>1500</v>
      </c>
      <c r="I314" s="80" cm="1">
        <f t="array" ref="I314">_xlfn.IFS(G314=$K$4,$L$4, G314=$K$5,$L$5, G314=$K$6,$L$6,G314=$K$7,$L$7, G314=$K$8,$L$8)</f>
        <v>1500</v>
      </c>
      <c r="J314" s="80"/>
    </row>
    <row r="315" spans="1:10">
      <c r="A315" s="171" t="s">
        <v>1565</v>
      </c>
      <c r="B315" s="172" t="s">
        <v>1255</v>
      </c>
      <c r="C315" s="171" t="s">
        <v>1434</v>
      </c>
      <c r="D315" s="173">
        <v>38977</v>
      </c>
      <c r="E315" s="174">
        <v>15</v>
      </c>
      <c r="F315" s="175">
        <v>57193</v>
      </c>
      <c r="G315" s="172">
        <v>5</v>
      </c>
      <c r="H315" s="176">
        <f t="shared" si="4"/>
        <v>3000</v>
      </c>
      <c r="I315" s="80" cm="1">
        <f t="array" ref="I315">_xlfn.IFS(G315=$K$4,$L$4, G315=$K$5,$L$5, G315=$K$6,$L$6,G315=$K$7,$L$7, G315=$K$8,$L$8)</f>
        <v>3000</v>
      </c>
      <c r="J315" s="80"/>
    </row>
    <row r="316" spans="1:10">
      <c r="A316" s="171" t="s">
        <v>1566</v>
      </c>
      <c r="B316" s="172" t="s">
        <v>105</v>
      </c>
      <c r="C316" s="171" t="s">
        <v>1434</v>
      </c>
      <c r="D316" s="173">
        <v>39367</v>
      </c>
      <c r="E316" s="174">
        <v>14</v>
      </c>
      <c r="F316" s="175">
        <v>48168</v>
      </c>
      <c r="G316" s="172">
        <v>3</v>
      </c>
      <c r="H316" s="176">
        <f t="shared" si="4"/>
        <v>900</v>
      </c>
      <c r="I316" s="80" cm="1">
        <f t="array" ref="I316">_xlfn.IFS(G316=$K$4,$L$4, G316=$K$5,$L$5, G316=$K$6,$L$6,G316=$K$7,$L$7, G316=$K$8,$L$8)</f>
        <v>900</v>
      </c>
      <c r="J316" s="80"/>
    </row>
    <row r="317" spans="1:10">
      <c r="A317" s="171" t="s">
        <v>1567</v>
      </c>
      <c r="B317" s="172" t="s">
        <v>1255</v>
      </c>
      <c r="C317" s="171" t="s">
        <v>1434</v>
      </c>
      <c r="D317" s="173">
        <v>40825</v>
      </c>
      <c r="E317" s="174">
        <v>10</v>
      </c>
      <c r="F317" s="175">
        <v>118550</v>
      </c>
      <c r="G317" s="172">
        <v>4</v>
      </c>
      <c r="H317" s="176">
        <f t="shared" si="4"/>
        <v>1500</v>
      </c>
      <c r="I317" s="80" cm="1">
        <f t="array" ref="I317">_xlfn.IFS(G317=$K$4,$L$4, G317=$K$5,$L$5, G317=$K$6,$L$6,G317=$K$7,$L$7, G317=$K$8,$L$8)</f>
        <v>1500</v>
      </c>
      <c r="J317" s="80"/>
    </row>
    <row r="318" spans="1:10">
      <c r="A318" s="171" t="s">
        <v>1568</v>
      </c>
      <c r="B318" s="172" t="s">
        <v>1257</v>
      </c>
      <c r="C318" s="171" t="s">
        <v>1434</v>
      </c>
      <c r="D318" s="173">
        <v>41548</v>
      </c>
      <c r="E318" s="174">
        <v>8</v>
      </c>
      <c r="F318" s="175">
        <v>56533</v>
      </c>
      <c r="G318" s="172">
        <v>1</v>
      </c>
      <c r="H318" s="176">
        <f t="shared" si="4"/>
        <v>0</v>
      </c>
      <c r="I318" s="80" cm="1">
        <f t="array" ref="I318">_xlfn.IFS(G318=$K$4,$L$4, G318=$K$5,$L$5, G318=$K$6,$L$6,G318=$K$7,$L$7, G318=$K$8,$L$8)</f>
        <v>0</v>
      </c>
      <c r="J318" s="80"/>
    </row>
    <row r="319" spans="1:10">
      <c r="A319" s="171" t="s">
        <v>1569</v>
      </c>
      <c r="B319" s="172" t="s">
        <v>105</v>
      </c>
      <c r="C319" s="171" t="s">
        <v>1434</v>
      </c>
      <c r="D319" s="173">
        <v>40481</v>
      </c>
      <c r="E319" s="174">
        <v>11</v>
      </c>
      <c r="F319" s="175">
        <v>113370</v>
      </c>
      <c r="G319" s="172">
        <v>2</v>
      </c>
      <c r="H319" s="176">
        <f t="shared" si="4"/>
        <v>100</v>
      </c>
      <c r="I319" s="80" cm="1">
        <f t="array" ref="I319">_xlfn.IFS(G319=$K$4,$L$4, G319=$K$5,$L$5, G319=$K$6,$L$6,G319=$K$7,$L$7, G319=$K$8,$L$8)</f>
        <v>100</v>
      </c>
      <c r="J319" s="80"/>
    </row>
    <row r="320" spans="1:10">
      <c r="A320" s="171" t="s">
        <v>1570</v>
      </c>
      <c r="B320" s="172" t="s">
        <v>129</v>
      </c>
      <c r="C320" s="171" t="s">
        <v>1434</v>
      </c>
      <c r="D320" s="173">
        <v>40485</v>
      </c>
      <c r="E320" s="174">
        <v>11</v>
      </c>
      <c r="F320" s="175">
        <v>42407</v>
      </c>
      <c r="G320" s="172">
        <v>5</v>
      </c>
      <c r="H320" s="176">
        <f t="shared" si="4"/>
        <v>3000</v>
      </c>
      <c r="I320" s="80" cm="1">
        <f t="array" ref="I320">_xlfn.IFS(G320=$K$4,$L$4, G320=$K$5,$L$5, G320=$K$6,$L$6,G320=$K$7,$L$7, G320=$K$8,$L$8)</f>
        <v>3000</v>
      </c>
      <c r="J320" s="80"/>
    </row>
    <row r="321" spans="1:10">
      <c r="A321" s="171" t="s">
        <v>1571</v>
      </c>
      <c r="B321" s="172" t="s">
        <v>1257</v>
      </c>
      <c r="C321" s="171" t="s">
        <v>1434</v>
      </c>
      <c r="D321" s="173">
        <v>41570</v>
      </c>
      <c r="E321" s="174">
        <v>8</v>
      </c>
      <c r="F321" s="175">
        <v>47350</v>
      </c>
      <c r="G321" s="172">
        <v>2</v>
      </c>
      <c r="H321" s="176">
        <f t="shared" si="4"/>
        <v>100</v>
      </c>
      <c r="I321" s="80" cm="1">
        <f t="array" ref="I321">_xlfn.IFS(G321=$K$4,$L$4, G321=$K$5,$L$5, G321=$K$6,$L$6,G321=$K$7,$L$7, G321=$K$8,$L$8)</f>
        <v>100</v>
      </c>
      <c r="J321" s="80"/>
    </row>
    <row r="322" spans="1:10">
      <c r="A322" s="171" t="s">
        <v>1572</v>
      </c>
      <c r="B322" s="172" t="s">
        <v>1257</v>
      </c>
      <c r="C322" s="171" t="s">
        <v>1434</v>
      </c>
      <c r="D322" s="173">
        <v>37179</v>
      </c>
      <c r="E322" s="174">
        <v>20</v>
      </c>
      <c r="F322" s="175">
        <v>43983</v>
      </c>
      <c r="G322" s="172">
        <v>5</v>
      </c>
      <c r="H322" s="176">
        <f t="shared" si="4"/>
        <v>3000</v>
      </c>
      <c r="I322" s="80" cm="1">
        <f t="array" ref="I322">_xlfn.IFS(G322=$K$4,$L$4, G322=$K$5,$L$5, G322=$K$6,$L$6,G322=$K$7,$L$7, G322=$K$8,$L$8)</f>
        <v>3000</v>
      </c>
      <c r="J322" s="80"/>
    </row>
    <row r="323" spans="1:10">
      <c r="A323" s="171" t="s">
        <v>1573</v>
      </c>
      <c r="B323" s="172" t="s">
        <v>105</v>
      </c>
      <c r="C323" s="171" t="s">
        <v>1434</v>
      </c>
      <c r="D323" s="173">
        <v>37200</v>
      </c>
      <c r="E323" s="174">
        <v>20</v>
      </c>
      <c r="F323" s="175">
        <v>123099</v>
      </c>
      <c r="G323" s="172">
        <v>2</v>
      </c>
      <c r="H323" s="176">
        <f t="shared" ref="H323:H343" si="5">IF(G323=$K$4,$L$4,IF(G323=$K$5,$L$5,IF(G323=$K$6,$L$6,IF(G323=$K$7,$L$7,IF(G323=$K$8,$L$8)))))</f>
        <v>100</v>
      </c>
      <c r="I323" s="80" cm="1">
        <f t="array" ref="I323">_xlfn.IFS(G323=$K$4,$L$4, G323=$K$5,$L$5, G323=$K$6,$L$6,G323=$K$7,$L$7, G323=$K$8,$L$8)</f>
        <v>100</v>
      </c>
      <c r="J323" s="80"/>
    </row>
    <row r="324" spans="1:10">
      <c r="A324" s="171" t="s">
        <v>1574</v>
      </c>
      <c r="B324" s="172" t="s">
        <v>1255</v>
      </c>
      <c r="C324" s="171" t="s">
        <v>1434</v>
      </c>
      <c r="D324" s="173">
        <v>39014</v>
      </c>
      <c r="E324" s="174">
        <v>15</v>
      </c>
      <c r="F324" s="175">
        <v>95555</v>
      </c>
      <c r="G324" s="172">
        <v>5</v>
      </c>
      <c r="H324" s="176">
        <f t="shared" si="5"/>
        <v>3000</v>
      </c>
      <c r="I324" s="80" cm="1">
        <f t="array" ref="I324">_xlfn.IFS(G324=$K$4,$L$4, G324=$K$5,$L$5, G324=$K$6,$L$6,G324=$K$7,$L$7, G324=$K$8,$L$8)</f>
        <v>3000</v>
      </c>
      <c r="J324" s="80"/>
    </row>
    <row r="325" spans="1:10">
      <c r="A325" s="171" t="s">
        <v>1575</v>
      </c>
      <c r="B325" s="172" t="s">
        <v>1257</v>
      </c>
      <c r="C325" s="171" t="s">
        <v>1434</v>
      </c>
      <c r="D325" s="173">
        <v>39021</v>
      </c>
      <c r="E325" s="174">
        <v>15</v>
      </c>
      <c r="F325" s="175">
        <v>69335</v>
      </c>
      <c r="G325" s="172">
        <v>3</v>
      </c>
      <c r="H325" s="176">
        <f t="shared" si="5"/>
        <v>900</v>
      </c>
      <c r="I325" s="80" cm="1">
        <f t="array" ref="I325">_xlfn.IFS(G325=$K$4,$L$4, G325=$K$5,$L$5, G325=$K$6,$L$6,G325=$K$7,$L$7, G325=$K$8,$L$8)</f>
        <v>900</v>
      </c>
      <c r="J325" s="80"/>
    </row>
    <row r="326" spans="1:10">
      <c r="A326" s="171" t="s">
        <v>1576</v>
      </c>
      <c r="B326" s="172" t="s">
        <v>129</v>
      </c>
      <c r="C326" s="171" t="s">
        <v>1434</v>
      </c>
      <c r="D326" s="173">
        <v>39399</v>
      </c>
      <c r="E326" s="174">
        <v>14</v>
      </c>
      <c r="F326" s="175">
        <v>45405</v>
      </c>
      <c r="G326" s="172">
        <v>4</v>
      </c>
      <c r="H326" s="176">
        <f t="shared" si="5"/>
        <v>1500</v>
      </c>
      <c r="I326" s="80" cm="1">
        <f t="array" ref="I326">_xlfn.IFS(G326=$K$4,$L$4, G326=$K$5,$L$5, G326=$K$6,$L$6,G326=$K$7,$L$7, G326=$K$8,$L$8)</f>
        <v>1500</v>
      </c>
      <c r="J326" s="80"/>
    </row>
    <row r="327" spans="1:10">
      <c r="A327" s="171" t="s">
        <v>1577</v>
      </c>
      <c r="B327" s="172" t="s">
        <v>1255</v>
      </c>
      <c r="C327" s="171" t="s">
        <v>1434</v>
      </c>
      <c r="D327" s="173">
        <v>39399</v>
      </c>
      <c r="E327" s="174">
        <v>14</v>
      </c>
      <c r="F327" s="175">
        <v>45873</v>
      </c>
      <c r="G327" s="172">
        <v>1</v>
      </c>
      <c r="H327" s="176">
        <f t="shared" si="5"/>
        <v>0</v>
      </c>
      <c r="I327" s="80" cm="1">
        <f t="array" ref="I327">_xlfn.IFS(G327=$K$4,$L$4, G327=$K$5,$L$5, G327=$K$6,$L$6,G327=$K$7,$L$7, G327=$K$8,$L$8)</f>
        <v>0</v>
      </c>
      <c r="J327" s="80"/>
    </row>
    <row r="328" spans="1:10">
      <c r="A328" s="171" t="s">
        <v>1578</v>
      </c>
      <c r="B328" s="172" t="s">
        <v>129</v>
      </c>
      <c r="C328" s="171" t="s">
        <v>1434</v>
      </c>
      <c r="D328" s="173">
        <v>40838</v>
      </c>
      <c r="E328" s="174">
        <v>10</v>
      </c>
      <c r="F328" s="175">
        <v>117677</v>
      </c>
      <c r="G328" s="172">
        <v>5</v>
      </c>
      <c r="H328" s="176">
        <f t="shared" si="5"/>
        <v>3000</v>
      </c>
      <c r="I328" s="80" cm="1">
        <f t="array" ref="I328">_xlfn.IFS(G328=$K$4,$L$4, G328=$K$5,$L$5, G328=$K$6,$L$6,G328=$K$7,$L$7, G328=$K$8,$L$8)</f>
        <v>3000</v>
      </c>
      <c r="J328" s="80"/>
    </row>
    <row r="329" spans="1:10">
      <c r="A329" s="171" t="s">
        <v>1579</v>
      </c>
      <c r="B329" s="172" t="s">
        <v>1257</v>
      </c>
      <c r="C329" s="171" t="s">
        <v>1434</v>
      </c>
      <c r="D329" s="173">
        <v>40468</v>
      </c>
      <c r="E329" s="174">
        <v>11</v>
      </c>
      <c r="F329" s="175">
        <v>49740</v>
      </c>
      <c r="G329" s="172">
        <v>5</v>
      </c>
      <c r="H329" s="176">
        <f t="shared" si="5"/>
        <v>3000</v>
      </c>
      <c r="I329" s="80" cm="1">
        <f t="array" ref="I329">_xlfn.IFS(G329=$K$4,$L$4, G329=$K$5,$L$5, G329=$K$6,$L$6,G329=$K$7,$L$7, G329=$K$8,$L$8)</f>
        <v>3000</v>
      </c>
      <c r="J329" s="80"/>
    </row>
    <row r="330" spans="1:10">
      <c r="A330" s="171" t="s">
        <v>1580</v>
      </c>
      <c r="B330" s="172" t="s">
        <v>1255</v>
      </c>
      <c r="C330" s="171" t="s">
        <v>1434</v>
      </c>
      <c r="D330" s="173">
        <v>40863</v>
      </c>
      <c r="E330" s="174">
        <v>10</v>
      </c>
      <c r="F330" s="175">
        <v>83005</v>
      </c>
      <c r="G330" s="172">
        <v>3</v>
      </c>
      <c r="H330" s="176">
        <f t="shared" si="5"/>
        <v>900</v>
      </c>
      <c r="I330" s="80" cm="1">
        <f t="array" ref="I330">_xlfn.IFS(G330=$K$4,$L$4, G330=$K$5,$L$5, G330=$K$6,$L$6,G330=$K$7,$L$7, G330=$K$8,$L$8)</f>
        <v>900</v>
      </c>
      <c r="J330" s="80"/>
    </row>
    <row r="331" spans="1:10">
      <c r="A331" s="171" t="s">
        <v>1581</v>
      </c>
      <c r="B331" s="172" t="s">
        <v>1257</v>
      </c>
      <c r="C331" s="171" t="s">
        <v>1434</v>
      </c>
      <c r="D331" s="173">
        <v>37581</v>
      </c>
      <c r="E331" s="174">
        <v>19</v>
      </c>
      <c r="F331" s="175">
        <v>59808</v>
      </c>
      <c r="G331" s="172">
        <v>1</v>
      </c>
      <c r="H331" s="176">
        <f t="shared" si="5"/>
        <v>0</v>
      </c>
      <c r="I331" s="80" cm="1">
        <f t="array" ref="I331">_xlfn.IFS(G331=$K$4,$L$4, G331=$K$5,$L$5, G331=$K$6,$L$6,G331=$K$7,$L$7, G331=$K$8,$L$8)</f>
        <v>0</v>
      </c>
      <c r="J331" s="80"/>
    </row>
    <row r="332" spans="1:10">
      <c r="A332" s="171" t="s">
        <v>1582</v>
      </c>
      <c r="B332" s="172" t="s">
        <v>120</v>
      </c>
      <c r="C332" s="171" t="s">
        <v>1434</v>
      </c>
      <c r="D332" s="173">
        <v>38307</v>
      </c>
      <c r="E332" s="174">
        <v>17</v>
      </c>
      <c r="F332" s="175">
        <v>74514</v>
      </c>
      <c r="G332" s="172">
        <v>4</v>
      </c>
      <c r="H332" s="176">
        <f t="shared" si="5"/>
        <v>1500</v>
      </c>
      <c r="I332" s="80" cm="1">
        <f t="array" ref="I332">_xlfn.IFS(G332=$K$4,$L$4, G332=$K$5,$L$5, G332=$K$6,$L$6,G332=$K$7,$L$7, G332=$K$8,$L$8)</f>
        <v>1500</v>
      </c>
      <c r="J332" s="80"/>
    </row>
    <row r="333" spans="1:10">
      <c r="A333" s="171" t="s">
        <v>1583</v>
      </c>
      <c r="B333" s="172" t="s">
        <v>105</v>
      </c>
      <c r="C333" s="171" t="s">
        <v>1434</v>
      </c>
      <c r="D333" s="173">
        <v>38698</v>
      </c>
      <c r="E333" s="174">
        <v>16</v>
      </c>
      <c r="F333" s="175">
        <v>103603</v>
      </c>
      <c r="G333" s="172">
        <v>1</v>
      </c>
      <c r="H333" s="176">
        <f t="shared" si="5"/>
        <v>0</v>
      </c>
      <c r="I333" s="80" cm="1">
        <f t="array" ref="I333">_xlfn.IFS(G333=$K$4,$L$4, G333=$K$5,$L$5, G333=$K$6,$L$6,G333=$K$7,$L$7, G333=$K$8,$L$8)</f>
        <v>0</v>
      </c>
      <c r="J333" s="80"/>
    </row>
    <row r="334" spans="1:10">
      <c r="A334" s="171" t="s">
        <v>1584</v>
      </c>
      <c r="B334" s="172" t="s">
        <v>1255</v>
      </c>
      <c r="C334" s="171" t="s">
        <v>1434</v>
      </c>
      <c r="D334" s="173">
        <v>41253</v>
      </c>
      <c r="E334" s="174">
        <v>9</v>
      </c>
      <c r="F334" s="175">
        <v>126627</v>
      </c>
      <c r="G334" s="172">
        <v>2</v>
      </c>
      <c r="H334" s="176">
        <f t="shared" si="5"/>
        <v>100</v>
      </c>
      <c r="I334" s="80" cm="1">
        <f t="array" ref="I334">_xlfn.IFS(G334=$K$4,$L$4, G334=$K$5,$L$5, G334=$K$6,$L$6,G334=$K$7,$L$7, G334=$K$8,$L$8)</f>
        <v>100</v>
      </c>
      <c r="J334" s="80"/>
    </row>
    <row r="335" spans="1:10">
      <c r="A335" s="171" t="s">
        <v>1585</v>
      </c>
      <c r="B335" s="172" t="s">
        <v>1255</v>
      </c>
      <c r="C335" s="171" t="s">
        <v>1586</v>
      </c>
      <c r="D335" s="173">
        <v>41370</v>
      </c>
      <c r="E335" s="174">
        <v>8</v>
      </c>
      <c r="F335" s="175">
        <v>110756</v>
      </c>
      <c r="G335" s="172">
        <v>2</v>
      </c>
      <c r="H335" s="176">
        <f t="shared" si="5"/>
        <v>100</v>
      </c>
      <c r="I335" s="80" cm="1">
        <f t="array" ref="I335">_xlfn.IFS(G335=$K$4,$L$4, G335=$K$5,$L$5, G335=$K$6,$L$6,G335=$K$7,$L$7, G335=$K$8,$L$8)</f>
        <v>100</v>
      </c>
      <c r="J335" s="80"/>
    </row>
    <row r="336" spans="1:10">
      <c r="A336" s="171" t="s">
        <v>1587</v>
      </c>
      <c r="B336" s="172" t="s">
        <v>1254</v>
      </c>
      <c r="C336" s="171" t="s">
        <v>1586</v>
      </c>
      <c r="D336" s="173">
        <v>38485</v>
      </c>
      <c r="E336" s="174">
        <v>16</v>
      </c>
      <c r="F336" s="175">
        <v>103260</v>
      </c>
      <c r="G336" s="172">
        <v>5</v>
      </c>
      <c r="H336" s="176">
        <f t="shared" si="5"/>
        <v>3000</v>
      </c>
      <c r="I336" s="80" cm="1">
        <f t="array" ref="I336">_xlfn.IFS(G336=$K$4,$L$4, G336=$K$5,$L$5, G336=$K$6,$L$6,G336=$K$7,$L$7, G336=$K$8,$L$8)</f>
        <v>3000</v>
      </c>
      <c r="J336" s="80"/>
    </row>
    <row r="337" spans="1:10">
      <c r="A337" s="171" t="s">
        <v>1588</v>
      </c>
      <c r="B337" s="172" t="s">
        <v>1255</v>
      </c>
      <c r="C337" s="171" t="s">
        <v>1586</v>
      </c>
      <c r="D337" s="173">
        <v>41391</v>
      </c>
      <c r="E337" s="174">
        <v>8</v>
      </c>
      <c r="F337" s="175">
        <v>61640</v>
      </c>
      <c r="G337" s="172">
        <v>5</v>
      </c>
      <c r="H337" s="176">
        <f t="shared" si="5"/>
        <v>3000</v>
      </c>
      <c r="I337" s="80" cm="1">
        <f t="array" ref="I337">_xlfn.IFS(G337=$K$4,$L$4, G337=$K$5,$L$5, G337=$K$6,$L$6,G337=$K$7,$L$7, G337=$K$8,$L$8)</f>
        <v>3000</v>
      </c>
      <c r="J337" s="80"/>
    </row>
    <row r="338" spans="1:10">
      <c r="A338" s="171" t="s">
        <v>1589</v>
      </c>
      <c r="B338" s="172" t="s">
        <v>120</v>
      </c>
      <c r="C338" s="171" t="s">
        <v>1586</v>
      </c>
      <c r="D338" s="173">
        <v>42215</v>
      </c>
      <c r="E338" s="174">
        <v>6</v>
      </c>
      <c r="F338" s="175">
        <v>111408</v>
      </c>
      <c r="G338" s="172">
        <v>3</v>
      </c>
      <c r="H338" s="176">
        <f t="shared" si="5"/>
        <v>900</v>
      </c>
      <c r="I338" s="80" cm="1">
        <f t="array" ref="I338">_xlfn.IFS(G338=$K$4,$L$4, G338=$K$5,$L$5, G338=$K$6,$L$6,G338=$K$7,$L$7, G338=$K$8,$L$8)</f>
        <v>900</v>
      </c>
      <c r="J338" s="80"/>
    </row>
    <row r="339" spans="1:10">
      <c r="A339" s="171" t="s">
        <v>1590</v>
      </c>
      <c r="B339" s="172" t="s">
        <v>105</v>
      </c>
      <c r="C339" s="171" t="s">
        <v>1586</v>
      </c>
      <c r="D339" s="173">
        <v>37843</v>
      </c>
      <c r="E339" s="174">
        <v>18</v>
      </c>
      <c r="F339" s="175">
        <v>44469</v>
      </c>
      <c r="G339" s="172">
        <v>4</v>
      </c>
      <c r="H339" s="176">
        <f t="shared" si="5"/>
        <v>1500</v>
      </c>
      <c r="I339" s="80" cm="1">
        <f t="array" ref="I339">_xlfn.IFS(G339=$K$4,$L$4, G339=$K$5,$L$5, G339=$K$6,$L$6,G339=$K$7,$L$7, G339=$K$8,$L$8)</f>
        <v>1500</v>
      </c>
      <c r="J339" s="80"/>
    </row>
    <row r="340" spans="1:10">
      <c r="A340" s="171" t="s">
        <v>1591</v>
      </c>
      <c r="B340" s="172" t="s">
        <v>129</v>
      </c>
      <c r="C340" s="171" t="s">
        <v>1586</v>
      </c>
      <c r="D340" s="173">
        <v>39014</v>
      </c>
      <c r="E340" s="174">
        <v>15</v>
      </c>
      <c r="F340" s="175">
        <v>115240</v>
      </c>
      <c r="G340" s="172">
        <v>2</v>
      </c>
      <c r="H340" s="176">
        <f t="shared" si="5"/>
        <v>100</v>
      </c>
      <c r="I340" s="80" cm="1">
        <f t="array" ref="I340">_xlfn.IFS(G340=$K$4,$L$4, G340=$K$5,$L$5, G340=$K$6,$L$6,G340=$K$7,$L$7, G340=$K$8,$L$8)</f>
        <v>100</v>
      </c>
      <c r="J340" s="80"/>
    </row>
    <row r="341" spans="1:10">
      <c r="A341" s="171" t="s">
        <v>1592</v>
      </c>
      <c r="B341" s="172" t="s">
        <v>105</v>
      </c>
      <c r="C341" s="171" t="s">
        <v>1586</v>
      </c>
      <c r="D341" s="173">
        <v>40116</v>
      </c>
      <c r="E341" s="174">
        <v>12</v>
      </c>
      <c r="F341" s="175">
        <v>93239</v>
      </c>
      <c r="G341" s="172">
        <v>4</v>
      </c>
      <c r="H341" s="176">
        <f t="shared" si="5"/>
        <v>1500</v>
      </c>
      <c r="I341" s="80" cm="1">
        <f t="array" ref="I341">_xlfn.IFS(G341=$K$4,$L$4, G341=$K$5,$L$5, G341=$K$6,$L$6,G341=$K$7,$L$7, G341=$K$8,$L$8)</f>
        <v>1500</v>
      </c>
      <c r="J341" s="80"/>
    </row>
    <row r="342" spans="1:10">
      <c r="A342" s="171" t="s">
        <v>1593</v>
      </c>
      <c r="B342" s="172" t="s">
        <v>120</v>
      </c>
      <c r="C342" s="171" t="s">
        <v>1185</v>
      </c>
      <c r="D342" s="173">
        <v>41630</v>
      </c>
      <c r="E342" s="174">
        <v>8</v>
      </c>
      <c r="F342" s="175">
        <v>123209</v>
      </c>
      <c r="G342" s="172">
        <v>4</v>
      </c>
      <c r="H342" s="176">
        <f t="shared" si="5"/>
        <v>1500</v>
      </c>
      <c r="I342" s="80" cm="1">
        <f t="array" ref="I342">_xlfn.IFS(G342=$K$4,$L$4, G342=$K$5,$L$5, G342=$K$6,$L$6,G342=$K$7,$L$7, G342=$K$8,$L$8)</f>
        <v>1500</v>
      </c>
      <c r="J342" s="80"/>
    </row>
    <row r="343" spans="1:10">
      <c r="A343" s="171" t="s">
        <v>1594</v>
      </c>
      <c r="B343" s="172" t="s">
        <v>129</v>
      </c>
      <c r="C343" s="171" t="s">
        <v>1185</v>
      </c>
      <c r="D343" s="173">
        <v>41989</v>
      </c>
      <c r="E343" s="174">
        <v>7</v>
      </c>
      <c r="F343" s="175">
        <v>105769</v>
      </c>
      <c r="G343" s="172">
        <v>3</v>
      </c>
      <c r="H343" s="176">
        <f t="shared" si="5"/>
        <v>900</v>
      </c>
      <c r="I343" s="80" cm="1">
        <f t="array" ref="I343">_xlfn.IFS(G343=$K$4,$L$4, G343=$K$5,$L$5, G343=$K$6,$L$6,G343=$K$7,$L$7, G343=$K$8,$L$8)</f>
        <v>900</v>
      </c>
      <c r="J343" s="80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1F9A-94F8-47D7-A90D-7408C6F557DC}">
  <dimension ref="A1:M23"/>
  <sheetViews>
    <sheetView workbookViewId="0">
      <selection activeCell="K13" sqref="K13:K14"/>
    </sheetView>
  </sheetViews>
  <sheetFormatPr defaultRowHeight="14.5"/>
  <cols>
    <col min="1" max="1" width="11.453125" customWidth="1"/>
    <col min="2" max="2" width="10.6328125" customWidth="1"/>
    <col min="3" max="3" width="14.6328125" customWidth="1"/>
    <col min="4" max="4" width="11.6328125" customWidth="1"/>
    <col min="6" max="6" width="11.453125" customWidth="1"/>
    <col min="9" max="9" width="11.453125" customWidth="1"/>
  </cols>
  <sheetData>
    <row r="1" spans="1:13" ht="21.5">
      <c r="A1" s="179" t="s">
        <v>1595</v>
      </c>
      <c r="B1" s="179"/>
      <c r="C1" s="179"/>
      <c r="D1" s="179"/>
      <c r="E1" s="179"/>
      <c r="F1" s="179"/>
      <c r="G1" s="179"/>
      <c r="H1" s="179"/>
      <c r="I1" s="179"/>
      <c r="J1" s="179"/>
    </row>
    <row r="2" spans="1:13">
      <c r="A2" s="180" t="s">
        <v>1596</v>
      </c>
      <c r="B2" s="180" t="s">
        <v>1597</v>
      </c>
      <c r="C2" s="180" t="s">
        <v>1086</v>
      </c>
      <c r="D2" s="180" t="s">
        <v>7</v>
      </c>
      <c r="F2" s="234" t="s">
        <v>1598</v>
      </c>
      <c r="G2" s="235"/>
      <c r="H2" s="236"/>
      <c r="I2" s="181" t="s">
        <v>1599</v>
      </c>
    </row>
    <row r="3" spans="1:13" ht="15.5">
      <c r="A3" s="157" t="s">
        <v>1600</v>
      </c>
      <c r="B3" s="157" t="s">
        <v>1601</v>
      </c>
      <c r="C3" s="157" t="s">
        <v>1602</v>
      </c>
      <c r="D3" s="182">
        <v>7270</v>
      </c>
      <c r="F3" s="180" t="s">
        <v>1603</v>
      </c>
      <c r="G3" s="183"/>
      <c r="H3" s="157"/>
      <c r="I3" s="188">
        <f>SUMIF(B3:B14,B4,D3:D14)</f>
        <v>44953</v>
      </c>
      <c r="K3" s="184" t="s">
        <v>1604</v>
      </c>
    </row>
    <row r="4" spans="1:13" ht="15.5">
      <c r="A4" s="157" t="s">
        <v>1605</v>
      </c>
      <c r="B4" s="157" t="s">
        <v>1603</v>
      </c>
      <c r="C4" s="157" t="s">
        <v>1606</v>
      </c>
      <c r="D4" s="182">
        <v>9250</v>
      </c>
      <c r="F4" s="180" t="s">
        <v>1603</v>
      </c>
      <c r="G4" s="180" t="s">
        <v>1602</v>
      </c>
      <c r="H4" s="157"/>
      <c r="I4" s="188">
        <f>SUMIFS(D3:D14,C3:C14,C3,B3:B14,B5)</f>
        <v>13340</v>
      </c>
      <c r="K4" s="184" t="s">
        <v>1607</v>
      </c>
    </row>
    <row r="5" spans="1:13" ht="15.5">
      <c r="A5" s="157" t="s">
        <v>1608</v>
      </c>
      <c r="B5" s="157" t="s">
        <v>1603</v>
      </c>
      <c r="C5" s="157" t="s">
        <v>1602</v>
      </c>
      <c r="D5" s="182">
        <v>6201</v>
      </c>
      <c r="F5" s="180" t="s">
        <v>1603</v>
      </c>
      <c r="G5" s="180" t="s">
        <v>1602</v>
      </c>
      <c r="H5" s="180" t="s">
        <v>1609</v>
      </c>
      <c r="I5" s="188">
        <f>SUMIFS(D3:D14,B3:B14,F5,C3:C14,G5,D3:D14,H5)</f>
        <v>7139</v>
      </c>
      <c r="K5" s="184" t="s">
        <v>1610</v>
      </c>
    </row>
    <row r="6" spans="1:13">
      <c r="A6" s="157" t="s">
        <v>1611</v>
      </c>
      <c r="B6" s="157" t="s">
        <v>1601</v>
      </c>
      <c r="C6" s="157" t="s">
        <v>1606</v>
      </c>
      <c r="D6" s="182">
        <v>7480</v>
      </c>
    </row>
    <row r="7" spans="1:13">
      <c r="A7" s="157" t="s">
        <v>1612</v>
      </c>
      <c r="B7" s="157" t="s">
        <v>1603</v>
      </c>
      <c r="C7" s="157" t="s">
        <v>1602</v>
      </c>
      <c r="D7" s="182">
        <v>7139</v>
      </c>
      <c r="F7" s="185" t="s">
        <v>1598</v>
      </c>
      <c r="G7" s="186"/>
      <c r="H7" s="187"/>
      <c r="I7" s="181" t="s">
        <v>1613</v>
      </c>
    </row>
    <row r="8" spans="1:13" ht="15.5">
      <c r="A8" s="157" t="s">
        <v>1614</v>
      </c>
      <c r="B8" s="157" t="s">
        <v>1603</v>
      </c>
      <c r="C8" s="157" t="s">
        <v>1606</v>
      </c>
      <c r="D8" s="182">
        <v>7764</v>
      </c>
      <c r="F8" s="180" t="s">
        <v>1601</v>
      </c>
      <c r="G8" s="183"/>
      <c r="H8" s="157"/>
      <c r="I8" s="189">
        <f>COUNTIFS(B3:B14,B3)</f>
        <v>6</v>
      </c>
      <c r="K8" s="184" t="s">
        <v>1615</v>
      </c>
    </row>
    <row r="9" spans="1:13" ht="15.5">
      <c r="A9" s="157" t="s">
        <v>1616</v>
      </c>
      <c r="B9" s="157" t="s">
        <v>1601</v>
      </c>
      <c r="C9" s="157" t="s">
        <v>1606</v>
      </c>
      <c r="D9" s="182">
        <v>9240</v>
      </c>
      <c r="F9" s="180" t="s">
        <v>1601</v>
      </c>
      <c r="G9" s="180" t="s">
        <v>1606</v>
      </c>
      <c r="H9" s="157"/>
      <c r="I9" s="189">
        <f>COUNTIFS(B3:B14,B3,C3:C14,C4)</f>
        <v>3</v>
      </c>
      <c r="K9" s="184" t="s">
        <v>1617</v>
      </c>
    </row>
    <row r="10" spans="1:13" ht="15.5">
      <c r="A10" s="157" t="s">
        <v>1618</v>
      </c>
      <c r="B10" s="157" t="s">
        <v>1601</v>
      </c>
      <c r="C10" s="157" t="s">
        <v>1602</v>
      </c>
      <c r="D10" s="182">
        <v>9329</v>
      </c>
      <c r="F10" s="180" t="s">
        <v>1601</v>
      </c>
      <c r="G10" s="180" t="s">
        <v>1606</v>
      </c>
      <c r="H10" s="180" t="s">
        <v>1619</v>
      </c>
      <c r="I10" s="189">
        <f>COUNTIFS(B3:B14,B3,C3:C14,C4,D3:D14,H10)</f>
        <v>2</v>
      </c>
      <c r="K10" s="184" t="s">
        <v>1620</v>
      </c>
    </row>
    <row r="11" spans="1:13">
      <c r="A11" s="157" t="s">
        <v>1621</v>
      </c>
      <c r="B11" s="157" t="s">
        <v>1603</v>
      </c>
      <c r="C11" s="157" t="s">
        <v>1606</v>
      </c>
      <c r="D11" s="182">
        <v>5404</v>
      </c>
      <c r="I11" s="3"/>
    </row>
    <row r="12" spans="1:13">
      <c r="A12" s="157" t="s">
        <v>1622</v>
      </c>
      <c r="B12" s="157" t="s">
        <v>1601</v>
      </c>
      <c r="C12" s="157" t="s">
        <v>1602</v>
      </c>
      <c r="D12" s="182">
        <v>6860</v>
      </c>
      <c r="F12" s="234" t="s">
        <v>1598</v>
      </c>
      <c r="G12" s="235"/>
      <c r="H12" s="236"/>
      <c r="I12" s="181" t="s">
        <v>1623</v>
      </c>
    </row>
    <row r="13" spans="1:13" ht="15.5">
      <c r="A13" s="157" t="s">
        <v>1625</v>
      </c>
      <c r="B13" s="157" t="s">
        <v>1601</v>
      </c>
      <c r="C13" s="157" t="s">
        <v>1606</v>
      </c>
      <c r="D13" s="182">
        <v>7469</v>
      </c>
      <c r="F13" s="180" t="s">
        <v>1601</v>
      </c>
      <c r="G13" s="183"/>
      <c r="H13" s="157"/>
      <c r="I13" s="188">
        <f>AVERAGEIFS(D3:D14,B3:B14,F13)</f>
        <v>7941.333333333333</v>
      </c>
      <c r="K13" s="184" t="s">
        <v>1634</v>
      </c>
    </row>
    <row r="14" spans="1:13" ht="15.5">
      <c r="A14" s="157" t="s">
        <v>1627</v>
      </c>
      <c r="B14" s="157" t="s">
        <v>1603</v>
      </c>
      <c r="C14" s="157" t="s">
        <v>1606</v>
      </c>
      <c r="D14" s="182">
        <v>9195</v>
      </c>
      <c r="F14" s="180" t="s">
        <v>1601</v>
      </c>
      <c r="G14" s="180" t="s">
        <v>1602</v>
      </c>
      <c r="H14" s="157"/>
      <c r="I14" s="188">
        <f>AVERAGEIFS(D3:D14,B3:B14,B3,C3:C14,C3)</f>
        <v>7819.666666666667</v>
      </c>
      <c r="K14" s="184" t="s">
        <v>1635</v>
      </c>
    </row>
    <row r="16" spans="1:13" ht="15.5">
      <c r="M16" s="1" t="s">
        <v>1624</v>
      </c>
    </row>
    <row r="17" spans="9:13" ht="15.5">
      <c r="I17" s="1" t="s">
        <v>1628</v>
      </c>
      <c r="M17" s="1" t="s">
        <v>1626</v>
      </c>
    </row>
    <row r="18" spans="9:13" ht="15.5">
      <c r="I18" s="1" t="s">
        <v>1629</v>
      </c>
    </row>
    <row r="19" spans="9:13" ht="15.5">
      <c r="I19" s="1" t="s">
        <v>1630</v>
      </c>
    </row>
    <row r="21" spans="9:13" ht="15.5">
      <c r="I21" s="1" t="s">
        <v>1631</v>
      </c>
    </row>
    <row r="22" spans="9:13" ht="15.5">
      <c r="I22" s="1" t="s">
        <v>1632</v>
      </c>
    </row>
    <row r="23" spans="9:13" ht="15.5">
      <c r="I23" s="1" t="s">
        <v>1633</v>
      </c>
    </row>
  </sheetData>
  <mergeCells count="2">
    <mergeCell ref="F2:H2"/>
    <mergeCell ref="F12:H1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B5E6-7DAD-4568-A6A8-8DF618E56A68}">
  <dimension ref="A1:S15"/>
  <sheetViews>
    <sheetView topLeftCell="C1" workbookViewId="0">
      <selection activeCell="G11" sqref="G11"/>
    </sheetView>
  </sheetViews>
  <sheetFormatPr defaultRowHeight="14.5"/>
  <cols>
    <col min="7" max="7" width="14.81640625" customWidth="1"/>
    <col min="11" max="11" width="12" customWidth="1"/>
  </cols>
  <sheetData>
    <row r="1" spans="1:19">
      <c r="A1" s="190" t="s">
        <v>1636</v>
      </c>
      <c r="G1" s="192" t="s">
        <v>1637</v>
      </c>
    </row>
    <row r="3" spans="1:19">
      <c r="A3" s="191"/>
      <c r="B3" s="191" t="s">
        <v>1638</v>
      </c>
      <c r="C3" s="191" t="s">
        <v>1639</v>
      </c>
      <c r="D3" s="191" t="s">
        <v>1640</v>
      </c>
      <c r="G3" s="192" t="s">
        <v>1023</v>
      </c>
      <c r="H3" s="192" t="s">
        <v>1027</v>
      </c>
      <c r="I3" s="192" t="s">
        <v>1030</v>
      </c>
      <c r="L3" s="192" t="s">
        <v>1641</v>
      </c>
      <c r="N3" s="192" t="s">
        <v>1642</v>
      </c>
      <c r="O3" s="192" t="s">
        <v>1643</v>
      </c>
      <c r="P3" s="192" t="s">
        <v>1644</v>
      </c>
      <c r="Q3" s="192" t="s">
        <v>1645</v>
      </c>
      <c r="R3" s="192" t="s">
        <v>1646</v>
      </c>
      <c r="S3" s="192" t="s">
        <v>1647</v>
      </c>
    </row>
    <row r="4" spans="1:19">
      <c r="A4" s="191" t="s">
        <v>1648</v>
      </c>
      <c r="B4">
        <v>10</v>
      </c>
      <c r="C4">
        <v>12</v>
      </c>
      <c r="D4">
        <v>15</v>
      </c>
      <c r="G4" s="192" t="s">
        <v>1024</v>
      </c>
      <c r="H4" s="192" t="s">
        <v>345</v>
      </c>
      <c r="I4" s="192" t="s">
        <v>1649</v>
      </c>
      <c r="L4" s="192" t="s">
        <v>1650</v>
      </c>
    </row>
    <row r="5" spans="1:19">
      <c r="A5" s="191" t="s">
        <v>1651</v>
      </c>
      <c r="B5">
        <v>30</v>
      </c>
      <c r="C5">
        <v>35</v>
      </c>
      <c r="D5">
        <v>40</v>
      </c>
      <c r="G5" s="192" t="s">
        <v>1025</v>
      </c>
      <c r="H5" s="192" t="s">
        <v>1028</v>
      </c>
      <c r="I5" s="192" t="s">
        <v>1652</v>
      </c>
      <c r="L5" s="192" t="s">
        <v>1653</v>
      </c>
    </row>
    <row r="6" spans="1:19">
      <c r="A6" s="191" t="s">
        <v>1654</v>
      </c>
      <c r="B6">
        <v>25</v>
      </c>
      <c r="C6">
        <v>30</v>
      </c>
      <c r="D6">
        <v>35</v>
      </c>
      <c r="G6" s="192" t="s">
        <v>1026</v>
      </c>
      <c r="H6" s="192" t="s">
        <v>1029</v>
      </c>
      <c r="I6" s="192" t="s">
        <v>1655</v>
      </c>
      <c r="L6" s="192" t="s">
        <v>1656</v>
      </c>
      <c r="P6" t="str">
        <f>INDEX(N3:S3,1,4)</f>
        <v>Mitali</v>
      </c>
    </row>
    <row r="7" spans="1:19">
      <c r="L7" s="192" t="s">
        <v>1657</v>
      </c>
      <c r="P7">
        <f>MATCH(R3,N3:S3,0)</f>
        <v>5</v>
      </c>
    </row>
    <row r="8" spans="1:19">
      <c r="L8" s="192" t="s">
        <v>1658</v>
      </c>
    </row>
    <row r="9" spans="1:19">
      <c r="A9" s="192" t="s">
        <v>42</v>
      </c>
      <c r="B9" s="160" t="s">
        <v>1648</v>
      </c>
      <c r="G9" t="str">
        <f>INDEX(G3:I6,4,3)</f>
        <v>L</v>
      </c>
    </row>
    <row r="10" spans="1:19">
      <c r="B10" s="160"/>
      <c r="G10">
        <f>MATCH(I6,I3:I60)</f>
        <v>4</v>
      </c>
    </row>
    <row r="11" spans="1:19">
      <c r="A11" s="192" t="s">
        <v>1659</v>
      </c>
      <c r="B11" s="160" t="s">
        <v>1638</v>
      </c>
      <c r="L11" t="str">
        <f>INDEX(L3:L8,5,1)</f>
        <v>Spoon</v>
      </c>
    </row>
    <row r="12" spans="1:19">
      <c r="L12">
        <f>MATCH(L11,L3:L8,0)</f>
        <v>5</v>
      </c>
    </row>
    <row r="13" spans="1:19">
      <c r="A13" s="192" t="s">
        <v>204</v>
      </c>
      <c r="B13" s="193">
        <f>VLOOKUP(B9,A3:D6,MATCH(B11,A3:D3,0),FALSE)</f>
        <v>10</v>
      </c>
    </row>
    <row r="15" spans="1:19">
      <c r="D15" t="s">
        <v>1660</v>
      </c>
    </row>
  </sheetData>
  <dataValidations count="2">
    <dataValidation type="list" allowBlank="1" showInputMessage="1" showErrorMessage="1" sqref="B9" xr:uid="{09BB36C2-CE63-4403-AA51-F2B31E49A900}">
      <formula1>$A$3:$A$6</formula1>
    </dataValidation>
    <dataValidation type="list" allowBlank="1" showInputMessage="1" showErrorMessage="1" sqref="B11" xr:uid="{6122C504-507D-4DD0-8325-291136C8B8D5}">
      <formula1>$B$3:$D$3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145D-422B-4ECD-B550-532535898D9B}">
  <dimension ref="B1:N14"/>
  <sheetViews>
    <sheetView topLeftCell="B1" workbookViewId="0">
      <selection activeCell="I16" sqref="I16"/>
    </sheetView>
  </sheetViews>
  <sheetFormatPr defaultRowHeight="14.5"/>
  <cols>
    <col min="2" max="2" width="10.08984375" bestFit="1" customWidth="1"/>
    <col min="3" max="3" width="26.6328125" customWidth="1"/>
    <col min="4" max="4" width="5.1796875" customWidth="1"/>
    <col min="7" max="7" width="14.7265625" customWidth="1"/>
    <col min="8" max="8" width="11.08984375" customWidth="1"/>
    <col min="11" max="11" width="12.26953125" customWidth="1"/>
    <col min="12" max="12" width="15" customWidth="1"/>
    <col min="14" max="14" width="10.08984375" bestFit="1" customWidth="1"/>
  </cols>
  <sheetData>
    <row r="1" spans="2:14">
      <c r="B1" s="190" t="s">
        <v>1661</v>
      </c>
      <c r="C1" s="190" t="s">
        <v>1662</v>
      </c>
      <c r="D1" s="190"/>
      <c r="E1" s="190"/>
      <c r="F1" s="190" t="s">
        <v>96</v>
      </c>
      <c r="G1" s="190" t="s">
        <v>1663</v>
      </c>
      <c r="H1" s="190" t="s">
        <v>1664</v>
      </c>
      <c r="I1" s="190" t="s">
        <v>1665</v>
      </c>
      <c r="J1" s="190"/>
      <c r="K1" s="190" t="s">
        <v>1666</v>
      </c>
      <c r="L1" s="190" t="s">
        <v>1667</v>
      </c>
      <c r="M1" s="190"/>
    </row>
    <row r="2" spans="2:14">
      <c r="B2" s="194">
        <v>44562</v>
      </c>
      <c r="C2" s="196">
        <f>EDATE(B2,5)</f>
        <v>44713</v>
      </c>
      <c r="F2" t="s">
        <v>1668</v>
      </c>
      <c r="G2" s="194">
        <v>36894</v>
      </c>
      <c r="H2" s="194">
        <v>44581</v>
      </c>
      <c r="I2" s="195">
        <f>DATEDIF(G2,H2,"Y")</f>
        <v>21</v>
      </c>
      <c r="K2" s="194">
        <v>44724</v>
      </c>
      <c r="L2" s="196">
        <f>EOMONTH(K2,0)</f>
        <v>44742</v>
      </c>
    </row>
    <row r="3" spans="2:14">
      <c r="B3" s="194">
        <v>44563</v>
      </c>
      <c r="C3" s="196">
        <f t="shared" ref="C3:C11" si="0">EDATE(B3,5)</f>
        <v>44714</v>
      </c>
      <c r="F3" t="s">
        <v>1669</v>
      </c>
      <c r="G3" s="194">
        <v>37269</v>
      </c>
      <c r="H3" s="194">
        <v>44586</v>
      </c>
      <c r="I3" s="195">
        <f t="shared" ref="I3:I6" si="1">DATEDIF(G3,H3,"Y")</f>
        <v>20</v>
      </c>
      <c r="K3" s="194">
        <v>44563</v>
      </c>
      <c r="L3" s="196">
        <f t="shared" ref="L3:L6" si="2">EOMONTH(K3,0)</f>
        <v>44592</v>
      </c>
    </row>
    <row r="4" spans="2:14">
      <c r="B4" s="194">
        <v>44564</v>
      </c>
      <c r="C4" s="196">
        <f t="shared" si="0"/>
        <v>44715</v>
      </c>
      <c r="F4" t="s">
        <v>1670</v>
      </c>
      <c r="G4" s="194">
        <v>38006</v>
      </c>
      <c r="H4" s="194">
        <v>44607</v>
      </c>
      <c r="I4" s="195">
        <f t="shared" si="1"/>
        <v>18</v>
      </c>
      <c r="K4" s="194">
        <v>44564</v>
      </c>
      <c r="L4" s="196">
        <f t="shared" si="2"/>
        <v>44592</v>
      </c>
    </row>
    <row r="5" spans="2:14">
      <c r="B5" s="194">
        <v>44565</v>
      </c>
      <c r="C5" s="196">
        <f t="shared" si="0"/>
        <v>44716</v>
      </c>
      <c r="F5" t="s">
        <v>1671</v>
      </c>
      <c r="G5" s="194">
        <v>37626</v>
      </c>
      <c r="H5" s="194">
        <v>44613</v>
      </c>
      <c r="I5" s="195">
        <f t="shared" si="1"/>
        <v>19</v>
      </c>
      <c r="K5" s="194">
        <v>44565</v>
      </c>
      <c r="L5" s="196">
        <f t="shared" si="2"/>
        <v>44592</v>
      </c>
    </row>
    <row r="6" spans="2:14">
      <c r="B6" s="194">
        <v>44566</v>
      </c>
      <c r="C6" s="196">
        <f t="shared" si="0"/>
        <v>44717</v>
      </c>
      <c r="F6" t="s">
        <v>1672</v>
      </c>
      <c r="G6" s="194">
        <v>36534</v>
      </c>
      <c r="H6" s="194">
        <v>44620</v>
      </c>
      <c r="I6" s="195">
        <f t="shared" si="1"/>
        <v>22</v>
      </c>
      <c r="K6" s="194">
        <v>44566</v>
      </c>
      <c r="L6" s="196">
        <f t="shared" si="2"/>
        <v>44592</v>
      </c>
    </row>
    <row r="7" spans="2:14">
      <c r="B7" s="194">
        <v>44567</v>
      </c>
      <c r="C7" s="196">
        <f t="shared" si="0"/>
        <v>44718</v>
      </c>
      <c r="K7" s="194">
        <v>44567</v>
      </c>
      <c r="L7" s="196">
        <f t="shared" ref="L7:L9" si="3">EOMONTH(K7,2)</f>
        <v>44651</v>
      </c>
    </row>
    <row r="8" spans="2:14">
      <c r="B8" s="194">
        <v>44568</v>
      </c>
      <c r="C8" s="196">
        <f t="shared" si="0"/>
        <v>44719</v>
      </c>
      <c r="K8" s="194">
        <v>44568</v>
      </c>
      <c r="L8" s="196">
        <f t="shared" si="3"/>
        <v>44651</v>
      </c>
    </row>
    <row r="9" spans="2:14">
      <c r="B9" s="194">
        <v>44569</v>
      </c>
      <c r="C9" s="196">
        <f t="shared" si="0"/>
        <v>44720</v>
      </c>
      <c r="K9" s="194">
        <v>44569</v>
      </c>
      <c r="L9" s="196">
        <f t="shared" si="3"/>
        <v>44651</v>
      </c>
      <c r="N9" s="194"/>
    </row>
    <row r="10" spans="2:14">
      <c r="B10" s="194">
        <v>44570</v>
      </c>
      <c r="C10" s="196">
        <f t="shared" si="0"/>
        <v>44721</v>
      </c>
      <c r="K10" s="194">
        <v>44570</v>
      </c>
      <c r="L10" s="196">
        <f t="shared" ref="L10:L11" si="4">EOMONTH($K10,2)</f>
        <v>44651</v>
      </c>
      <c r="N10" s="194"/>
    </row>
    <row r="11" spans="2:14">
      <c r="B11" s="194">
        <v>44571</v>
      </c>
      <c r="C11" s="196">
        <f t="shared" si="0"/>
        <v>44722</v>
      </c>
      <c r="G11" s="81">
        <f>_xlfn.DAYS(H2,G2)</f>
        <v>7687</v>
      </c>
      <c r="K11" s="194">
        <v>44571</v>
      </c>
      <c r="L11" s="196">
        <f t="shared" si="4"/>
        <v>44651</v>
      </c>
    </row>
    <row r="12" spans="2:14">
      <c r="G12" s="81">
        <f t="shared" ref="G12:G14" si="5">_xlfn.DAYS(H3,G3)</f>
        <v>7317</v>
      </c>
    </row>
    <row r="13" spans="2:14">
      <c r="B13" t="s">
        <v>1673</v>
      </c>
      <c r="G13" s="81">
        <f t="shared" si="5"/>
        <v>6601</v>
      </c>
    </row>
    <row r="14" spans="2:14">
      <c r="G14" s="81">
        <f t="shared" si="5"/>
        <v>6987</v>
      </c>
    </row>
  </sheetData>
  <phoneticPr fontId="20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3BA-DD67-49FD-8E2A-14AF862AC30C}">
  <dimension ref="A1:L4"/>
  <sheetViews>
    <sheetView zoomScale="110" zoomScaleNormal="110" workbookViewId="0">
      <selection activeCell="G4" sqref="G4"/>
    </sheetView>
  </sheetViews>
  <sheetFormatPr defaultRowHeight="14.5"/>
  <cols>
    <col min="1" max="1" width="12.81640625" customWidth="1"/>
    <col min="2" max="2" width="16.36328125" customWidth="1"/>
    <col min="6" max="6" width="10.08984375" bestFit="1" customWidth="1"/>
    <col min="10" max="10" width="14.453125" customWidth="1"/>
    <col min="11" max="11" width="16" customWidth="1"/>
    <col min="12" max="12" width="12.453125" customWidth="1"/>
  </cols>
  <sheetData>
    <row r="1" spans="1:12">
      <c r="A1" s="23" t="s">
        <v>1674</v>
      </c>
      <c r="B1" s="23" t="s">
        <v>1675</v>
      </c>
      <c r="C1" s="23" t="s">
        <v>1676</v>
      </c>
      <c r="D1" s="23" t="s">
        <v>320</v>
      </c>
      <c r="E1" s="23" t="s">
        <v>378</v>
      </c>
      <c r="F1" s="23" t="s">
        <v>1666</v>
      </c>
      <c r="G1" s="23" t="s">
        <v>1677</v>
      </c>
      <c r="H1" s="23" t="s">
        <v>1678</v>
      </c>
      <c r="I1" s="23" t="s">
        <v>1679</v>
      </c>
      <c r="J1" s="23" t="s">
        <v>1680</v>
      </c>
      <c r="K1" s="23" t="s">
        <v>1681</v>
      </c>
      <c r="L1" s="23" t="s">
        <v>1682</v>
      </c>
    </row>
    <row r="2" spans="1:12">
      <c r="J2" s="194">
        <f ca="1">F3-3</f>
        <v>45885</v>
      </c>
      <c r="K2" s="194">
        <f ca="1">EDATE(J4,5)</f>
        <v>46044</v>
      </c>
      <c r="L2" s="194">
        <f ca="1">EDATE(J4,(12*3))</f>
        <v>46987</v>
      </c>
    </row>
    <row r="3" spans="1:12">
      <c r="A3" s="194">
        <f ca="1">TODAY()</f>
        <v>45888</v>
      </c>
      <c r="B3" s="197">
        <f ca="1">NOW()</f>
        <v>45888.808694444444</v>
      </c>
      <c r="C3">
        <f ca="1">DAY(B3)</f>
        <v>19</v>
      </c>
      <c r="D3">
        <f ca="1">MONTH(B3)</f>
        <v>8</v>
      </c>
      <c r="E3">
        <f ca="1">YEAR(B3)</f>
        <v>2025</v>
      </c>
      <c r="F3" s="194">
        <f ca="1">DATE(E3,D3,C3)</f>
        <v>45888</v>
      </c>
      <c r="G3">
        <f ca="1">HOUR(B3)</f>
        <v>19</v>
      </c>
      <c r="H3">
        <f ca="1">MINUTE(B3)</f>
        <v>24</v>
      </c>
      <c r="I3">
        <f ca="1">SECOND(B3)</f>
        <v>31</v>
      </c>
    </row>
    <row r="4" spans="1:12">
      <c r="J4" s="194">
        <f ca="1">F3+3</f>
        <v>45891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D9A5-1692-49F8-A444-FFABF52F1BCC}">
  <dimension ref="A1:J10"/>
  <sheetViews>
    <sheetView workbookViewId="0">
      <selection activeCell="I10" sqref="I10"/>
    </sheetView>
  </sheetViews>
  <sheetFormatPr defaultRowHeight="14.5"/>
  <sheetData>
    <row r="1" spans="1:10" ht="18.5">
      <c r="A1" s="198" t="s">
        <v>1683</v>
      </c>
      <c r="D1" s="1" t="s">
        <v>1684</v>
      </c>
    </row>
    <row r="3" spans="1:10">
      <c r="A3" s="199"/>
      <c r="B3" s="199">
        <v>2015</v>
      </c>
      <c r="C3" s="199">
        <v>2016</v>
      </c>
      <c r="D3" s="199">
        <v>2017</v>
      </c>
      <c r="E3" s="199">
        <v>2018</v>
      </c>
      <c r="F3" s="199">
        <v>2019</v>
      </c>
      <c r="I3" t="s">
        <v>1693</v>
      </c>
      <c r="J3" t="s">
        <v>378</v>
      </c>
    </row>
    <row r="4" spans="1:10">
      <c r="A4" s="199" t="s">
        <v>1685</v>
      </c>
      <c r="B4" s="200">
        <v>15285</v>
      </c>
      <c r="C4" s="200">
        <v>18145</v>
      </c>
      <c r="D4" s="200">
        <v>14139</v>
      </c>
      <c r="E4" s="200">
        <v>19041</v>
      </c>
      <c r="F4" s="200">
        <v>12060</v>
      </c>
    </row>
    <row r="5" spans="1:10">
      <c r="A5" s="199" t="s">
        <v>1686</v>
      </c>
      <c r="B5" s="200">
        <v>17826</v>
      </c>
      <c r="C5" s="200">
        <v>24785</v>
      </c>
      <c r="D5" s="200">
        <v>15287</v>
      </c>
      <c r="E5" s="200">
        <v>16172</v>
      </c>
      <c r="F5" s="200">
        <v>26822</v>
      </c>
      <c r="I5" s="91" t="s">
        <v>1690</v>
      </c>
      <c r="J5" s="91">
        <v>2017</v>
      </c>
    </row>
    <row r="6" spans="1:10">
      <c r="A6" s="199" t="s">
        <v>1687</v>
      </c>
      <c r="B6" s="200">
        <v>21008</v>
      </c>
      <c r="C6" s="200">
        <v>18372</v>
      </c>
      <c r="D6" s="200">
        <v>27848</v>
      </c>
      <c r="E6" s="200">
        <v>14525</v>
      </c>
      <c r="F6" s="200">
        <v>20790</v>
      </c>
    </row>
    <row r="7" spans="1:10">
      <c r="A7" s="199" t="s">
        <v>1688</v>
      </c>
      <c r="B7" s="200">
        <v>12315</v>
      </c>
      <c r="C7" s="200">
        <v>21593</v>
      </c>
      <c r="D7" s="200">
        <v>24444</v>
      </c>
      <c r="E7" s="200">
        <v>11681</v>
      </c>
      <c r="F7" s="200">
        <v>26403</v>
      </c>
      <c r="H7" t="s">
        <v>1689</v>
      </c>
      <c r="I7">
        <f>VLOOKUP(I5,A3:F10,MATCH(J5,A3:F3,0))</f>
        <v>25146</v>
      </c>
    </row>
    <row r="8" spans="1:10">
      <c r="A8" s="199" t="s">
        <v>1690</v>
      </c>
      <c r="B8" s="200">
        <v>27878</v>
      </c>
      <c r="C8" s="200">
        <v>21115</v>
      </c>
      <c r="D8" s="200">
        <v>25146</v>
      </c>
      <c r="E8" s="200">
        <v>17977</v>
      </c>
      <c r="F8" s="200">
        <v>15121</v>
      </c>
    </row>
    <row r="9" spans="1:10">
      <c r="A9" s="199" t="s">
        <v>1691</v>
      </c>
      <c r="B9" s="200">
        <v>16031</v>
      </c>
      <c r="C9" s="200">
        <v>10462</v>
      </c>
      <c r="D9" s="200">
        <v>24541</v>
      </c>
      <c r="E9" s="200">
        <v>16886</v>
      </c>
      <c r="F9" s="200">
        <v>11557</v>
      </c>
    </row>
    <row r="10" spans="1:10">
      <c r="A10" s="199" t="s">
        <v>1692</v>
      </c>
      <c r="B10" s="200">
        <v>13123</v>
      </c>
      <c r="C10" s="200">
        <v>26815</v>
      </c>
      <c r="D10" s="200">
        <v>16266</v>
      </c>
      <c r="E10" s="200">
        <v>15195</v>
      </c>
      <c r="F10" s="200">
        <v>16661</v>
      </c>
    </row>
  </sheetData>
  <dataValidations count="2">
    <dataValidation type="list" allowBlank="1" showInputMessage="1" showErrorMessage="1" prompt="Choose Shop" sqref="I5" xr:uid="{9A165CE0-582B-4CB8-A550-58FD052F2CCE}">
      <formula1>$A$4:$A$10</formula1>
    </dataValidation>
    <dataValidation type="list" allowBlank="1" showInputMessage="1" showErrorMessage="1" prompt="Choose Year" sqref="J5" xr:uid="{D54CCB79-9544-4D20-AFB8-6931317345F9}">
      <formula1>$B$3:$F$3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A019-02CC-495C-9DEE-6763369BC625}">
  <dimension ref="A1:S36"/>
  <sheetViews>
    <sheetView topLeftCell="C22" zoomScale="90" zoomScaleNormal="90" workbookViewId="0">
      <selection activeCell="F32" sqref="F32"/>
    </sheetView>
  </sheetViews>
  <sheetFormatPr defaultRowHeight="14.5"/>
  <cols>
    <col min="6" max="6" width="18.1796875" customWidth="1"/>
    <col min="10" max="10" width="16.08984375" customWidth="1"/>
    <col min="11" max="11" width="15" customWidth="1"/>
  </cols>
  <sheetData>
    <row r="1" spans="1:11" ht="15.5">
      <c r="A1" s="201" t="s">
        <v>1694</v>
      </c>
      <c r="B1" s="202" t="s">
        <v>96</v>
      </c>
      <c r="C1" s="202" t="s">
        <v>97</v>
      </c>
      <c r="D1" s="202" t="s">
        <v>98</v>
      </c>
      <c r="E1" s="203" t="s">
        <v>5</v>
      </c>
      <c r="F1" s="203" t="s">
        <v>99</v>
      </c>
      <c r="G1" s="204" t="s">
        <v>226</v>
      </c>
      <c r="H1" s="205"/>
      <c r="I1" s="1" t="s">
        <v>1695</v>
      </c>
    </row>
    <row r="2" spans="1:11">
      <c r="A2" s="91">
        <v>1101</v>
      </c>
      <c r="B2" s="206" t="s">
        <v>103</v>
      </c>
      <c r="C2" s="206" t="s">
        <v>104</v>
      </c>
      <c r="D2" s="206">
        <v>67</v>
      </c>
      <c r="E2" s="206" t="s">
        <v>105</v>
      </c>
      <c r="F2" s="206" t="s">
        <v>106</v>
      </c>
      <c r="G2" s="207">
        <v>2848</v>
      </c>
      <c r="H2" s="91"/>
    </row>
    <row r="3" spans="1:11">
      <c r="A3" s="91">
        <v>1198</v>
      </c>
      <c r="B3" s="206" t="s">
        <v>108</v>
      </c>
      <c r="C3" s="206" t="s">
        <v>104</v>
      </c>
      <c r="D3" s="206">
        <v>28</v>
      </c>
      <c r="E3" s="206" t="s">
        <v>105</v>
      </c>
      <c r="F3" s="206" t="s">
        <v>109</v>
      </c>
      <c r="G3" s="207">
        <v>1742</v>
      </c>
      <c r="H3" s="91"/>
      <c r="I3" s="208" t="s">
        <v>1694</v>
      </c>
      <c r="J3" s="191" t="s">
        <v>1697</v>
      </c>
      <c r="K3" s="191" t="s">
        <v>1697</v>
      </c>
    </row>
    <row r="4" spans="1:11">
      <c r="A4" s="91">
        <v>1295</v>
      </c>
      <c r="B4" s="206" t="s">
        <v>110</v>
      </c>
      <c r="C4" s="206" t="s">
        <v>111</v>
      </c>
      <c r="D4" s="206">
        <v>21</v>
      </c>
      <c r="E4" s="206" t="s">
        <v>112</v>
      </c>
      <c r="F4" s="206" t="s">
        <v>109</v>
      </c>
      <c r="G4" s="207">
        <v>6968</v>
      </c>
      <c r="H4" s="91"/>
      <c r="I4" s="206">
        <v>1586</v>
      </c>
      <c r="J4" t="str">
        <f>VLOOKUP(I4,A1:G18,2)</f>
        <v>Ellen Wild</v>
      </c>
      <c r="K4" t="str">
        <f>_xlfn.IFNA(VLOOKUP(I4,Sales[#All],2,TRUE),"Not Found")</f>
        <v>Ellen Wild</v>
      </c>
    </row>
    <row r="5" spans="1:11">
      <c r="A5" s="91">
        <v>1392</v>
      </c>
      <c r="B5" s="206" t="s">
        <v>114</v>
      </c>
      <c r="C5" s="206" t="s">
        <v>111</v>
      </c>
      <c r="D5" s="206">
        <v>20</v>
      </c>
      <c r="E5" s="206" t="s">
        <v>112</v>
      </c>
      <c r="F5" s="206" t="s">
        <v>106</v>
      </c>
      <c r="G5" s="207">
        <v>2114</v>
      </c>
      <c r="H5" s="91"/>
      <c r="I5" s="206">
        <v>1780</v>
      </c>
      <c r="J5" t="str">
        <f t="shared" ref="J5:J9" si="0">VLOOKUP(I5,A2:G19,2)</f>
        <v>Olivia Brown</v>
      </c>
      <c r="K5" t="str">
        <f>_xlfn.IFNA(VLOOKUP(I5,Sales[#All],2,TRUE),"Not Found")</f>
        <v>Olivia Brown</v>
      </c>
    </row>
    <row r="6" spans="1:11">
      <c r="A6" s="91">
        <v>1489</v>
      </c>
      <c r="B6" s="206" t="s">
        <v>116</v>
      </c>
      <c r="C6" s="206" t="s">
        <v>104</v>
      </c>
      <c r="D6" s="206">
        <v>66</v>
      </c>
      <c r="E6" s="206" t="s">
        <v>112</v>
      </c>
      <c r="F6" s="206" t="s">
        <v>117</v>
      </c>
      <c r="G6" s="207">
        <v>7917</v>
      </c>
      <c r="H6" s="91"/>
      <c r="I6" s="206">
        <v>1974</v>
      </c>
      <c r="J6" t="str">
        <f t="shared" si="0"/>
        <v>Ashley Lopez</v>
      </c>
      <c r="K6" t="str">
        <f>_xlfn.IFNA(VLOOKUP(I6,Sales[#All],2,TRUE),"Not Found")</f>
        <v>Ashley Lopez</v>
      </c>
    </row>
    <row r="7" spans="1:11">
      <c r="A7" s="91">
        <v>1586</v>
      </c>
      <c r="B7" s="206" t="s">
        <v>118</v>
      </c>
      <c r="C7" s="206" t="s">
        <v>119</v>
      </c>
      <c r="D7" s="206">
        <v>53</v>
      </c>
      <c r="E7" s="206" t="s">
        <v>120</v>
      </c>
      <c r="F7" s="206" t="s">
        <v>106</v>
      </c>
      <c r="G7" s="207">
        <v>3865</v>
      </c>
      <c r="H7" s="91"/>
      <c r="I7" s="206">
        <v>2167</v>
      </c>
      <c r="J7" t="str">
        <f t="shared" si="0"/>
        <v>mily Clark</v>
      </c>
      <c r="K7" t="str">
        <f>_xlfn.IFNA(VLOOKUP(I7,Sales[#All],2,TRUE),"Not Found")</f>
        <v>mily Clark</v>
      </c>
    </row>
    <row r="8" spans="1:11">
      <c r="A8" s="91">
        <v>1683</v>
      </c>
      <c r="B8" s="206" t="s">
        <v>121</v>
      </c>
      <c r="C8" s="206" t="s">
        <v>104</v>
      </c>
      <c r="D8" s="206">
        <v>28</v>
      </c>
      <c r="E8" s="206" t="s">
        <v>120</v>
      </c>
      <c r="F8" s="206" t="s">
        <v>122</v>
      </c>
      <c r="G8" s="207">
        <v>4083</v>
      </c>
      <c r="H8" s="91"/>
      <c r="I8" s="206">
        <v>2362</v>
      </c>
      <c r="J8" t="str">
        <f t="shared" si="0"/>
        <v>Samuel Timothy</v>
      </c>
      <c r="K8" t="str">
        <f>_xlfn.IFNA(VLOOKUP(I8,Sales[#All],2,TRUE),"Not Found")</f>
        <v>Samuel Timothy</v>
      </c>
    </row>
    <row r="9" spans="1:11">
      <c r="A9" s="91">
        <v>1780</v>
      </c>
      <c r="B9" s="206" t="s">
        <v>123</v>
      </c>
      <c r="C9" s="206" t="s">
        <v>104</v>
      </c>
      <c r="D9" s="206">
        <v>32</v>
      </c>
      <c r="E9" s="206" t="s">
        <v>105</v>
      </c>
      <c r="F9" s="206" t="s">
        <v>122</v>
      </c>
      <c r="G9" s="207">
        <v>6836</v>
      </c>
      <c r="H9" s="91"/>
      <c r="I9" s="206">
        <v>2556</v>
      </c>
      <c r="J9" t="str">
        <f t="shared" si="0"/>
        <v>Ryan Harris</v>
      </c>
      <c r="K9" t="str">
        <f>_xlfn.IFNA(VLOOKUP(I9,Sales[#All],2,TRUE),"Not Found")</f>
        <v>Ryan Harris</v>
      </c>
    </row>
    <row r="10" spans="1:11">
      <c r="A10" s="91">
        <v>1877</v>
      </c>
      <c r="B10" s="206" t="s">
        <v>124</v>
      </c>
      <c r="C10" s="206" t="s">
        <v>111</v>
      </c>
      <c r="D10" s="206">
        <v>69</v>
      </c>
      <c r="E10" s="206" t="s">
        <v>105</v>
      </c>
      <c r="F10" s="206" t="s">
        <v>122</v>
      </c>
      <c r="G10" s="207">
        <v>9470</v>
      </c>
      <c r="H10" s="91"/>
    </row>
    <row r="11" spans="1:11">
      <c r="A11" s="91">
        <v>1974</v>
      </c>
      <c r="B11" s="206" t="s">
        <v>125</v>
      </c>
      <c r="C11" s="206" t="s">
        <v>104</v>
      </c>
      <c r="D11" s="206">
        <v>60</v>
      </c>
      <c r="E11" s="206" t="s">
        <v>105</v>
      </c>
      <c r="F11" s="206" t="s">
        <v>106</v>
      </c>
      <c r="G11" s="207">
        <v>7559</v>
      </c>
      <c r="H11" s="91"/>
      <c r="I11" t="s">
        <v>1696</v>
      </c>
    </row>
    <row r="12" spans="1:11">
      <c r="A12" s="91">
        <v>2071</v>
      </c>
      <c r="B12" s="206" t="s">
        <v>126</v>
      </c>
      <c r="C12" s="206" t="s">
        <v>104</v>
      </c>
      <c r="D12" s="206">
        <v>36</v>
      </c>
      <c r="E12" s="206" t="s">
        <v>120</v>
      </c>
      <c r="F12" s="206" t="s">
        <v>117</v>
      </c>
      <c r="G12" s="207">
        <v>6540</v>
      </c>
      <c r="H12" s="91"/>
      <c r="K12" t="s">
        <v>1699</v>
      </c>
    </row>
    <row r="13" spans="1:11">
      <c r="A13" s="91">
        <v>2168</v>
      </c>
      <c r="B13" s="206" t="s">
        <v>127</v>
      </c>
      <c r="C13" s="206" t="s">
        <v>104</v>
      </c>
      <c r="D13" s="206">
        <v>29</v>
      </c>
      <c r="E13" s="206" t="s">
        <v>105</v>
      </c>
      <c r="F13" s="206" t="s">
        <v>106</v>
      </c>
      <c r="G13" s="207">
        <v>1465</v>
      </c>
      <c r="H13" s="91"/>
      <c r="J13" t="s">
        <v>1698</v>
      </c>
    </row>
    <row r="14" spans="1:11">
      <c r="A14" s="91">
        <v>2265</v>
      </c>
      <c r="B14" s="206" t="s">
        <v>128</v>
      </c>
      <c r="C14" s="206" t="s">
        <v>104</v>
      </c>
      <c r="D14" s="206">
        <v>67</v>
      </c>
      <c r="E14" s="206" t="s">
        <v>129</v>
      </c>
      <c r="F14" s="206" t="s">
        <v>106</v>
      </c>
      <c r="G14" s="207">
        <v>9634</v>
      </c>
      <c r="H14" s="91"/>
    </row>
    <row r="15" spans="1:11">
      <c r="A15" s="91">
        <v>2362</v>
      </c>
      <c r="B15" s="206" t="s">
        <v>130</v>
      </c>
      <c r="C15" s="206" t="s">
        <v>111</v>
      </c>
      <c r="D15" s="206">
        <v>25</v>
      </c>
      <c r="E15" s="206" t="s">
        <v>105</v>
      </c>
      <c r="F15" s="206" t="s">
        <v>122</v>
      </c>
      <c r="G15" s="207">
        <v>6354</v>
      </c>
      <c r="H15" s="91"/>
    </row>
    <row r="16" spans="1:11">
      <c r="A16" s="91">
        <v>2459</v>
      </c>
      <c r="B16" s="206" t="s">
        <v>131</v>
      </c>
      <c r="C16" s="206" t="s">
        <v>111</v>
      </c>
      <c r="D16" s="206">
        <v>24</v>
      </c>
      <c r="E16" s="206" t="s">
        <v>120</v>
      </c>
      <c r="F16" s="206" t="s">
        <v>117</v>
      </c>
      <c r="G16" s="207">
        <v>5255</v>
      </c>
      <c r="H16" s="91"/>
    </row>
    <row r="17" spans="1:19">
      <c r="A17" s="91">
        <v>2556</v>
      </c>
      <c r="B17" s="206" t="s">
        <v>132</v>
      </c>
      <c r="C17" s="206" t="s">
        <v>111</v>
      </c>
      <c r="D17" s="206">
        <v>65</v>
      </c>
      <c r="E17" s="206" t="s">
        <v>120</v>
      </c>
      <c r="F17" s="206" t="s">
        <v>133</v>
      </c>
      <c r="G17" s="207">
        <v>1806</v>
      </c>
      <c r="H17" s="91"/>
    </row>
    <row r="18" spans="1:19">
      <c r="A18" s="91">
        <v>2653</v>
      </c>
      <c r="B18" s="206" t="s">
        <v>134</v>
      </c>
      <c r="C18" s="206" t="s">
        <v>119</v>
      </c>
      <c r="D18" s="206">
        <v>42</v>
      </c>
      <c r="E18" s="206" t="s">
        <v>120</v>
      </c>
      <c r="F18" s="206" t="s">
        <v>133</v>
      </c>
      <c r="G18" s="207">
        <v>8843</v>
      </c>
      <c r="H18" s="91"/>
    </row>
    <row r="19" spans="1:19">
      <c r="A19" s="91">
        <v>2750</v>
      </c>
      <c r="B19" s="206" t="s">
        <v>135</v>
      </c>
      <c r="C19" s="206" t="s">
        <v>104</v>
      </c>
      <c r="D19" s="206">
        <v>46</v>
      </c>
      <c r="E19" s="206" t="s">
        <v>105</v>
      </c>
      <c r="F19" s="206" t="s">
        <v>133</v>
      </c>
      <c r="G19" s="207">
        <v>1248</v>
      </c>
      <c r="H19" s="91"/>
    </row>
    <row r="22" spans="1:19">
      <c r="A22" s="209" t="s">
        <v>1694</v>
      </c>
      <c r="B22" s="210">
        <v>1101</v>
      </c>
      <c r="C22" s="211">
        <v>1198</v>
      </c>
      <c r="D22" s="210">
        <v>1295</v>
      </c>
      <c r="E22" s="211">
        <v>1392</v>
      </c>
      <c r="F22" s="210">
        <v>1489</v>
      </c>
      <c r="G22" s="211">
        <v>1586</v>
      </c>
      <c r="H22" s="210">
        <v>1683</v>
      </c>
      <c r="I22" s="211">
        <v>1780</v>
      </c>
      <c r="J22" s="210">
        <v>1877</v>
      </c>
      <c r="K22" s="211">
        <v>1974</v>
      </c>
      <c r="L22" s="210">
        <v>2071</v>
      </c>
      <c r="M22" s="211">
        <v>2168</v>
      </c>
      <c r="N22" s="210">
        <v>2265</v>
      </c>
      <c r="O22" s="211">
        <v>2362</v>
      </c>
      <c r="P22" s="210">
        <v>2459</v>
      </c>
      <c r="Q22" s="211">
        <v>2556</v>
      </c>
      <c r="R22" s="210">
        <v>2653</v>
      </c>
      <c r="S22" s="211">
        <v>2750</v>
      </c>
    </row>
    <row r="23" spans="1:19" ht="15.5">
      <c r="A23" s="212" t="s">
        <v>96</v>
      </c>
      <c r="B23" s="213" t="s">
        <v>103</v>
      </c>
      <c r="C23" s="214" t="s">
        <v>108</v>
      </c>
      <c r="D23" s="213" t="s">
        <v>110</v>
      </c>
      <c r="E23" s="214" t="s">
        <v>114</v>
      </c>
      <c r="F23" s="213" t="s">
        <v>116</v>
      </c>
      <c r="G23" s="214" t="s">
        <v>118</v>
      </c>
      <c r="H23" s="213" t="s">
        <v>121</v>
      </c>
      <c r="I23" s="214" t="s">
        <v>123</v>
      </c>
      <c r="J23" s="213" t="s">
        <v>124</v>
      </c>
      <c r="K23" s="214" t="s">
        <v>125</v>
      </c>
      <c r="L23" s="213" t="s">
        <v>126</v>
      </c>
      <c r="M23" s="214" t="s">
        <v>127</v>
      </c>
      <c r="N23" s="213" t="s">
        <v>128</v>
      </c>
      <c r="O23" s="214" t="s">
        <v>130</v>
      </c>
      <c r="P23" s="213" t="s">
        <v>131</v>
      </c>
      <c r="Q23" s="214" t="s">
        <v>132</v>
      </c>
      <c r="R23" s="213" t="s">
        <v>134</v>
      </c>
      <c r="S23" s="214" t="s">
        <v>135</v>
      </c>
    </row>
    <row r="24" spans="1:19" ht="15.5">
      <c r="A24" s="212" t="s">
        <v>97</v>
      </c>
      <c r="B24" s="213" t="s">
        <v>104</v>
      </c>
      <c r="C24" s="214" t="s">
        <v>104</v>
      </c>
      <c r="D24" s="213" t="s">
        <v>111</v>
      </c>
      <c r="E24" s="214" t="s">
        <v>111</v>
      </c>
      <c r="F24" s="213" t="s">
        <v>104</v>
      </c>
      <c r="G24" s="214" t="s">
        <v>119</v>
      </c>
      <c r="H24" s="213" t="s">
        <v>104</v>
      </c>
      <c r="I24" s="214" t="s">
        <v>104</v>
      </c>
      <c r="J24" s="213" t="s">
        <v>111</v>
      </c>
      <c r="K24" s="214" t="s">
        <v>104</v>
      </c>
      <c r="L24" s="213" t="s">
        <v>104</v>
      </c>
      <c r="M24" s="214" t="s">
        <v>104</v>
      </c>
      <c r="N24" s="213" t="s">
        <v>104</v>
      </c>
      <c r="O24" s="214" t="s">
        <v>111</v>
      </c>
      <c r="P24" s="213" t="s">
        <v>111</v>
      </c>
      <c r="Q24" s="214" t="s">
        <v>111</v>
      </c>
      <c r="R24" s="213" t="s">
        <v>119</v>
      </c>
      <c r="S24" s="214" t="s">
        <v>104</v>
      </c>
    </row>
    <row r="25" spans="1:19" ht="15.5">
      <c r="A25" s="212" t="s">
        <v>98</v>
      </c>
      <c r="B25" s="213">
        <v>67</v>
      </c>
      <c r="C25" s="214">
        <v>28</v>
      </c>
      <c r="D25" s="213">
        <v>21</v>
      </c>
      <c r="E25" s="214">
        <v>20</v>
      </c>
      <c r="F25" s="213">
        <v>66</v>
      </c>
      <c r="G25" s="214">
        <v>53</v>
      </c>
      <c r="H25" s="213">
        <v>28</v>
      </c>
      <c r="I25" s="214">
        <v>32</v>
      </c>
      <c r="J25" s="213">
        <v>69</v>
      </c>
      <c r="K25" s="214">
        <v>60</v>
      </c>
      <c r="L25" s="213">
        <v>36</v>
      </c>
      <c r="M25" s="214">
        <v>29</v>
      </c>
      <c r="N25" s="213">
        <v>67</v>
      </c>
      <c r="O25" s="214">
        <v>25</v>
      </c>
      <c r="P25" s="213">
        <v>24</v>
      </c>
      <c r="Q25" s="214">
        <v>65</v>
      </c>
      <c r="R25" s="213">
        <v>42</v>
      </c>
      <c r="S25" s="214">
        <v>46</v>
      </c>
    </row>
    <row r="26" spans="1:19" ht="15.5">
      <c r="A26" s="215" t="s">
        <v>5</v>
      </c>
      <c r="B26" s="213" t="s">
        <v>105</v>
      </c>
      <c r="C26" s="214" t="s">
        <v>105</v>
      </c>
      <c r="D26" s="213" t="s">
        <v>112</v>
      </c>
      <c r="E26" s="214" t="s">
        <v>112</v>
      </c>
      <c r="F26" s="213" t="s">
        <v>112</v>
      </c>
      <c r="G26" s="214" t="s">
        <v>120</v>
      </c>
      <c r="H26" s="213" t="s">
        <v>120</v>
      </c>
      <c r="I26" s="214" t="s">
        <v>105</v>
      </c>
      <c r="J26" s="213" t="s">
        <v>105</v>
      </c>
      <c r="K26" s="214" t="s">
        <v>105</v>
      </c>
      <c r="L26" s="213" t="s">
        <v>120</v>
      </c>
      <c r="M26" s="214" t="s">
        <v>105</v>
      </c>
      <c r="N26" s="213" t="s">
        <v>129</v>
      </c>
      <c r="O26" s="214" t="s">
        <v>105</v>
      </c>
      <c r="P26" s="213" t="s">
        <v>120</v>
      </c>
      <c r="Q26" s="214" t="s">
        <v>120</v>
      </c>
      <c r="R26" s="213" t="s">
        <v>120</v>
      </c>
      <c r="S26" s="214" t="s">
        <v>105</v>
      </c>
    </row>
    <row r="27" spans="1:19" ht="15.5">
      <c r="A27" s="215" t="s">
        <v>99</v>
      </c>
      <c r="B27" s="213" t="s">
        <v>106</v>
      </c>
      <c r="C27" s="214" t="s">
        <v>109</v>
      </c>
      <c r="D27" s="213" t="s">
        <v>109</v>
      </c>
      <c r="E27" s="214" t="s">
        <v>106</v>
      </c>
      <c r="F27" s="213" t="s">
        <v>117</v>
      </c>
      <c r="G27" s="214" t="s">
        <v>106</v>
      </c>
      <c r="H27" s="213" t="s">
        <v>122</v>
      </c>
      <c r="I27" s="214" t="s">
        <v>122</v>
      </c>
      <c r="J27" s="213" t="s">
        <v>122</v>
      </c>
      <c r="K27" s="214" t="s">
        <v>106</v>
      </c>
      <c r="L27" s="213" t="s">
        <v>117</v>
      </c>
      <c r="M27" s="214" t="s">
        <v>106</v>
      </c>
      <c r="N27" s="213" t="s">
        <v>106</v>
      </c>
      <c r="O27" s="214" t="s">
        <v>122</v>
      </c>
      <c r="P27" s="213" t="s">
        <v>117</v>
      </c>
      <c r="Q27" s="214" t="s">
        <v>133</v>
      </c>
      <c r="R27" s="213" t="s">
        <v>133</v>
      </c>
      <c r="S27" s="214" t="s">
        <v>133</v>
      </c>
    </row>
    <row r="28" spans="1:19">
      <c r="A28" s="216" t="s">
        <v>226</v>
      </c>
      <c r="B28" s="213">
        <v>2848</v>
      </c>
      <c r="C28" s="214">
        <v>1742</v>
      </c>
      <c r="D28" s="213">
        <v>6968</v>
      </c>
      <c r="E28" s="214">
        <v>2114</v>
      </c>
      <c r="F28" s="213">
        <v>7917</v>
      </c>
      <c r="G28" s="214">
        <v>3865</v>
      </c>
      <c r="H28" s="213">
        <v>4083</v>
      </c>
      <c r="I28" s="214">
        <v>6836</v>
      </c>
      <c r="J28" s="213">
        <v>9470</v>
      </c>
      <c r="K28" s="214">
        <v>7559</v>
      </c>
      <c r="L28" s="213">
        <v>6540</v>
      </c>
      <c r="M28" s="214">
        <v>1465</v>
      </c>
      <c r="N28" s="213">
        <v>9634</v>
      </c>
      <c r="O28" s="214">
        <v>6354</v>
      </c>
      <c r="P28" s="213">
        <v>5255</v>
      </c>
      <c r="Q28" s="214">
        <v>1806</v>
      </c>
      <c r="R28" s="213">
        <v>8843</v>
      </c>
      <c r="S28" s="214">
        <v>1248</v>
      </c>
    </row>
    <row r="32" spans="1:19" ht="15.5">
      <c r="E32" s="217" t="s">
        <v>96</v>
      </c>
      <c r="F32" s="221" t="s">
        <v>128</v>
      </c>
    </row>
    <row r="33" spans="5:6" ht="15.5">
      <c r="E33" s="218"/>
      <c r="F33" s="91"/>
    </row>
    <row r="34" spans="5:6" ht="15.5">
      <c r="E34" s="219" t="s">
        <v>5</v>
      </c>
      <c r="F34" s="91" t="str">
        <f>HLOOKUP(F32,$A$23:$S$29,4,FALSE)</f>
        <v>North</v>
      </c>
    </row>
    <row r="35" spans="5:6" ht="15.5">
      <c r="E35" s="219" t="s">
        <v>99</v>
      </c>
      <c r="F35" s="91" t="str">
        <f>HLOOKUP(F32,A23:S28,5,FALSE)</f>
        <v>Clothing</v>
      </c>
    </row>
    <row r="36" spans="5:6">
      <c r="E36" s="220" t="s">
        <v>226</v>
      </c>
      <c r="F36">
        <f>HLOOKUP(F32,A23:S28,6,FALSE)</f>
        <v>9634</v>
      </c>
    </row>
  </sheetData>
  <dataValidations count="1">
    <dataValidation type="list" allowBlank="1" showInputMessage="1" showErrorMessage="1" sqref="F32" xr:uid="{056A59EF-490D-4AB4-962E-FA0D7B5CF6C7}">
      <formula1>$B$23:$S$23</formula1>
    </dataValidation>
  </dataValidation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9577-FC6C-4C45-94CD-9FAA299153F1}">
  <dimension ref="A1:R29"/>
  <sheetViews>
    <sheetView topLeftCell="H1" workbookViewId="0">
      <selection activeCell="S18" sqref="S18"/>
    </sheetView>
  </sheetViews>
  <sheetFormatPr defaultRowHeight="14.5"/>
  <cols>
    <col min="1" max="1" width="20.54296875" customWidth="1"/>
    <col min="2" max="2" width="13.453125" customWidth="1"/>
    <col min="3" max="3" width="11.90625" customWidth="1"/>
    <col min="4" max="4" width="13.1796875" customWidth="1"/>
    <col min="7" max="7" width="18.453125" customWidth="1"/>
  </cols>
  <sheetData>
    <row r="1" spans="1:18">
      <c r="A1" s="222" t="s">
        <v>1700</v>
      </c>
      <c r="B1" s="222" t="s">
        <v>320</v>
      </c>
      <c r="C1" s="222" t="s">
        <v>226</v>
      </c>
      <c r="D1" s="222" t="s">
        <v>100</v>
      </c>
      <c r="H1" s="224" t="s">
        <v>1244</v>
      </c>
      <c r="I1" s="224" t="s">
        <v>1245</v>
      </c>
      <c r="J1" s="224" t="s">
        <v>227</v>
      </c>
      <c r="K1" s="224" t="s">
        <v>1246</v>
      </c>
      <c r="L1" s="224" t="s">
        <v>1247</v>
      </c>
      <c r="M1" s="224" t="s">
        <v>1707</v>
      </c>
      <c r="N1" s="224" t="s">
        <v>1248</v>
      </c>
      <c r="O1" s="224" t="s">
        <v>1708</v>
      </c>
      <c r="P1" s="225" t="s">
        <v>1709</v>
      </c>
    </row>
    <row r="2" spans="1:18">
      <c r="A2" t="s">
        <v>10</v>
      </c>
      <c r="B2" t="s">
        <v>325</v>
      </c>
      <c r="C2">
        <v>155777</v>
      </c>
      <c r="D2">
        <v>20149</v>
      </c>
      <c r="H2" t="s">
        <v>343</v>
      </c>
      <c r="I2" t="s">
        <v>105</v>
      </c>
      <c r="J2" t="s">
        <v>1252</v>
      </c>
      <c r="K2" s="194">
        <v>37249</v>
      </c>
      <c r="L2">
        <v>20</v>
      </c>
      <c r="M2" s="226">
        <v>60981</v>
      </c>
      <c r="N2">
        <v>1</v>
      </c>
      <c r="O2" t="e">
        <v>#N/A</v>
      </c>
      <c r="P2" t="str" cm="1">
        <f t="array" ref="P2">_xlfn.IFNA(_xlfn.IFS(N2=$Q$5,$R$5,N2=$Q$6,$R$6),"")</f>
        <v/>
      </c>
    </row>
    <row r="3" spans="1:18">
      <c r="A3" t="s">
        <v>12</v>
      </c>
      <c r="B3" t="s">
        <v>326</v>
      </c>
      <c r="C3">
        <v>98614</v>
      </c>
      <c r="D3">
        <v>15265</v>
      </c>
      <c r="G3" t="s">
        <v>1705</v>
      </c>
      <c r="H3" t="s">
        <v>346</v>
      </c>
      <c r="I3" t="s">
        <v>105</v>
      </c>
      <c r="J3" t="s">
        <v>1252</v>
      </c>
      <c r="K3" s="194">
        <v>41673</v>
      </c>
      <c r="L3">
        <v>7</v>
      </c>
      <c r="M3" s="226">
        <v>60915</v>
      </c>
      <c r="N3">
        <v>4</v>
      </c>
      <c r="O3" s="227">
        <v>1500</v>
      </c>
      <c r="P3" cm="1">
        <f t="array" ref="P3">_xlfn.IFNA(_xlfn.IFS(N3=$Q$5,$R$5,N3=$Q$6,$R$6),"")</f>
        <v>1500</v>
      </c>
    </row>
    <row r="4" spans="1:18" ht="15.5">
      <c r="A4" t="s">
        <v>1701</v>
      </c>
      <c r="B4" t="s">
        <v>327</v>
      </c>
      <c r="C4">
        <v>175102</v>
      </c>
      <c r="D4">
        <v>45775</v>
      </c>
      <c r="G4" s="223" t="s">
        <v>16</v>
      </c>
      <c r="H4" t="s">
        <v>349</v>
      </c>
      <c r="I4" t="s">
        <v>105</v>
      </c>
      <c r="J4" t="s">
        <v>1252</v>
      </c>
      <c r="K4" s="194">
        <v>40225</v>
      </c>
      <c r="L4">
        <v>11</v>
      </c>
      <c r="M4" s="226">
        <v>97071</v>
      </c>
      <c r="N4">
        <v>5</v>
      </c>
      <c r="O4" s="227">
        <v>3000</v>
      </c>
      <c r="P4" cm="1">
        <f t="array" ref="P4">_xlfn.IFNA(_xlfn.IFS(N4=$Q$5,$R$5,N4=$Q$6,$R$6),"")</f>
        <v>3000</v>
      </c>
      <c r="Q4" s="228" t="s">
        <v>1710</v>
      </c>
      <c r="R4" s="228" t="s">
        <v>1708</v>
      </c>
    </row>
    <row r="5" spans="1:18">
      <c r="A5" t="s">
        <v>16</v>
      </c>
      <c r="B5" t="s">
        <v>328</v>
      </c>
      <c r="C5">
        <v>96567</v>
      </c>
      <c r="D5">
        <v>30329</v>
      </c>
      <c r="H5" t="s">
        <v>351</v>
      </c>
      <c r="I5" t="s">
        <v>1254</v>
      </c>
      <c r="J5" t="s">
        <v>1252</v>
      </c>
      <c r="K5" s="194">
        <v>42229</v>
      </c>
      <c r="L5">
        <v>6</v>
      </c>
      <c r="M5" s="226">
        <v>115421</v>
      </c>
      <c r="N5">
        <v>3</v>
      </c>
      <c r="O5" t="e">
        <v>#N/A</v>
      </c>
      <c r="P5" t="str" cm="1">
        <f t="array" ref="P5">_xlfn.IFNA(_xlfn.IFS(N5=$Q$5,$R$5,N5=$Q$6,$R$6),"")</f>
        <v/>
      </c>
      <c r="Q5">
        <v>5</v>
      </c>
      <c r="R5">
        <v>3000</v>
      </c>
    </row>
    <row r="6" spans="1:18">
      <c r="A6" t="s">
        <v>26</v>
      </c>
      <c r="B6" t="s">
        <v>329</v>
      </c>
      <c r="C6">
        <v>83906</v>
      </c>
      <c r="D6">
        <v>25346</v>
      </c>
      <c r="H6" t="s">
        <v>353</v>
      </c>
      <c r="I6" t="s">
        <v>1255</v>
      </c>
      <c r="J6" t="s">
        <v>1252</v>
      </c>
      <c r="K6" s="194">
        <v>40525</v>
      </c>
      <c r="L6">
        <v>11</v>
      </c>
      <c r="M6" s="226">
        <v>115547</v>
      </c>
      <c r="N6">
        <v>4</v>
      </c>
      <c r="O6" s="227">
        <v>1500</v>
      </c>
      <c r="P6" cm="1">
        <f t="array" ref="P6">_xlfn.IFNA(_xlfn.IFS(N6=$Q$5,$R$5,N6=$Q$6,$R$6),"")</f>
        <v>1500</v>
      </c>
      <c r="Q6">
        <v>4</v>
      </c>
      <c r="R6">
        <v>1500</v>
      </c>
    </row>
    <row r="7" spans="1:18">
      <c r="A7" t="s">
        <v>1702</v>
      </c>
      <c r="B7" t="s">
        <v>330</v>
      </c>
      <c r="C7">
        <v>71579</v>
      </c>
      <c r="D7">
        <v>33530</v>
      </c>
      <c r="G7">
        <f>_xlfn.XLOOKUP(G4,A2:A15,D2:D15," Not Found")</f>
        <v>30329</v>
      </c>
      <c r="H7" t="s">
        <v>354</v>
      </c>
      <c r="I7" t="s">
        <v>129</v>
      </c>
      <c r="J7" t="s">
        <v>1173</v>
      </c>
      <c r="K7" s="194">
        <v>39829</v>
      </c>
      <c r="L7">
        <v>12</v>
      </c>
      <c r="M7" s="226">
        <v>69212</v>
      </c>
      <c r="N7">
        <v>2</v>
      </c>
      <c r="O7" t="e">
        <v>#N/A</v>
      </c>
      <c r="P7" t="str" cm="1">
        <f t="array" ref="P7">_xlfn.IFNA(_xlfn.IFS(N7=$Q$5,$R$5,N7=$Q$6,$R$6),"")</f>
        <v/>
      </c>
      <c r="Q7">
        <v>3</v>
      </c>
      <c r="R7">
        <v>900</v>
      </c>
    </row>
    <row r="8" spans="1:18">
      <c r="A8" t="s">
        <v>1701</v>
      </c>
      <c r="B8" t="s">
        <v>331</v>
      </c>
      <c r="C8">
        <v>177862</v>
      </c>
      <c r="D8">
        <v>31420</v>
      </c>
      <c r="G8">
        <f>_xlfn.XLOOKUP(G4,A2:A15,C2:C15)</f>
        <v>96567</v>
      </c>
      <c r="H8" t="s">
        <v>355</v>
      </c>
      <c r="I8" t="s">
        <v>1254</v>
      </c>
      <c r="J8" t="s">
        <v>1173</v>
      </c>
      <c r="K8" s="194">
        <v>37295</v>
      </c>
      <c r="L8">
        <v>19</v>
      </c>
      <c r="M8" s="226">
        <v>120198</v>
      </c>
      <c r="N8">
        <v>1</v>
      </c>
      <c r="O8" t="e">
        <v>#N/A</v>
      </c>
      <c r="P8" t="str" cm="1">
        <f t="array" ref="P8">_xlfn.IFNA(_xlfn.IFS(N8=$Q$5,$R$5,N8=$Q$6,$R$6),"")</f>
        <v/>
      </c>
      <c r="Q8">
        <v>2</v>
      </c>
      <c r="R8">
        <v>100</v>
      </c>
    </row>
    <row r="9" spans="1:18">
      <c r="A9" t="s">
        <v>1706</v>
      </c>
      <c r="B9" t="s">
        <v>332</v>
      </c>
      <c r="C9">
        <v>74526</v>
      </c>
      <c r="D9">
        <v>33264</v>
      </c>
      <c r="H9" t="s">
        <v>1256</v>
      </c>
      <c r="I9" t="s">
        <v>1257</v>
      </c>
      <c r="J9" t="s">
        <v>1173</v>
      </c>
      <c r="K9" s="194">
        <v>40267</v>
      </c>
      <c r="L9">
        <v>11</v>
      </c>
      <c r="M9" s="226">
        <v>107635</v>
      </c>
      <c r="N9">
        <v>5</v>
      </c>
      <c r="O9" s="227">
        <v>3000</v>
      </c>
      <c r="P9" cm="1">
        <f t="array" ref="P9">_xlfn.IFNA(_xlfn.IFS(N9=$Q$5,$R$5,N9=$Q$6,$R$6),"")</f>
        <v>3000</v>
      </c>
      <c r="Q9">
        <v>1</v>
      </c>
      <c r="R9">
        <v>0</v>
      </c>
    </row>
    <row r="10" spans="1:18">
      <c r="A10" t="s">
        <v>1703</v>
      </c>
      <c r="B10" t="s">
        <v>333</v>
      </c>
      <c r="C10">
        <v>79724</v>
      </c>
      <c r="D10">
        <v>44308</v>
      </c>
      <c r="H10" t="s">
        <v>358</v>
      </c>
      <c r="I10" t="s">
        <v>129</v>
      </c>
      <c r="J10" t="s">
        <v>1173</v>
      </c>
      <c r="K10" s="194">
        <v>37338</v>
      </c>
      <c r="L10">
        <v>19</v>
      </c>
      <c r="M10" s="226">
        <v>113020</v>
      </c>
      <c r="N10">
        <v>1</v>
      </c>
      <c r="O10" t="e">
        <v>#N/A</v>
      </c>
      <c r="P10" t="str" cm="1">
        <f t="array" ref="P10">_xlfn.IFNA(_xlfn.IFS(N10=$Q$5,$R$5,N10=$Q$6,$R$6),"")</f>
        <v/>
      </c>
    </row>
    <row r="11" spans="1:18">
      <c r="A11" t="s">
        <v>1706</v>
      </c>
      <c r="B11" t="s">
        <v>334</v>
      </c>
      <c r="C11">
        <v>84922</v>
      </c>
      <c r="D11">
        <v>30961</v>
      </c>
      <c r="H11" t="s">
        <v>1259</v>
      </c>
      <c r="I11" t="s">
        <v>1254</v>
      </c>
      <c r="J11" t="s">
        <v>1173</v>
      </c>
      <c r="K11" s="194">
        <v>38482</v>
      </c>
      <c r="L11">
        <v>16</v>
      </c>
      <c r="M11" s="226">
        <v>82341</v>
      </c>
      <c r="N11">
        <v>4</v>
      </c>
      <c r="O11" s="227">
        <v>1500</v>
      </c>
      <c r="P11" cm="1">
        <f t="array" ref="P11">_xlfn.IFNA(_xlfn.IFS(N11=$Q$5,$R$5,N11=$Q$6,$R$6),"")</f>
        <v>1500</v>
      </c>
    </row>
    <row r="12" spans="1:18">
      <c r="A12" t="s">
        <v>1702</v>
      </c>
      <c r="B12" t="s">
        <v>335</v>
      </c>
      <c r="C12">
        <v>90120</v>
      </c>
      <c r="D12">
        <v>12764</v>
      </c>
      <c r="G12" t="str">
        <f>VLOOKUP(G4,A1:D15,1,FALSE)</f>
        <v>Anuj Sharma</v>
      </c>
      <c r="H12" t="s">
        <v>360</v>
      </c>
      <c r="I12" t="s">
        <v>1257</v>
      </c>
      <c r="J12" t="s">
        <v>1173</v>
      </c>
      <c r="K12" s="194">
        <v>38860</v>
      </c>
      <c r="L12">
        <v>15</v>
      </c>
      <c r="M12" s="226">
        <v>98598</v>
      </c>
      <c r="N12">
        <v>3</v>
      </c>
      <c r="O12" t="e">
        <v>#N/A</v>
      </c>
      <c r="P12" t="str" cm="1">
        <f t="array" ref="P12">_xlfn.IFNA(_xlfn.IFS(N12=$Q$5,$R$5,N12=$Q$6,$R$6),"")</f>
        <v/>
      </c>
      <c r="R12" t="s">
        <v>1713</v>
      </c>
    </row>
    <row r="13" spans="1:18">
      <c r="A13" t="s">
        <v>16</v>
      </c>
      <c r="B13" t="s">
        <v>336</v>
      </c>
      <c r="C13">
        <v>95318</v>
      </c>
      <c r="D13">
        <v>19935</v>
      </c>
      <c r="H13" t="s">
        <v>1261</v>
      </c>
      <c r="I13" t="s">
        <v>1257</v>
      </c>
      <c r="J13" t="s">
        <v>1173</v>
      </c>
      <c r="K13" s="194">
        <v>39220</v>
      </c>
      <c r="L13">
        <v>14</v>
      </c>
      <c r="M13" s="226">
        <v>46350</v>
      </c>
      <c r="N13">
        <v>4</v>
      </c>
      <c r="O13" s="227">
        <v>1500</v>
      </c>
      <c r="P13" cm="1">
        <f t="array" ref="P13">_xlfn.IFNA(_xlfn.IFS(N13=$Q$5,$R$5,N13=$Q$6,$R$6),"")</f>
        <v>1500</v>
      </c>
      <c r="R13" t="s">
        <v>1711</v>
      </c>
    </row>
    <row r="14" spans="1:18">
      <c r="A14" t="s">
        <v>1704</v>
      </c>
      <c r="B14" t="s">
        <v>325</v>
      </c>
      <c r="C14">
        <v>100516</v>
      </c>
      <c r="D14">
        <v>10194</v>
      </c>
      <c r="H14" t="s">
        <v>362</v>
      </c>
      <c r="I14" t="s">
        <v>1257</v>
      </c>
      <c r="J14" t="s">
        <v>1173</v>
      </c>
      <c r="K14" s="194">
        <v>41857</v>
      </c>
      <c r="L14">
        <v>7</v>
      </c>
      <c r="M14" s="226">
        <v>61076</v>
      </c>
      <c r="N14">
        <v>1</v>
      </c>
      <c r="O14" t="e">
        <v>#N/A</v>
      </c>
      <c r="P14" t="str" cm="1">
        <f t="array" ref="P14">_xlfn.IFNA(_xlfn.IFS(N14=$Q$5,$R$5,N14=$Q$6,$R$6),"")</f>
        <v/>
      </c>
    </row>
    <row r="15" spans="1:18">
      <c r="A15" t="s">
        <v>28</v>
      </c>
      <c r="B15" t="s">
        <v>326</v>
      </c>
      <c r="C15">
        <v>105714</v>
      </c>
      <c r="D15">
        <v>4681</v>
      </c>
      <c r="H15" t="s">
        <v>363</v>
      </c>
      <c r="I15" t="s">
        <v>129</v>
      </c>
      <c r="J15" t="s">
        <v>1173</v>
      </c>
      <c r="K15" s="194">
        <v>42214</v>
      </c>
      <c r="L15">
        <v>6</v>
      </c>
      <c r="M15" s="226">
        <v>107968</v>
      </c>
      <c r="N15">
        <v>5</v>
      </c>
      <c r="O15" s="227">
        <v>3000</v>
      </c>
      <c r="P15" cm="1">
        <f t="array" ref="P15">_xlfn.IFNA(_xlfn.IFS(N15=$Q$5,$R$5,N15=$Q$6,$R$6),"")</f>
        <v>3000</v>
      </c>
    </row>
    <row r="16" spans="1:18">
      <c r="H16" t="s">
        <v>364</v>
      </c>
      <c r="I16" t="s">
        <v>1255</v>
      </c>
      <c r="J16" t="s">
        <v>1173</v>
      </c>
      <c r="K16" s="194">
        <v>37842</v>
      </c>
      <c r="L16">
        <v>18</v>
      </c>
      <c r="M16" s="226">
        <v>102146</v>
      </c>
      <c r="N16">
        <v>4</v>
      </c>
      <c r="O16" s="227">
        <v>1500</v>
      </c>
      <c r="P16" cm="1">
        <f t="array" ref="P16">_xlfn.IFNA(_xlfn.IFS(N16=$Q$5,$R$5,N16=$Q$6,$R$6),"")</f>
        <v>1500</v>
      </c>
    </row>
    <row r="17" spans="8:16">
      <c r="H17" t="s">
        <v>365</v>
      </c>
      <c r="I17" t="s">
        <v>120</v>
      </c>
      <c r="J17" t="s">
        <v>1173</v>
      </c>
      <c r="K17" s="194">
        <v>41865</v>
      </c>
      <c r="L17">
        <v>7</v>
      </c>
      <c r="M17" s="226">
        <v>46009</v>
      </c>
      <c r="N17">
        <v>3</v>
      </c>
      <c r="O17" t="e">
        <v>#N/A</v>
      </c>
      <c r="P17" t="str" cm="1">
        <f t="array" ref="P17">_xlfn.IFNA(_xlfn.IFS(N17=$Q$5,$R$5,N17=$Q$6,$R$6),"")</f>
        <v/>
      </c>
    </row>
    <row r="18" spans="8:16">
      <c r="H18" t="s">
        <v>366</v>
      </c>
      <c r="I18" t="s">
        <v>105</v>
      </c>
      <c r="J18" t="s">
        <v>1173</v>
      </c>
      <c r="K18" s="194">
        <v>37855</v>
      </c>
      <c r="L18">
        <v>18</v>
      </c>
      <c r="M18" s="226">
        <v>53399</v>
      </c>
      <c r="N18">
        <v>3</v>
      </c>
      <c r="O18" t="e">
        <v>#N/A</v>
      </c>
      <c r="P18" t="str" cm="1">
        <f t="array" ref="P18">_xlfn.IFNA(_xlfn.IFS(N18=$Q$5,$R$5,N18=$Q$6,$R$6),"")</f>
        <v/>
      </c>
    </row>
    <row r="19" spans="8:16">
      <c r="H19" t="s">
        <v>367</v>
      </c>
      <c r="I19" t="s">
        <v>105</v>
      </c>
      <c r="J19" t="s">
        <v>1173</v>
      </c>
      <c r="K19" s="194">
        <v>40782</v>
      </c>
      <c r="L19">
        <v>10</v>
      </c>
      <c r="M19" s="226">
        <v>45419</v>
      </c>
      <c r="N19">
        <v>5</v>
      </c>
      <c r="O19" s="227">
        <v>3000</v>
      </c>
      <c r="P19" cm="1">
        <f t="array" ref="P19">_xlfn.IFNA(_xlfn.IFS(N19=$Q$5,$R$5,N19=$Q$6,$R$6),"")</f>
        <v>3000</v>
      </c>
    </row>
    <row r="20" spans="8:16">
      <c r="H20" t="s">
        <v>368</v>
      </c>
      <c r="I20" t="s">
        <v>120</v>
      </c>
      <c r="J20" t="s">
        <v>1173</v>
      </c>
      <c r="K20" s="194">
        <v>40107</v>
      </c>
      <c r="L20">
        <v>12</v>
      </c>
      <c r="M20" s="226">
        <v>69038</v>
      </c>
      <c r="N20">
        <v>2</v>
      </c>
      <c r="O20" t="e">
        <v>#N/A</v>
      </c>
      <c r="P20" t="str" cm="1">
        <f t="array" ref="P20">_xlfn.IFNA(_xlfn.IFS(N20=$Q$5,$R$5,N20=$Q$6,$R$6),"")</f>
        <v/>
      </c>
    </row>
    <row r="21" spans="8:16">
      <c r="H21" t="s">
        <v>369</v>
      </c>
      <c r="I21" t="s">
        <v>105</v>
      </c>
      <c r="J21" t="s">
        <v>1173</v>
      </c>
      <c r="K21" s="194">
        <v>41204</v>
      </c>
      <c r="L21">
        <v>9</v>
      </c>
      <c r="M21" s="226">
        <v>46163</v>
      </c>
      <c r="N21">
        <v>4</v>
      </c>
      <c r="O21" s="227">
        <v>1500</v>
      </c>
      <c r="P21" cm="1">
        <f t="array" ref="P21">_xlfn.IFNA(_xlfn.IFS(N21=$Q$5,$R$5,N21=$Q$6,$R$6),"")</f>
        <v>1500</v>
      </c>
    </row>
    <row r="22" spans="8:16">
      <c r="H22" t="s">
        <v>1264</v>
      </c>
      <c r="I22" t="s">
        <v>1254</v>
      </c>
      <c r="J22" t="s">
        <v>1173</v>
      </c>
      <c r="K22" s="194">
        <v>37221</v>
      </c>
      <c r="L22">
        <v>20</v>
      </c>
      <c r="M22" s="226">
        <v>70990</v>
      </c>
      <c r="N22">
        <v>5</v>
      </c>
      <c r="O22" s="227">
        <v>3000</v>
      </c>
      <c r="P22" cm="1">
        <f t="array" ref="P22">_xlfn.IFNA(_xlfn.IFS(N22=$Q$5,$R$5,N22=$Q$6,$R$6),"")</f>
        <v>3000</v>
      </c>
    </row>
    <row r="23" spans="8:16">
      <c r="H23" t="s">
        <v>1265</v>
      </c>
      <c r="I23" t="s">
        <v>1255</v>
      </c>
      <c r="J23" t="s">
        <v>1173</v>
      </c>
      <c r="K23" s="194">
        <v>40147</v>
      </c>
      <c r="L23">
        <v>12</v>
      </c>
      <c r="M23" s="226">
        <v>45315</v>
      </c>
      <c r="N23">
        <v>3</v>
      </c>
      <c r="O23" t="e">
        <v>#N/A</v>
      </c>
      <c r="P23" t="str" cm="1">
        <f t="array" ref="P23">_xlfn.IFNA(_xlfn.IFS(N23=$Q$5,$R$5,N23=$Q$6,$R$6),"")</f>
        <v/>
      </c>
    </row>
    <row r="24" spans="8:16">
      <c r="H24" t="s">
        <v>1266</v>
      </c>
      <c r="I24" t="s">
        <v>1257</v>
      </c>
      <c r="J24" t="s">
        <v>1712</v>
      </c>
      <c r="K24" s="194">
        <v>39824</v>
      </c>
      <c r="L24">
        <v>12</v>
      </c>
      <c r="M24" s="226">
        <v>102687</v>
      </c>
      <c r="N24">
        <v>2</v>
      </c>
      <c r="O24" t="e">
        <v>#N/A</v>
      </c>
      <c r="P24" t="str" cm="1">
        <f t="array" ref="P24">_xlfn.IFNA(_xlfn.IFS(N24=$Q$5,$R$5,N24=$Q$6,$R$6),"")</f>
        <v/>
      </c>
    </row>
    <row r="25" spans="8:16">
      <c r="H25" t="s">
        <v>1268</v>
      </c>
      <c r="I25" t="s">
        <v>105</v>
      </c>
      <c r="J25" t="s">
        <v>1712</v>
      </c>
      <c r="K25" s="194">
        <v>37971</v>
      </c>
      <c r="L25">
        <v>18</v>
      </c>
      <c r="M25" s="226">
        <v>121213</v>
      </c>
      <c r="N25">
        <v>3</v>
      </c>
      <c r="O25" t="e">
        <v>#N/A</v>
      </c>
      <c r="P25" t="str" cm="1">
        <f t="array" ref="P25">_xlfn.IFNA(_xlfn.IFS(N25=$Q$5,$R$5,N25=$Q$6,$R$6),"")</f>
        <v/>
      </c>
    </row>
    <row r="26" spans="8:16">
      <c r="H26" t="s">
        <v>1269</v>
      </c>
      <c r="I26" t="s">
        <v>129</v>
      </c>
      <c r="J26" t="s">
        <v>1712</v>
      </c>
      <c r="K26" s="194">
        <v>37292</v>
      </c>
      <c r="L26">
        <v>19</v>
      </c>
      <c r="M26" s="226">
        <v>74666</v>
      </c>
      <c r="N26">
        <v>1</v>
      </c>
      <c r="O26" t="e">
        <v>#N/A</v>
      </c>
      <c r="P26" t="str" cm="1">
        <f t="array" ref="P26">_xlfn.IFNA(_xlfn.IFS(N26=$Q$5,$R$5,N26=$Q$6,$R$6),"")</f>
        <v/>
      </c>
    </row>
    <row r="27" spans="8:16">
      <c r="H27" t="s">
        <v>1270</v>
      </c>
      <c r="I27" t="s">
        <v>1254</v>
      </c>
      <c r="J27" t="s">
        <v>1712</v>
      </c>
      <c r="K27" s="194">
        <v>39129</v>
      </c>
      <c r="L27">
        <v>14</v>
      </c>
      <c r="M27" s="226">
        <v>90032</v>
      </c>
      <c r="N27">
        <v>1</v>
      </c>
      <c r="O27" t="e">
        <v>#N/A</v>
      </c>
      <c r="P27" t="str" cm="1">
        <f t="array" ref="P27">_xlfn.IFNA(_xlfn.IFS(N27=$Q$5,$R$5,N27=$Q$6,$R$6),"")</f>
        <v/>
      </c>
    </row>
    <row r="28" spans="8:16">
      <c r="H28" t="s">
        <v>1271</v>
      </c>
      <c r="I28" t="s">
        <v>105</v>
      </c>
      <c r="J28" t="s">
        <v>1712</v>
      </c>
      <c r="K28" s="194">
        <v>37697</v>
      </c>
      <c r="L28">
        <v>18</v>
      </c>
      <c r="M28" s="226">
        <v>43469</v>
      </c>
      <c r="N28">
        <v>1</v>
      </c>
      <c r="O28" t="e">
        <v>#N/A</v>
      </c>
      <c r="P28" t="str" cm="1">
        <f t="array" ref="P28">_xlfn.IFNA(_xlfn.IFS(N28=$Q$5,$R$5,N28=$Q$6,$R$6),"")</f>
        <v/>
      </c>
    </row>
    <row r="29" spans="8:16">
      <c r="H29" t="s">
        <v>1272</v>
      </c>
      <c r="I29" t="s">
        <v>105</v>
      </c>
      <c r="J29" t="s">
        <v>1712</v>
      </c>
      <c r="K29" s="194">
        <v>39929</v>
      </c>
      <c r="L29">
        <v>12</v>
      </c>
      <c r="M29" s="226">
        <v>68870</v>
      </c>
      <c r="N29">
        <v>1</v>
      </c>
      <c r="O29" t="e">
        <v>#N/A</v>
      </c>
      <c r="P29" t="str" cm="1">
        <f t="array" ref="P29">_xlfn.IFNA(_xlfn.IFS(N29=$Q$5,$R$5,N29=$Q$6,$R$6),"")</f>
        <v/>
      </c>
    </row>
  </sheetData>
  <conditionalFormatting sqref="A2:D15">
    <cfRule type="duplicateValues" dxfId="0" priority="1"/>
  </conditionalFormatting>
  <dataValidations count="1">
    <dataValidation type="list" allowBlank="1" showInputMessage="1" showErrorMessage="1" sqref="G4" xr:uid="{26656107-16ED-4676-9BEB-AC9E833D70CA}">
      <formula1>$A$2:$A$15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7FD2-2FDB-4AF7-877F-44CA642309D8}">
  <dimension ref="A1:S7"/>
  <sheetViews>
    <sheetView workbookViewId="0">
      <selection activeCell="K17" sqref="K17"/>
    </sheetView>
  </sheetViews>
  <sheetFormatPr defaultRowHeight="14.5"/>
  <cols>
    <col min="8" max="8" width="13.54296875" customWidth="1"/>
    <col min="9" max="9" width="14.1796875" customWidth="1"/>
    <col min="12" max="12" width="10.08984375" customWidth="1"/>
    <col min="14" max="14" width="9.81640625" customWidth="1"/>
    <col min="15" max="15" width="11.36328125" customWidth="1"/>
    <col min="16" max="17" width="13.453125" customWidth="1"/>
    <col min="18" max="18" width="18.54296875" customWidth="1"/>
    <col min="19" max="19" width="16.1796875" customWidth="1"/>
  </cols>
  <sheetData>
    <row r="1" spans="1:19" ht="15.5">
      <c r="A1" s="1" t="s">
        <v>1714</v>
      </c>
      <c r="K1" s="1" t="s">
        <v>1715</v>
      </c>
    </row>
    <row r="2" spans="1:19" ht="15.5">
      <c r="B2" s="84" t="s">
        <v>1716</v>
      </c>
      <c r="C2" s="237"/>
      <c r="D2" s="84" t="s">
        <v>1717</v>
      </c>
      <c r="E2" s="84" t="s">
        <v>1718</v>
      </c>
      <c r="F2" s="84" t="s">
        <v>1719</v>
      </c>
      <c r="G2" s="84" t="s">
        <v>1720</v>
      </c>
      <c r="H2" s="84" t="s">
        <v>1721</v>
      </c>
      <c r="I2" s="84" t="s">
        <v>1722</v>
      </c>
      <c r="J2" s="237"/>
      <c r="L2" s="84" t="s">
        <v>1716</v>
      </c>
      <c r="M2" s="237"/>
      <c r="N2" s="84" t="s">
        <v>1717</v>
      </c>
      <c r="O2" s="84" t="s">
        <v>1718</v>
      </c>
      <c r="P2" s="84" t="s">
        <v>1719</v>
      </c>
      <c r="Q2" s="84" t="s">
        <v>1720</v>
      </c>
      <c r="R2" s="84" t="s">
        <v>1721</v>
      </c>
      <c r="S2" s="84" t="s">
        <v>1722</v>
      </c>
    </row>
    <row r="3" spans="1:19">
      <c r="B3" t="s">
        <v>1023</v>
      </c>
      <c r="D3" t="s">
        <v>1023</v>
      </c>
      <c r="E3">
        <f>MATCH(D3,B3:B7,0)</f>
        <v>1</v>
      </c>
      <c r="F3" t="str">
        <f>IFERROR(D3,"Not Found")</f>
        <v>A</v>
      </c>
      <c r="G3" t="b">
        <f>ISERROR(D3)</f>
        <v>0</v>
      </c>
      <c r="H3" t="str">
        <f>IF(ISERROR(B3),"Found","Not Found")</f>
        <v>Not Found</v>
      </c>
      <c r="I3" t="str">
        <f>IF(ISERROR(E3),"Found","Not Found")</f>
        <v>Not Found</v>
      </c>
      <c r="L3" t="s">
        <v>1023</v>
      </c>
      <c r="N3" t="s">
        <v>1023</v>
      </c>
      <c r="O3" t="e" cm="1">
        <f t="array" aca="1" ref="O3" ca="1">MTCH(L3,L3:L7,0)</f>
        <v>#NAME?</v>
      </c>
      <c r="P3" t="str">
        <f>IFERROR(L3,"Error")</f>
        <v>A</v>
      </c>
      <c r="Q3" t="b">
        <f>ISERROR(N3)</f>
        <v>0</v>
      </c>
      <c r="R3" t="str">
        <f ca="1">IF(ISERROR(O3),"True","False")</f>
        <v>True</v>
      </c>
      <c r="S3" t="str">
        <f ca="1">IF(ISERROR(O3),"Found","Not Found")</f>
        <v>Found</v>
      </c>
    </row>
    <row r="4" spans="1:19">
      <c r="B4" t="s">
        <v>1024</v>
      </c>
      <c r="D4" t="s">
        <v>345</v>
      </c>
      <c r="E4" t="e">
        <f>MATCH(D4,B4:B8,0)</f>
        <v>#N/A</v>
      </c>
      <c r="F4" t="str">
        <f>IFERROR(D4,"Not Found")</f>
        <v>F</v>
      </c>
      <c r="G4" t="b">
        <f>ISERROR(D4)</f>
        <v>0</v>
      </c>
      <c r="H4" t="str">
        <f>IF(ISERROR(B4),"Found","Not Found")</f>
        <v>Not Found</v>
      </c>
      <c r="I4" t="str">
        <f>IF(ISERROR(E4),"Found","Not Found")</f>
        <v>Found</v>
      </c>
      <c r="L4" t="s">
        <v>1024</v>
      </c>
      <c r="N4" t="s">
        <v>345</v>
      </c>
      <c r="O4" t="e" cm="1">
        <f t="array" aca="1" ref="O4" ca="1">MTCH(L4,L4:L8,0)</f>
        <v>#NAME?</v>
      </c>
      <c r="P4" t="str">
        <f>IFERROR(L4,"Error")</f>
        <v>B</v>
      </c>
      <c r="Q4" t="b">
        <f>ISERROR(N4)</f>
        <v>0</v>
      </c>
      <c r="R4" t="str">
        <f ca="1">IF(ISERROR(O4),"True","False")</f>
        <v>True</v>
      </c>
      <c r="S4" t="str">
        <f ca="1">IF(ISERROR(O4),"Found","Not Found")</f>
        <v>Found</v>
      </c>
    </row>
    <row r="5" spans="1:19">
      <c r="B5" t="s">
        <v>1025</v>
      </c>
      <c r="L5" t="s">
        <v>1025</v>
      </c>
    </row>
    <row r="6" spans="1:19">
      <c r="B6" t="s">
        <v>1026</v>
      </c>
      <c r="L6" t="s">
        <v>1026</v>
      </c>
    </row>
    <row r="7" spans="1:19">
      <c r="B7" t="s">
        <v>1027</v>
      </c>
      <c r="L7" t="s">
        <v>1027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B9FF-55F2-4F12-833A-B27AA07D7C5E}">
  <dimension ref="A1"/>
  <sheetViews>
    <sheetView workbookViewId="0"/>
  </sheetViews>
  <sheetFormatPr defaultRowHeight="14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17B45-AF3F-4E7C-8CDD-D1870560BD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3</vt:i4>
      </vt:variant>
    </vt:vector>
  </HeadingPairs>
  <TitlesOfParts>
    <vt:vector size="48" baseType="lpstr">
      <vt:lpstr>Formatting Cells &amp; Table</vt:lpstr>
      <vt:lpstr>Auto Format</vt:lpstr>
      <vt:lpstr>Custom Format</vt:lpstr>
      <vt:lpstr>Name Ranges calcs</vt:lpstr>
      <vt:lpstr>freeze panes</vt:lpstr>
      <vt:lpstr>conditional frmtng</vt:lpstr>
      <vt:lpstr>DataValidation</vt:lpstr>
      <vt:lpstr>What -If Analysis</vt:lpstr>
      <vt:lpstr>Finding Duplicates</vt:lpstr>
      <vt:lpstr>Transpose rows&amp;cols</vt:lpstr>
      <vt:lpstr>Blank Spaces</vt:lpstr>
      <vt:lpstr>Combining rows&amp;cols</vt:lpstr>
      <vt:lpstr>Autofill &amp; Flashfill</vt:lpstr>
      <vt:lpstr>Find &amp; Replace</vt:lpstr>
      <vt:lpstr>Check boxes</vt:lpstr>
      <vt:lpstr>Adding images</vt:lpstr>
      <vt:lpstr>adding PDF</vt:lpstr>
      <vt:lpstr>Hiding charts</vt:lpstr>
      <vt:lpstr>Hyperlinks</vt:lpstr>
      <vt:lpstr> Add charts</vt:lpstr>
      <vt:lpstr>Add watermarks</vt:lpstr>
      <vt:lpstr>Loading XML, CSV, PDF Datasets</vt:lpstr>
      <vt:lpstr>Flashfill &amp; Autofill</vt:lpstr>
      <vt:lpstr>Heatmap</vt:lpstr>
      <vt:lpstr>Bubble chart</vt:lpstr>
      <vt:lpstr>Sparklines</vt:lpstr>
      <vt:lpstr>TrancePrecedents&amp;Dependents</vt:lpstr>
      <vt:lpstr>Protecting worksheet&amp;book</vt:lpstr>
      <vt:lpstr>Aggreaget functions</vt:lpstr>
      <vt:lpstr>Aggregate functions</vt:lpstr>
      <vt:lpstr>Aggregate functions 2</vt:lpstr>
      <vt:lpstr>Some Calcs</vt:lpstr>
      <vt:lpstr>IF,AND,NOT,SWITCH</vt:lpstr>
      <vt:lpstr>If,And,Or</vt:lpstr>
      <vt:lpstr>Nested IFs</vt:lpstr>
      <vt:lpstr>IF &amp; IFS</vt:lpstr>
      <vt:lpstr>Count, Sum &amp; Averageifs</vt:lpstr>
      <vt:lpstr>Index &amp; Match</vt:lpstr>
      <vt:lpstr>Date functions 1</vt:lpstr>
      <vt:lpstr>Date functions 2</vt:lpstr>
      <vt:lpstr>Vlookup</vt:lpstr>
      <vt:lpstr>VLOOKUP &amp; HLOOKUP</vt:lpstr>
      <vt:lpstr>Error Handling - IFNA</vt:lpstr>
      <vt:lpstr>Error Handling</vt:lpstr>
      <vt:lpstr>Sheet1</vt:lpstr>
      <vt:lpstr>customer_name</vt:lpstr>
      <vt:lpstr>Quantity1</vt:lpstr>
      <vt:lpstr>Table23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Ranvijay Chauhan</dc:creator>
  <cp:lastModifiedBy>Ranvijay Chauhan</cp:lastModifiedBy>
  <dcterms:created xsi:type="dcterms:W3CDTF">2025-07-30T14:15:21Z</dcterms:created>
  <dcterms:modified xsi:type="dcterms:W3CDTF">2025-08-19T13:54:52Z</dcterms:modified>
</cp:coreProperties>
</file>