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tables/table4.xml" ContentType="application/vnd.openxmlformats-officedocument.spreadsheetml.table+xml"/>
  <Override PartName="/xl/namedSheetViews/namedSheetView1.xml" ContentType="application/vnd.ms-excel.namedsheetview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/>
  <mc:AlternateContent xmlns:mc="http://schemas.openxmlformats.org/markup-compatibility/2006">
    <mc:Choice Requires="x15">
      <x15ac:absPath xmlns:x15ac="http://schemas.microsoft.com/office/spreadsheetml/2010/11/ac" url="https://gtuae-my.sharepoint.com/personal/sabina_ashirova_az_gt_com/Documents/Desktop/My stuff/Projects/"/>
    </mc:Choice>
  </mc:AlternateContent>
  <xr:revisionPtr revIDLastSave="651" documentId="11_F25DC773A252ABDACC1048C8F95E62505ADE58F4" xr6:coauthVersionLast="47" xr6:coauthVersionMax="47" xr10:uidLastSave="{BDDAC390-D56D-4448-AC97-4105095EFDFB}"/>
  <bookViews>
    <workbookView xWindow="-110" yWindow="-110" windowWidth="19420" windowHeight="11500" firstSheet="2" activeTab="4" xr2:uid="{00000000-000D-0000-FFFF-FFFF00000000}"/>
  </bookViews>
  <sheets>
    <sheet name="Original data" sheetId="1" r:id="rId1"/>
    <sheet name="Main data" sheetId="3" r:id="rId2"/>
    <sheet name="Data without missing values" sheetId="4" r:id="rId3"/>
    <sheet name="Sales analysis" sheetId="7" r:id="rId4"/>
    <sheet name="Profitability Ananlysis" sheetId="10" r:id="rId5"/>
  </sheet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6" i="4" l="1" a="1"/>
  <c r="D26" i="4" s="1"/>
  <c r="E26" i="4" s="1"/>
  <c r="B60" i="7"/>
  <c r="B15" i="7"/>
  <c r="H2" i="10"/>
  <c r="H3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B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E7" i="10"/>
  <c r="E18" i="10"/>
  <c r="E11" i="10"/>
  <c r="E8" i="10"/>
  <c r="E16" i="10"/>
  <c r="E5" i="10"/>
  <c r="E13" i="10"/>
  <c r="E10" i="10"/>
  <c r="E9" i="10"/>
  <c r="E14" i="10"/>
  <c r="E2" i="10"/>
  <c r="E19" i="10"/>
  <c r="E12" i="10"/>
  <c r="E15" i="10"/>
  <c r="E6" i="10"/>
  <c r="E17" i="10"/>
  <c r="E3" i="10"/>
  <c r="E4" i="10"/>
  <c r="E20" i="10"/>
  <c r="D7" i="10"/>
  <c r="D18" i="10"/>
  <c r="D11" i="10"/>
  <c r="D8" i="10"/>
  <c r="D16" i="10"/>
  <c r="D5" i="10"/>
  <c r="D13" i="10"/>
  <c r="D10" i="10"/>
  <c r="D9" i="10"/>
  <c r="D14" i="10"/>
  <c r="D2" i="10"/>
  <c r="D19" i="10"/>
  <c r="D12" i="10"/>
  <c r="D15" i="10"/>
  <c r="D6" i="10"/>
  <c r="D17" i="10"/>
  <c r="D3" i="10"/>
  <c r="D4" i="10"/>
  <c r="D20" i="10"/>
  <c r="F7" i="10"/>
  <c r="F18" i="10"/>
  <c r="F11" i="10"/>
  <c r="F8" i="10"/>
  <c r="F16" i="10"/>
  <c r="F5" i="10"/>
  <c r="F13" i="10"/>
  <c r="F10" i="10"/>
  <c r="F9" i="10"/>
  <c r="F14" i="10"/>
  <c r="F2" i="10"/>
  <c r="F19" i="10"/>
  <c r="F12" i="10"/>
  <c r="F15" i="10"/>
  <c r="F6" i="10"/>
  <c r="F17" i="10"/>
  <c r="F3" i="10"/>
  <c r="F4" i="10"/>
  <c r="F20" i="10"/>
  <c r="C7" i="10"/>
  <c r="C18" i="10"/>
  <c r="C11" i="10"/>
  <c r="C8" i="10"/>
  <c r="C16" i="10"/>
  <c r="C5" i="10"/>
  <c r="C13" i="10"/>
  <c r="C10" i="10"/>
  <c r="C9" i="10"/>
  <c r="C14" i="10"/>
  <c r="C2" i="10"/>
  <c r="C19" i="10"/>
  <c r="C12" i="10"/>
  <c r="C15" i="10"/>
  <c r="C6" i="10"/>
  <c r="C17" i="10"/>
  <c r="C3" i="10"/>
  <c r="C4" i="10"/>
  <c r="C20" i="10"/>
  <c r="A7" i="10"/>
  <c r="A18" i="10"/>
  <c r="A11" i="10"/>
  <c r="A8" i="10"/>
  <c r="A16" i="10"/>
  <c r="A5" i="10"/>
  <c r="A13" i="10"/>
  <c r="A10" i="10"/>
  <c r="A9" i="10"/>
  <c r="A14" i="10"/>
  <c r="A2" i="10"/>
  <c r="A19" i="10"/>
  <c r="A12" i="10"/>
  <c r="A15" i="10"/>
  <c r="A6" i="10"/>
  <c r="A17" i="10"/>
  <c r="A3" i="10"/>
  <c r="A4" i="10"/>
  <c r="A20" i="10"/>
  <c r="J2" i="3"/>
  <c r="B14" i="7"/>
  <c r="H39" i="3"/>
  <c r="E39" i="3"/>
  <c r="C39" i="3"/>
  <c r="B39" i="3"/>
  <c r="J3" i="3"/>
  <c r="L3" i="3" s="1"/>
  <c r="J6" i="3"/>
  <c r="L6" i="3" s="1"/>
  <c r="J7" i="3"/>
  <c r="L7" i="3" s="1"/>
  <c r="J9" i="3"/>
  <c r="L9" i="3" s="1"/>
  <c r="J10" i="3"/>
  <c r="L10" i="3" s="1"/>
  <c r="J11" i="3"/>
  <c r="L11" i="3" s="1"/>
  <c r="J12" i="3"/>
  <c r="L12" i="3" s="1"/>
  <c r="J13" i="3"/>
  <c r="L13" i="3" s="1"/>
  <c r="J15" i="3"/>
  <c r="L15" i="3" s="1"/>
  <c r="J16" i="3"/>
  <c r="L16" i="3" s="1"/>
  <c r="J17" i="3"/>
  <c r="L17" i="3" s="1"/>
  <c r="J18" i="3"/>
  <c r="L18" i="3" s="1"/>
  <c r="J19" i="3"/>
  <c r="L19" i="3" s="1"/>
  <c r="J20" i="3"/>
  <c r="L20" i="3" s="1"/>
  <c r="J21" i="3"/>
  <c r="L21" i="3" s="1"/>
  <c r="J22" i="3"/>
  <c r="L22" i="3" s="1"/>
  <c r="J24" i="3"/>
  <c r="L24" i="3" s="1"/>
  <c r="J25" i="3"/>
  <c r="L25" i="3" s="1"/>
  <c r="J26" i="3"/>
  <c r="L26" i="3" s="1"/>
  <c r="J27" i="3"/>
  <c r="L27" i="3" s="1"/>
  <c r="J28" i="3"/>
  <c r="L28" i="3" s="1"/>
  <c r="J29" i="3"/>
  <c r="L29" i="3" s="1"/>
  <c r="J30" i="3"/>
  <c r="L30" i="3" s="1"/>
  <c r="J31" i="3"/>
  <c r="L31" i="3" s="1"/>
  <c r="J32" i="3"/>
  <c r="L32" i="3" s="1"/>
  <c r="J33" i="3"/>
  <c r="L33" i="3" s="1"/>
  <c r="J34" i="3"/>
  <c r="L34" i="3" s="1"/>
  <c r="J35" i="3"/>
  <c r="L35" i="3" s="1"/>
  <c r="J36" i="3"/>
  <c r="L36" i="3" s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O5" i="10"/>
  <c r="E32" i="4" l="1"/>
  <c r="E31" i="4"/>
  <c r="E30" i="4"/>
  <c r="E29" i="4"/>
  <c r="E28" i="4"/>
  <c r="E27" i="4"/>
  <c r="G15" i="10"/>
  <c r="G10" i="10"/>
  <c r="I10" i="10" s="1"/>
  <c r="G12" i="10"/>
  <c r="I12" i="10" s="1"/>
  <c r="G9" i="10"/>
  <c r="I9" i="10" s="1"/>
  <c r="G13" i="10"/>
  <c r="I13" i="10" s="1"/>
  <c r="G19" i="10"/>
  <c r="G5" i="10"/>
  <c r="I5" i="10" s="1"/>
  <c r="G2" i="10"/>
  <c r="G20" i="10"/>
  <c r="G16" i="10"/>
  <c r="I16" i="10" s="1"/>
  <c r="G14" i="10"/>
  <c r="G4" i="10"/>
  <c r="I4" i="10" s="1"/>
  <c r="G8" i="10"/>
  <c r="I8" i="10" s="1"/>
  <c r="G3" i="10"/>
  <c r="I3" i="10" s="1"/>
  <c r="G11" i="10"/>
  <c r="I11" i="10" s="1"/>
  <c r="G17" i="10"/>
  <c r="I17" i="10" s="1"/>
  <c r="G18" i="10"/>
  <c r="G6" i="10"/>
  <c r="I6" i="10" s="1"/>
  <c r="G7" i="10"/>
  <c r="F39" i="3"/>
  <c r="I39" i="3"/>
  <c r="L2" i="3"/>
  <c r="K39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<sst xmlns="http://schemas.openxmlformats.org/spreadsheetml/2006/main" count="969" uniqueCount="99">
  <si>
    <t>Order ID</t>
  </si>
  <si>
    <t>Customer Name</t>
  </si>
  <si>
    <t>Product</t>
  </si>
  <si>
    <t>Order Date</t>
  </si>
  <si>
    <t>Quantity Ordered</t>
  </si>
  <si>
    <t>Price Each</t>
  </si>
  <si>
    <t>Region</t>
  </si>
  <si>
    <t>Category</t>
  </si>
  <si>
    <t>Payment Method</t>
  </si>
  <si>
    <t>Customer Segment</t>
  </si>
  <si>
    <t>Order Priority</t>
  </si>
  <si>
    <t>Discount (%)</t>
  </si>
  <si>
    <t>Shipping Cost</t>
  </si>
  <si>
    <t>Profit Margin (%)</t>
  </si>
  <si>
    <t>Customer Feedback</t>
  </si>
  <si>
    <t>Order Status</t>
  </si>
  <si>
    <t>Jane Smith</t>
  </si>
  <si>
    <t>Laptop</t>
  </si>
  <si>
    <t>West</t>
  </si>
  <si>
    <t>Electronics</t>
  </si>
  <si>
    <t>PayPal</t>
  </si>
  <si>
    <t>Retail</t>
  </si>
  <si>
    <t>High</t>
  </si>
  <si>
    <t>Delivered</t>
  </si>
  <si>
    <t>Bob Lee</t>
  </si>
  <si>
    <t>Tablet</t>
  </si>
  <si>
    <t>InvalidDate</t>
  </si>
  <si>
    <t>N/A</t>
  </si>
  <si>
    <t>East</t>
  </si>
  <si>
    <t>Accessories</t>
  </si>
  <si>
    <t>Cash</t>
  </si>
  <si>
    <t>Corporate</t>
  </si>
  <si>
    <t>Medium</t>
  </si>
  <si>
    <t>Returned</t>
  </si>
  <si>
    <t>Chris Wong</t>
  </si>
  <si>
    <t>Printer</t>
  </si>
  <si>
    <t>South</t>
  </si>
  <si>
    <t>Credit Card</t>
  </si>
  <si>
    <t>SMB</t>
  </si>
  <si>
    <t>Low</t>
  </si>
  <si>
    <t>Alice Johnson</t>
  </si>
  <si>
    <t>Smartphone</t>
  </si>
  <si>
    <t>North</t>
  </si>
  <si>
    <t>Cancelled</t>
  </si>
  <si>
    <t>Emily Davis</t>
  </si>
  <si>
    <t>Monitor</t>
  </si>
  <si>
    <t>Bank Transfer</t>
  </si>
  <si>
    <t>John Doe</t>
  </si>
  <si>
    <t>Keyboard</t>
  </si>
  <si>
    <t>Mouse</t>
  </si>
  <si>
    <t>Date unknown</t>
  </si>
  <si>
    <t>Price unknown</t>
  </si>
  <si>
    <t>Customer First Name</t>
  </si>
  <si>
    <t>Jane</t>
  </si>
  <si>
    <t>Smith</t>
  </si>
  <si>
    <t>Bob</t>
  </si>
  <si>
    <t>Lee</t>
  </si>
  <si>
    <t>Chris</t>
  </si>
  <si>
    <t>Wong</t>
  </si>
  <si>
    <t>Alice</t>
  </si>
  <si>
    <t>Johnson</t>
  </si>
  <si>
    <t>Emily</t>
  </si>
  <si>
    <t>Davis</t>
  </si>
  <si>
    <t>John</t>
  </si>
  <si>
    <t>Doe</t>
  </si>
  <si>
    <t>Customer Last Name</t>
  </si>
  <si>
    <t>First name unknown</t>
  </si>
  <si>
    <t>Last Name unknown</t>
  </si>
  <si>
    <t>Order Month</t>
  </si>
  <si>
    <t>Total Profit</t>
  </si>
  <si>
    <t>Profit after discount</t>
  </si>
  <si>
    <t>Num of missing values</t>
  </si>
  <si>
    <t>Grand Total</t>
  </si>
  <si>
    <t>February</t>
  </si>
  <si>
    <t>March</t>
  </si>
  <si>
    <t>June</t>
  </si>
  <si>
    <t>April</t>
  </si>
  <si>
    <t>January</t>
  </si>
  <si>
    <t>May</t>
  </si>
  <si>
    <t>Products</t>
  </si>
  <si>
    <t>Worst-selling</t>
  </si>
  <si>
    <t>Top-selling</t>
  </si>
  <si>
    <t>Highest revenue</t>
  </si>
  <si>
    <t>Net Income</t>
  </si>
  <si>
    <t>Quantity</t>
  </si>
  <si>
    <t>Price per each</t>
  </si>
  <si>
    <t>Profit margin (%)</t>
  </si>
  <si>
    <t>Final Net Income</t>
  </si>
  <si>
    <t xml:space="preserve"> Net Income before cancellation/return</t>
  </si>
  <si>
    <t>Final Net Income.</t>
  </si>
  <si>
    <t>Lost due to cancellations/returns =</t>
  </si>
  <si>
    <t>More profitable (might be biased because of the amount of cancellation/returns)</t>
  </si>
  <si>
    <t>Final Profit (considering cancellations/ returns)</t>
  </si>
  <si>
    <t>Sum of Final Profit (considering cancellations/ returns)</t>
  </si>
  <si>
    <t>Sum of Quantity Ordered</t>
  </si>
  <si>
    <t>Months</t>
  </si>
  <si>
    <t>Quantity Ordered per month</t>
  </si>
  <si>
    <t>AVG feedback</t>
  </si>
  <si>
    <t>Total Final Profit (considering cancellations/ returns)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</si>
</sst>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49" fontId="0" fillId="0" borderId="1" xfId="0" applyNumberFormat="1" applyBorder="1"/>
    <xf numFmtId="14" fontId="0" fillId="0" borderId="1" xfId="0" applyNumberFormat="1" applyBorder="1"/>
    <xf numFmtId="2" fontId="0" fillId="0" borderId="1" xfId="0" applyNumberFormat="1" applyBorder="1"/>
    <xf numFmtId="49" fontId="0" fillId="3" borderId="1" xfId="0" applyNumberFormat="1" applyFill="1" applyBorder="1"/>
    <xf numFmtId="0" fontId="0" fillId="4" borderId="0" xfId="0" applyFill="1"/>
    <xf numFmtId="0" fontId="0" fillId="5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6" borderId="1" xfId="0" applyFill="1" applyBorder="1"/>
    <xf numFmtId="49" fontId="0" fillId="6" borderId="1" xfId="0" applyNumberFormat="1" applyFill="1" applyBorder="1"/>
    <xf numFmtId="14" fontId="0" fillId="6" borderId="1" xfId="0" applyNumberFormat="1" applyFill="1" applyBorder="1"/>
    <xf numFmtId="2" fontId="0" fillId="6" borderId="1" xfId="0" applyNumberFormat="1" applyFill="1" applyBorder="1"/>
    <xf numFmtId="0" fontId="2" fillId="0" borderId="0" xfId="0" applyFont="1"/>
    <xf numFmtId="0" fontId="2" fillId="0" borderId="0" xfId="0" applyFont="1" applyAlignment="1">
      <alignment horizontal="left"/>
    </xf>
    <xf numFmtId="2" fontId="2" fillId="0" borderId="0" xfId="0" applyNumberFormat="1" applyFont="1"/>
    <xf numFmtId="0" fontId="2" fillId="0" borderId="0" xfId="0" applyFont="1" applyAlignment="1">
      <alignment horizontal="left" indent="1"/>
    </xf>
    <xf numFmtId="0" fontId="1" fillId="2" borderId="3" xfId="0" applyFont="1" applyFill="1" applyBorder="1"/>
    <xf numFmtId="0" fontId="1" fillId="2" borderId="0" xfId="0" applyFont="1" applyFill="1"/>
    <xf numFmtId="14" fontId="1" fillId="2" borderId="0" xfId="0" applyNumberFormat="1" applyFont="1" applyFill="1"/>
    <xf numFmtId="2" fontId="1" fillId="2" borderId="0" xfId="0" applyNumberFormat="1" applyFont="1" applyFill="1"/>
    <xf numFmtId="0" fontId="1" fillId="2" borderId="4" xfId="0" applyFont="1" applyFill="1" applyBorder="1"/>
    <xf numFmtId="0" fontId="0" fillId="6" borderId="2" xfId="0" applyFill="1" applyBorder="1"/>
    <xf numFmtId="49" fontId="0" fillId="6" borderId="2" xfId="0" applyNumberFormat="1" applyFill="1" applyBorder="1"/>
    <xf numFmtId="14" fontId="0" fillId="6" borderId="2" xfId="0" applyNumberFormat="1" applyFill="1" applyBorder="1"/>
    <xf numFmtId="2" fontId="0" fillId="6" borderId="2" xfId="0" applyNumberFormat="1" applyFill="1" applyBorder="1"/>
    <xf numFmtId="0" fontId="0" fillId="0" borderId="2" xfId="0" applyBorder="1"/>
    <xf numFmtId="0" fontId="0" fillId="8" borderId="5" xfId="0" applyFill="1" applyBorder="1"/>
    <xf numFmtId="2" fontId="0" fillId="8" borderId="5" xfId="0" applyNumberFormat="1" applyFill="1" applyBorder="1"/>
    <xf numFmtId="0" fontId="0" fillId="0" borderId="5" xfId="0" applyBorder="1"/>
    <xf numFmtId="2" fontId="0" fillId="0" borderId="5" xfId="0" applyNumberFormat="1" applyBorder="1"/>
    <xf numFmtId="2" fontId="0" fillId="8" borderId="5" xfId="0" applyNumberFormat="1" applyFill="1" applyBorder="1" applyAlignment="1">
      <alignment horizontal="right"/>
    </xf>
    <xf numFmtId="2" fontId="0" fillId="0" borderId="5" xfId="0" applyNumberFormat="1" applyBorder="1" applyAlignment="1">
      <alignment horizontal="right"/>
    </xf>
    <xf numFmtId="0" fontId="1" fillId="7" borderId="0" xfId="0" applyFont="1" applyFill="1"/>
    <xf numFmtId="2" fontId="1" fillId="7" borderId="0" xfId="0" applyNumberFormat="1" applyFont="1" applyFill="1"/>
    <xf numFmtId="0" fontId="0" fillId="3" borderId="0" xfId="0" applyFill="1"/>
    <xf numFmtId="2" fontId="0" fillId="8" borderId="0" xfId="0" applyNumberFormat="1" applyFill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2" fontId="0" fillId="3" borderId="1" xfId="0" applyNumberFormat="1" applyFill="1" applyBorder="1"/>
    <xf numFmtId="0" fontId="0" fillId="9" borderId="0" xfId="0" applyFill="1"/>
    <xf numFmtId="2" fontId="2" fillId="9" borderId="0" xfId="0" applyNumberFormat="1" applyFont="1" applyFill="1"/>
    <xf numFmtId="0" fontId="0" fillId="9" borderId="1" xfId="0" applyFill="1" applyBorder="1" applyAlignment="1">
      <alignment horizontal="left"/>
    </xf>
    <xf numFmtId="2" fontId="0" fillId="9" borderId="1" xfId="0" applyNumberFormat="1" applyFill="1" applyBorder="1"/>
    <xf numFmtId="2" fontId="2" fillId="6" borderId="1" xfId="0" applyNumberFormat="1" applyFont="1" applyFill="1" applyBorder="1"/>
    <xf numFmtId="2" fontId="2" fillId="6" borderId="2" xfId="0" applyNumberFormat="1" applyFont="1" applyFill="1" applyBorder="1"/>
    <xf numFmtId="0" fontId="1" fillId="10" borderId="6" xfId="0" applyFont="1" applyFill="1" applyBorder="1"/>
    <xf numFmtId="0" fontId="3" fillId="11" borderId="0" xfId="0" applyFont="1" applyFill="1" applyAlignment="1">
      <alignment horizontal="left"/>
    </xf>
    <xf numFmtId="2" fontId="3" fillId="11" borderId="0" xfId="0" applyNumberFormat="1" applyFont="1" applyFill="1"/>
    <xf numFmtId="0" fontId="1" fillId="11" borderId="0" xfId="0" applyFont="1" applyFill="1" applyAlignment="1">
      <alignment horizontal="left"/>
    </xf>
    <xf numFmtId="2" fontId="1" fillId="11" borderId="0" xfId="0" applyNumberFormat="1" applyFont="1" applyFill="1"/>
    <xf numFmtId="0" fontId="0" fillId="4" borderId="1" xfId="0" applyFill="1" applyBorder="1"/>
    <xf numFmtId="0" fontId="2" fillId="5" borderId="1" xfId="0" applyFont="1" applyFill="1" applyBorder="1"/>
    <xf numFmtId="0" fontId="0" fillId="0" borderId="1" xfId="0" applyBorder="1" applyAlignment="1">
      <alignment horizontal="left" indent="1"/>
    </xf>
  </cellXfs>
  <cellStyles count="1">
    <cellStyle name="Normal" xfId="0" builtinId="0"/>
  </cellStyles>
  <dxfs count="1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alignment horizontal="righ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2" formatCode="0.00"/>
      <fill>
        <patternFill patternType="solid">
          <fgColor theme="4"/>
          <bgColor theme="4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2" formatCode="0.00"/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8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analysis'!$BH$120:$BH$126</c:f>
              <c:strCache>
                <c:ptCount val="7"/>
                <c:pt idx="0">
                  <c:v>Printer</c:v>
                </c:pt>
                <c:pt idx="1">
                  <c:v>Laptop</c:v>
                </c:pt>
                <c:pt idx="2">
                  <c:v>Tablet</c:v>
                </c:pt>
                <c:pt idx="3">
                  <c:v>Keyboard</c:v>
                </c:pt>
                <c:pt idx="4">
                  <c:v>Smartphone</c:v>
                </c:pt>
                <c:pt idx="5">
                  <c:v>Monitor</c:v>
                </c:pt>
                <c:pt idx="6">
                  <c:v>Mouse</c:v>
                </c:pt>
              </c:strCache>
            </c:strRef>
          </c:cat>
          <c:val>
            <c:numRef>
              <c:f>'Sales analysis'!$BI$120:$BI$126</c:f>
              <c:numCache>
                <c:formatCode>0.00</c:formatCode>
                <c:ptCount val="7"/>
                <c:pt idx="0">
                  <c:v>10154.860500000001</c:v>
                </c:pt>
                <c:pt idx="1">
                  <c:v>8564.8335000000006</c:v>
                </c:pt>
                <c:pt idx="2">
                  <c:v>4299.84</c:v>
                </c:pt>
                <c:pt idx="3">
                  <c:v>479.952</c:v>
                </c:pt>
                <c:pt idx="4">
                  <c:v>142.47149999999999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E1-4FBD-86E0-F9611D7E9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27354863"/>
        <c:axId val="527352943"/>
      </c:barChart>
      <c:catAx>
        <c:axId val="527354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52943"/>
        <c:crosses val="autoZero"/>
        <c:auto val="1"/>
        <c:lblAlgn val="ctr"/>
        <c:lblOffset val="100"/>
        <c:noMultiLvlLbl val="0"/>
      </c:catAx>
      <c:valAx>
        <c:axId val="5273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7354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[Electronics shop sales.xlsx]Sales analysis!PivotTable11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'Sales analysis'!$B$23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'Sales analysis'!$A$24:$A$30</c:f>
              <c:strCache>
                <c:ptCount val="6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</c:strCache>
            </c:strRef>
          </c:cat>
          <c:val>
            <c:numRef>
              <c:f>'Sales analysis'!$B$24:$B$30</c:f>
              <c:numCache>
                <c:formatCode>0.00</c:formatCode>
                <c:ptCount val="6"/>
                <c:pt idx="0">
                  <c:v>20</c:v>
                </c:pt>
                <c:pt idx="1">
                  <c:v>11</c:v>
                </c:pt>
                <c:pt idx="2">
                  <c:v>9</c:v>
                </c:pt>
                <c:pt idx="3">
                  <c:v>17</c:v>
                </c:pt>
                <c:pt idx="4">
                  <c:v>9</c:v>
                </c:pt>
                <c:pt idx="5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A-4DD0-A6BD-E57BA742D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034751"/>
        <c:axId val="635035711"/>
      </c:lineChart>
      <c:catAx>
        <c:axId val="63503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035711"/>
        <c:crosses val="autoZero"/>
        <c:auto val="1"/>
        <c:lblAlgn val="ctr"/>
        <c:lblOffset val="100"/>
        <c:noMultiLvlLbl val="0"/>
      </c:catAx>
      <c:valAx>
        <c:axId val="63503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03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[Electronics shop sales.xlsx]Sales analysis!PivotTable4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'Sales analysis'!$B$44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'Sales analysis'!$A$45:$A$58</c:f>
              <c:multiLvlStrCache>
                <c:ptCount val="10"/>
                <c:lvl>
                  <c:pt idx="0">
                    <c:v>North</c:v>
                  </c:pt>
                  <c:pt idx="1">
                    <c:v>South</c:v>
                  </c:pt>
                  <c:pt idx="2">
                    <c:v>West</c:v>
                  </c:pt>
                  <c:pt idx="3">
                    <c:v>South</c:v>
                  </c:pt>
                  <c:pt idx="4">
                    <c:v>East</c:v>
                  </c:pt>
                  <c:pt idx="5">
                    <c:v>West</c:v>
                  </c:pt>
                  <c:pt idx="6">
                    <c:v>North</c:v>
                  </c:pt>
                  <c:pt idx="7">
                    <c:v>East</c:v>
                  </c:pt>
                  <c:pt idx="8">
                    <c:v>South</c:v>
                  </c:pt>
                  <c:pt idx="9">
                    <c:v>North</c:v>
                  </c:pt>
                </c:lvl>
                <c:lvl>
                  <c:pt idx="0">
                    <c:v>SMB</c:v>
                  </c:pt>
                  <c:pt idx="3">
                    <c:v>Retail</c:v>
                  </c:pt>
                  <c:pt idx="7">
                    <c:v>Corporate</c:v>
                  </c:pt>
                </c:lvl>
              </c:multiLvlStrCache>
            </c:multiLvlStrRef>
          </c:cat>
          <c:val>
            <c:numRef>
              <c:f>'Sales analysis'!$B$45:$B$58</c:f>
              <c:numCache>
                <c:formatCode>0.00</c:formatCode>
                <c:ptCount val="10"/>
                <c:pt idx="0">
                  <c:v>11654.870500000001</c:v>
                </c:pt>
                <c:pt idx="1">
                  <c:v>997.46199999999999</c:v>
                </c:pt>
                <c:pt idx="2">
                  <c:v>479.952</c:v>
                </c:pt>
                <c:pt idx="3">
                  <c:v>4199.8999999999996</c:v>
                </c:pt>
                <c:pt idx="4">
                  <c:v>2999.9</c:v>
                </c:pt>
                <c:pt idx="5">
                  <c:v>1809.9230000000002</c:v>
                </c:pt>
                <c:pt idx="6">
                  <c:v>0</c:v>
                </c:pt>
                <c:pt idx="7">
                  <c:v>1499.95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3B-421D-9DA6-2894FD91B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5223391"/>
        <c:axId val="1875223871"/>
      </c:barChart>
      <c:catAx>
        <c:axId val="1875223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223871"/>
        <c:crosses val="autoZero"/>
        <c:auto val="1"/>
        <c:lblAlgn val="ctr"/>
        <c:lblOffset val="100"/>
        <c:noMultiLvlLbl val="0"/>
      </c:catAx>
      <c:valAx>
        <c:axId val="1875223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223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221868</xdr:colOff>
      <xdr:row>0</xdr:row>
      <xdr:rowOff>55237</xdr:rowOff>
    </xdr:from>
    <xdr:to>
      <xdr:col>6</xdr:col>
      <xdr:colOff>30603</xdr:colOff>
      <xdr:row>19</xdr:row>
      <xdr:rowOff>122409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6CD1CD-BC47-3BDC-C9F9-4FDA4DC9C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207203</xdr:colOff>
      <xdr:row>21</xdr:row>
      <xdr:rowOff>0</xdr:rowOff>
    </xdr:from>
    <xdr:to>
      <xdr:col>6</xdr:col>
      <xdr:colOff>277503</xdr:colOff>
      <xdr:row>39</xdr:row>
      <xdr:rowOff>158981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29C929-08EB-F614-5DBE-5EA4203323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125976</xdr:colOff>
      <xdr:row>41</xdr:row>
      <xdr:rowOff>174113</xdr:rowOff>
    </xdr:from>
    <xdr:to>
      <xdr:col>5</xdr:col>
      <xdr:colOff>594032</xdr:colOff>
      <xdr:row>62</xdr:row>
      <xdr:rowOff>70874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D88D97-FC32-202B-85C3-355D808FB1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bina Ashirova - GT AZ" refreshedDate="45875.730097569445" createdVersion="8" refreshedVersion="8" minRefreshableVersion="3" recordCount="19" xr:uid="{E4A71717-3EB8-4352-84AF-8FDCD248E076}">
  <cacheSource type="worksheet">
    <worksheetSource name="Table3"/>
  </cacheSource>
  <cacheFields count="9">
    <cacheField name="Product" numFmtId="0">
      <sharedItems/>
    </cacheField>
    <cacheField name="Category" numFmtId="0">
      <sharedItems count="2">
        <s v="Electronics"/>
        <s v="Accessories"/>
      </sharedItems>
    </cacheField>
    <cacheField name="Quantity" numFmtId="2">
      <sharedItems containsSemiMixedTypes="0" containsString="0" containsNumber="1" containsInteger="1" minValue="1" maxValue="9"/>
    </cacheField>
    <cacheField name="Price per each" numFmtId="2">
      <sharedItems containsSemiMixedTypes="0" containsString="0" containsNumber="1" minValue="29.99" maxValue="899.99"/>
    </cacheField>
    <cacheField name="Discount (%)" numFmtId="2">
      <sharedItems containsSemiMixedTypes="0" containsString="0" containsNumber="1" containsInteger="1" minValue="0" maxValue="20"/>
    </cacheField>
    <cacheField name="Profit margin (%)" numFmtId="2">
      <sharedItems containsSemiMixedTypes="0" containsString="0" containsNumber="1" containsInteger="1" minValue="15" maxValue="30"/>
    </cacheField>
    <cacheField name="Net Income" numFmtId="2">
      <sharedItems containsSemiMixedTypes="0" containsString="0" containsNumber="1" minValue="11.471174999999999" maxValue="1889.9790000000003"/>
    </cacheField>
    <cacheField name="Order Status" numFmtId="2">
      <sharedItems/>
    </cacheField>
    <cacheField name="Final Net Income" numFmtId="2">
      <sharedItems containsSemiMixedTypes="0" containsString="0" containsNumber="1" minValue="0" maxValue="1889.979000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bina Ashirova - GT AZ" refreshedDate="45876.573284259262" createdVersion="8" refreshedVersion="8" minRefreshableVersion="3" recordCount="19" xr:uid="{8384B0D3-1BCB-439C-BA0D-1452FFA4F0E9}">
  <cacheSource type="worksheet">
    <worksheetSource ref="A1:U20" sheet="Data without missing values"/>
  </cacheSource>
  <cacheFields count="21">
    <cacheField name="Order ID" numFmtId="0">
      <sharedItems containsSemiMixedTypes="0" containsString="0" containsNumber="1" containsInteger="1" minValue="1010" maxValue="1154"/>
    </cacheField>
    <cacheField name="Customer First Name" numFmtId="49">
      <sharedItems/>
    </cacheField>
    <cacheField name="Customer Last Name" numFmtId="49">
      <sharedItems/>
    </cacheField>
    <cacheField name="Product" numFmtId="0">
      <sharedItems count="7">
        <s v="Smartphone"/>
        <s v="Printer"/>
        <s v="Tablet"/>
        <s v="Laptop"/>
        <s v="Keyboard"/>
        <s v="Mouse"/>
        <s v="Monitor"/>
      </sharedItems>
    </cacheField>
    <cacheField name="Order Date" numFmtId="14">
      <sharedItems containsSemiMixedTypes="0" containsNonDate="0" containsDate="1" containsString="0" minDate="2024-01-10T00:00:00" maxDate="2024-06-13T00:00:00"/>
    </cacheField>
    <cacheField name="Order Month" numFmtId="14">
      <sharedItems/>
    </cacheField>
    <cacheField name="Quantity Ordered" numFmtId="2">
      <sharedItems containsSemiMixedTypes="0" containsString="0" containsNumber="1" containsInteger="1" minValue="1" maxValue="9"/>
    </cacheField>
    <cacheField name="Price Each" numFmtId="2">
      <sharedItems containsSemiMixedTypes="0" containsString="0" containsNumber="1" minValue="29.99" maxValue="899.99"/>
    </cacheField>
    <cacheField name="Shipping Cost" numFmtId="0">
      <sharedItems containsSemiMixedTypes="0" containsString="0" containsNumber="1" containsInteger="1" minValue="5" maxValue="25"/>
    </cacheField>
    <cacheField name="Total Profit" numFmtId="2">
      <sharedItems containsSemiMixedTypes="0" containsString="0" containsNumber="1" minValue="89.97" maxValue="6299.93"/>
    </cacheField>
    <cacheField name="Discount (%)" numFmtId="0">
      <sharedItems containsSemiMixedTypes="0" containsString="0" containsNumber="1" containsInteger="1" minValue="0" maxValue="20"/>
    </cacheField>
    <cacheField name="Profit after discount" numFmtId="2">
      <sharedItems containsSemiMixedTypes="0" containsString="0" containsNumber="1" minValue="76.474499999999992" maxValue="6299.93"/>
    </cacheField>
    <cacheField name="Final Profit (considering cancellations/ returns)" numFmtId="2">
      <sharedItems containsSemiMixedTypes="0" containsString="0" containsNumber="1" minValue="0" maxValue="6299.93"/>
    </cacheField>
    <cacheField name="Region" numFmtId="0">
      <sharedItems count="4">
        <s v="North"/>
        <s v="South"/>
        <s v="East"/>
        <s v="West"/>
      </sharedItems>
    </cacheField>
    <cacheField name="Category" numFmtId="0">
      <sharedItems/>
    </cacheField>
    <cacheField name="Payment Method" numFmtId="0">
      <sharedItems/>
    </cacheField>
    <cacheField name="Customer Segment" numFmtId="0">
      <sharedItems count="3">
        <s v="Retail"/>
        <s v="SMB"/>
        <s v="Corporate"/>
      </sharedItems>
    </cacheField>
    <cacheField name="Order Priority" numFmtId="0">
      <sharedItems/>
    </cacheField>
    <cacheField name="Profit Margin (%)" numFmtId="0">
      <sharedItems containsSemiMixedTypes="0" containsString="0" containsNumber="1" containsInteger="1" minValue="15" maxValue="30"/>
    </cacheField>
    <cacheField name="Customer Feedback" numFmtId="0">
      <sharedItems containsSemiMixedTypes="0" containsString="0" containsNumber="1" containsInteger="1" minValue="3" maxValue="5"/>
    </cacheField>
    <cacheField name="Order 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bina Ashirova - GT AZ" refreshedDate="45876.7161150463" createdVersion="8" refreshedVersion="8" minRefreshableVersion="3" recordCount="19" xr:uid="{44E78A68-CCFE-4C53-BF5F-38A0D69B2AE7}">
  <cacheSource type="worksheet">
    <worksheetSource name="Table4[[Order Month]:[Quantity Ordered]]"/>
  </cacheSource>
  <cacheFields count="2">
    <cacheField name="Order Month" numFmtId="14">
      <sharedItems count="6">
        <s v="February"/>
        <s v="March"/>
        <s v="June"/>
        <s v="April"/>
        <s v="January"/>
        <s v="May"/>
      </sharedItems>
    </cacheField>
    <cacheField name="Quantity Ordered" numFmtId="2">
      <sharedItems containsSemiMixedTypes="0" containsString="0" containsNumber="1" containsInteger="1" minValue="1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s v="Smartphone"/>
    <x v="0"/>
    <n v="5"/>
    <n v="199.99"/>
    <n v="0"/>
    <n v="25"/>
    <n v="249.98750000000001"/>
    <s v="Cancelled"/>
    <n v="0"/>
  </r>
  <r>
    <s v="Printer"/>
    <x v="1"/>
    <n v="2"/>
    <n v="899.99"/>
    <n v="0"/>
    <n v="30"/>
    <n v="539.99400000000003"/>
    <s v="Delivered"/>
    <n v="539.99400000000003"/>
  </r>
  <r>
    <s v="Printer"/>
    <x v="1"/>
    <n v="4"/>
    <n v="299.99"/>
    <n v="0"/>
    <n v="30"/>
    <n v="359.98800000000006"/>
    <s v="Delivered"/>
    <n v="359.98800000000006"/>
  </r>
  <r>
    <s v="Tablet"/>
    <x v="1"/>
    <n v="5"/>
    <n v="199.99"/>
    <n v="0"/>
    <n v="25"/>
    <n v="249.98750000000001"/>
    <s v="Delivered"/>
    <n v="249.98750000000001"/>
  </r>
  <r>
    <s v="Printer"/>
    <x v="1"/>
    <n v="1"/>
    <n v="899.99"/>
    <n v="5"/>
    <n v="30"/>
    <n v="256.49714999999998"/>
    <s v="Delivered"/>
    <n v="256.49714999999998"/>
  </r>
  <r>
    <s v="Smartphone"/>
    <x v="0"/>
    <n v="7"/>
    <n v="99.99"/>
    <n v="5"/>
    <n v="15"/>
    <n v="99.740024999999989"/>
    <s v="Returned"/>
    <n v="0"/>
  </r>
  <r>
    <s v="Printer"/>
    <x v="1"/>
    <n v="7"/>
    <n v="899.99"/>
    <n v="0"/>
    <n v="30"/>
    <n v="1889.9790000000003"/>
    <s v="Delivered"/>
    <n v="1889.9790000000003"/>
  </r>
  <r>
    <s v="Laptop"/>
    <x v="0"/>
    <n v="7"/>
    <n v="899.99"/>
    <n v="15"/>
    <n v="30"/>
    <n v="1606.48215"/>
    <s v="Delivered"/>
    <n v="1606.48215"/>
  </r>
  <r>
    <s v="Smartphone"/>
    <x v="0"/>
    <n v="3"/>
    <n v="49.99"/>
    <n v="5"/>
    <n v="17"/>
    <n v="24.220154999999998"/>
    <s v="Delivered"/>
    <n v="24.220154999999998"/>
  </r>
  <r>
    <s v="Laptop"/>
    <x v="0"/>
    <n v="3"/>
    <n v="299.99"/>
    <n v="10"/>
    <n v="20"/>
    <n v="161.99460000000002"/>
    <s v="Delivered"/>
    <n v="161.99460000000002"/>
  </r>
  <r>
    <s v="Laptop"/>
    <x v="0"/>
    <n v="8"/>
    <n v="299.99"/>
    <n v="0"/>
    <n v="25"/>
    <n v="599.98"/>
    <s v="Delivered"/>
    <n v="599.98"/>
  </r>
  <r>
    <s v="Tablet"/>
    <x v="0"/>
    <n v="6"/>
    <n v="299.99"/>
    <n v="0"/>
    <n v="25"/>
    <n v="449.98500000000001"/>
    <s v="Delivered"/>
    <n v="449.98500000000001"/>
  </r>
  <r>
    <s v="Keyboard"/>
    <x v="1"/>
    <n v="1"/>
    <n v="99.99"/>
    <n v="10"/>
    <n v="18"/>
    <n v="16.19838"/>
    <s v="Returned"/>
    <n v="0"/>
  </r>
  <r>
    <s v="Mouse"/>
    <x v="1"/>
    <n v="3"/>
    <n v="29.99"/>
    <n v="15"/>
    <n v="15"/>
    <n v="11.471174999999999"/>
    <s v="Returned"/>
    <n v="0"/>
  </r>
  <r>
    <s v="Tablet"/>
    <x v="1"/>
    <n v="5"/>
    <n v="299.99"/>
    <n v="0"/>
    <n v="22"/>
    <n v="329.98900000000003"/>
    <s v="Delivered"/>
    <n v="329.98900000000003"/>
  </r>
  <r>
    <s v="Keyboard"/>
    <x v="1"/>
    <n v="6"/>
    <n v="99.99"/>
    <n v="20"/>
    <n v="18"/>
    <n v="86.391360000000006"/>
    <s v="Delivered"/>
    <n v="86.391360000000006"/>
  </r>
  <r>
    <s v="Laptop"/>
    <x v="0"/>
    <n v="1"/>
    <n v="299.99"/>
    <n v="0"/>
    <n v="22"/>
    <n v="65.997800000000012"/>
    <s v="Cancelled"/>
    <n v="0"/>
  </r>
  <r>
    <s v="Laptop"/>
    <x v="0"/>
    <n v="9"/>
    <n v="299.99"/>
    <n v="0"/>
    <n v="22"/>
    <n v="593.98019999999997"/>
    <s v="Cancelled"/>
    <n v="0"/>
  </r>
  <r>
    <s v="Monitor"/>
    <x v="0"/>
    <n v="6"/>
    <n v="49.99"/>
    <n v="5"/>
    <n v="20"/>
    <n v="56.988599999999998"/>
    <s v="Cancelled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n v="1109"/>
    <s v="Alice"/>
    <s v="Johnson"/>
    <x v="0"/>
    <d v="2024-02-28T00:00:00"/>
    <s v="February"/>
    <n v="5"/>
    <n v="199.99"/>
    <n v="10"/>
    <n v="999.95"/>
    <n v="0"/>
    <n v="999.95"/>
    <n v="0"/>
    <x v="0"/>
    <s v="Electronics"/>
    <s v="PayPal"/>
    <x v="0"/>
    <s v="High"/>
    <n v="25"/>
    <n v="5"/>
    <s v="Cancelled"/>
  </r>
  <r>
    <n v="1044"/>
    <s v="Alice"/>
    <s v="Johnson"/>
    <x v="1"/>
    <d v="2024-03-29T00:00:00"/>
    <s v="March"/>
    <n v="2"/>
    <n v="899.99"/>
    <n v="25"/>
    <n v="1799.98"/>
    <n v="0"/>
    <n v="1799.98"/>
    <n v="1799.98"/>
    <x v="1"/>
    <s v="Accessories"/>
    <s v="Bank Transfer"/>
    <x v="0"/>
    <s v="High"/>
    <n v="30"/>
    <n v="5"/>
    <s v="Delivered"/>
  </r>
  <r>
    <n v="1025"/>
    <s v="Bob"/>
    <s v="Lee"/>
    <x v="1"/>
    <d v="2024-06-12T00:00:00"/>
    <s v="June"/>
    <n v="4"/>
    <n v="299.99"/>
    <n v="20"/>
    <n v="1199.96"/>
    <n v="0"/>
    <n v="1199.96"/>
    <n v="1199.96"/>
    <x v="2"/>
    <s v="Accessories"/>
    <s v="Credit Card"/>
    <x v="0"/>
    <s v="High"/>
    <n v="30"/>
    <n v="5"/>
    <s v="Delivered"/>
  </r>
  <r>
    <n v="1071"/>
    <s v="Bob"/>
    <s v="Lee"/>
    <x v="2"/>
    <d v="2024-06-01T00:00:00"/>
    <s v="June"/>
    <n v="5"/>
    <n v="199.99"/>
    <n v="20"/>
    <n v="999.95"/>
    <n v="0"/>
    <n v="999.95"/>
    <n v="999.95"/>
    <x v="3"/>
    <s v="Accessories"/>
    <s v="Credit Card"/>
    <x v="0"/>
    <s v="High"/>
    <n v="25"/>
    <n v="5"/>
    <s v="Delivered"/>
  </r>
  <r>
    <n v="1010"/>
    <s v="Chris"/>
    <s v="Wong"/>
    <x v="1"/>
    <d v="2024-03-15T00:00:00"/>
    <s v="March"/>
    <n v="1"/>
    <n v="899.99"/>
    <n v="20"/>
    <n v="899.99"/>
    <n v="5"/>
    <n v="854.9905"/>
    <n v="854.9905"/>
    <x v="1"/>
    <s v="Accessories"/>
    <s v="Credit Card"/>
    <x v="1"/>
    <s v="Low"/>
    <n v="30"/>
    <n v="3"/>
    <s v="Delivered"/>
  </r>
  <r>
    <n v="1066"/>
    <s v="Chris"/>
    <s v="Wong"/>
    <x v="0"/>
    <d v="2024-04-06T00:00:00"/>
    <s v="April"/>
    <n v="7"/>
    <n v="99.99"/>
    <n v="10"/>
    <n v="699.93"/>
    <n v="5"/>
    <n v="664.93349999999987"/>
    <n v="0"/>
    <x v="1"/>
    <s v="Electronics"/>
    <s v="PayPal"/>
    <x v="2"/>
    <s v="Low"/>
    <n v="15"/>
    <n v="3"/>
    <s v="Returned"/>
  </r>
  <r>
    <n v="1052"/>
    <s v="Chris"/>
    <s v="Wong"/>
    <x v="1"/>
    <d v="2024-04-22T00:00:00"/>
    <s v="April"/>
    <n v="7"/>
    <n v="899.99"/>
    <n v="25"/>
    <n v="6299.93"/>
    <n v="0"/>
    <n v="6299.93"/>
    <n v="6299.93"/>
    <x v="0"/>
    <s v="Accessories"/>
    <s v="PayPal"/>
    <x v="1"/>
    <s v="Low"/>
    <n v="30"/>
    <n v="3"/>
    <s v="Delivered"/>
  </r>
  <r>
    <n v="1107"/>
    <s v="Chris"/>
    <s v="Wong"/>
    <x v="3"/>
    <d v="2024-06-07T00:00:00"/>
    <s v="June"/>
    <n v="7"/>
    <n v="899.99"/>
    <n v="15"/>
    <n v="6299.93"/>
    <n v="15"/>
    <n v="5354.9404999999997"/>
    <n v="5354.9404999999997"/>
    <x v="0"/>
    <s v="Electronics"/>
    <s v="PayPal"/>
    <x v="1"/>
    <s v="Low"/>
    <n v="30"/>
    <n v="3"/>
    <s v="Delivered"/>
  </r>
  <r>
    <n v="1079"/>
    <s v="Emily"/>
    <s v="Davis"/>
    <x v="0"/>
    <d v="2024-02-20T00:00:00"/>
    <s v="February"/>
    <n v="3"/>
    <n v="49.99"/>
    <n v="10"/>
    <n v="149.97"/>
    <n v="5"/>
    <n v="142.47149999999999"/>
    <n v="142.47149999999999"/>
    <x v="1"/>
    <s v="Electronics"/>
    <s v="Bank Transfer"/>
    <x v="1"/>
    <s v="Low"/>
    <n v="17"/>
    <n v="3"/>
    <s v="Delivered"/>
  </r>
  <r>
    <n v="1148"/>
    <s v="Jane"/>
    <s v="Smith"/>
    <x v="3"/>
    <d v="2024-04-19T00:00:00"/>
    <s v="April"/>
    <n v="3"/>
    <n v="299.99"/>
    <n v="15"/>
    <n v="899.97"/>
    <n v="10"/>
    <n v="809.97300000000007"/>
    <n v="809.97300000000007"/>
    <x v="3"/>
    <s v="Electronics"/>
    <s v="PayPal"/>
    <x v="0"/>
    <s v="High"/>
    <n v="20"/>
    <n v="5"/>
    <s v="Delivered"/>
  </r>
  <r>
    <n v="1115"/>
    <s v="Jane"/>
    <s v="Smith"/>
    <x v="3"/>
    <d v="2024-01-10T00:00:00"/>
    <s v="January"/>
    <n v="8"/>
    <n v="299.99"/>
    <n v="15"/>
    <n v="2399.92"/>
    <n v="0"/>
    <n v="2399.92"/>
    <n v="2399.92"/>
    <x v="1"/>
    <s v="Electronics"/>
    <s v="Credit Card"/>
    <x v="0"/>
    <s v="High"/>
    <n v="25"/>
    <n v="5"/>
    <s v="Delivered"/>
  </r>
  <r>
    <n v="1151"/>
    <s v="Jane"/>
    <s v="Smith"/>
    <x v="2"/>
    <d v="2024-01-17T00:00:00"/>
    <s v="January"/>
    <n v="6"/>
    <n v="299.99"/>
    <n v="20"/>
    <n v="1799.94"/>
    <n v="0"/>
    <n v="1799.94"/>
    <n v="1799.94"/>
    <x v="2"/>
    <s v="Electronics"/>
    <s v="Credit Card"/>
    <x v="0"/>
    <s v="High"/>
    <n v="25"/>
    <n v="5"/>
    <s v="Delivered"/>
  </r>
  <r>
    <n v="1154"/>
    <s v="Jane"/>
    <s v="Smith"/>
    <x v="4"/>
    <d v="2024-01-25T00:00:00"/>
    <s v="January"/>
    <n v="1"/>
    <n v="99.99"/>
    <n v="5"/>
    <n v="99.99"/>
    <n v="10"/>
    <n v="89.991"/>
    <n v="0"/>
    <x v="2"/>
    <s v="Accessories"/>
    <s v="Credit Card"/>
    <x v="2"/>
    <s v="Medium"/>
    <n v="18"/>
    <n v="4"/>
    <s v="Returned"/>
  </r>
  <r>
    <n v="1147"/>
    <s v="Jane"/>
    <s v="Smith"/>
    <x v="5"/>
    <d v="2024-02-03T00:00:00"/>
    <s v="February"/>
    <n v="3"/>
    <n v="29.99"/>
    <n v="5"/>
    <n v="89.97"/>
    <n v="15"/>
    <n v="76.474499999999992"/>
    <n v="0"/>
    <x v="2"/>
    <s v="Accessories"/>
    <s v="Cash"/>
    <x v="2"/>
    <s v="Medium"/>
    <n v="15"/>
    <n v="4"/>
    <s v="Returned"/>
  </r>
  <r>
    <n v="1041"/>
    <s v="Jane"/>
    <s v="Smith"/>
    <x v="2"/>
    <d v="2024-01-14T00:00:00"/>
    <s v="January"/>
    <n v="5"/>
    <n v="299.99"/>
    <n v="20"/>
    <n v="1499.95"/>
    <n v="0"/>
    <n v="1499.95"/>
    <n v="1499.95"/>
    <x v="2"/>
    <s v="Accessories"/>
    <s v="Credit Card"/>
    <x v="2"/>
    <s v="Medium"/>
    <n v="22"/>
    <n v="4"/>
    <s v="Delivered"/>
  </r>
  <r>
    <n v="1057"/>
    <s v="John"/>
    <s v="Doe"/>
    <x v="4"/>
    <d v="2024-06-01T00:00:00"/>
    <s v="June"/>
    <n v="6"/>
    <n v="99.99"/>
    <n v="5"/>
    <n v="599.93999999999994"/>
    <n v="20"/>
    <n v="479.952"/>
    <n v="479.952"/>
    <x v="3"/>
    <s v="Accessories"/>
    <s v="Cash"/>
    <x v="1"/>
    <s v="Low"/>
    <n v="18"/>
    <n v="3"/>
    <s v="Delivered"/>
  </r>
  <r>
    <n v="1099"/>
    <s v="John"/>
    <s v="Doe"/>
    <x v="3"/>
    <d v="2024-06-04T00:00:00"/>
    <s v="June"/>
    <n v="1"/>
    <n v="299.99"/>
    <n v="10"/>
    <n v="299.99"/>
    <n v="0"/>
    <n v="299.99"/>
    <n v="0"/>
    <x v="0"/>
    <s v="Electronics"/>
    <s v="PayPal"/>
    <x v="2"/>
    <s v="Low"/>
    <n v="22"/>
    <n v="3"/>
    <s v="Cancelled"/>
  </r>
  <r>
    <n v="1038"/>
    <s v="John"/>
    <s v="Doe"/>
    <x v="3"/>
    <d v="2024-05-14T00:00:00"/>
    <s v="May"/>
    <n v="9"/>
    <n v="299.99"/>
    <n v="15"/>
    <n v="2699.91"/>
    <n v="0"/>
    <n v="2699.91"/>
    <n v="0"/>
    <x v="2"/>
    <s v="Electronics"/>
    <s v="PayPal"/>
    <x v="2"/>
    <s v="Medium"/>
    <n v="22"/>
    <n v="4"/>
    <s v="Cancelled"/>
  </r>
  <r>
    <n v="1133"/>
    <s v="John"/>
    <s v="Doe"/>
    <x v="6"/>
    <d v="2024-03-18T00:00:00"/>
    <s v="March"/>
    <n v="6"/>
    <n v="49.99"/>
    <n v="10"/>
    <n v="299.94"/>
    <n v="5"/>
    <n v="284.94299999999998"/>
    <n v="0"/>
    <x v="2"/>
    <s v="Electronics"/>
    <s v="Cash"/>
    <x v="2"/>
    <s v="Medium"/>
    <n v="20"/>
    <n v="4"/>
    <s v="Cancelled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5"/>
  </r>
  <r>
    <x v="1"/>
    <n v="2"/>
  </r>
  <r>
    <x v="2"/>
    <n v="4"/>
  </r>
  <r>
    <x v="2"/>
    <n v="5"/>
  </r>
  <r>
    <x v="1"/>
    <n v="1"/>
  </r>
  <r>
    <x v="3"/>
    <n v="7"/>
  </r>
  <r>
    <x v="3"/>
    <n v="7"/>
  </r>
  <r>
    <x v="2"/>
    <n v="7"/>
  </r>
  <r>
    <x v="0"/>
    <n v="3"/>
  </r>
  <r>
    <x v="3"/>
    <n v="3"/>
  </r>
  <r>
    <x v="4"/>
    <n v="8"/>
  </r>
  <r>
    <x v="4"/>
    <n v="6"/>
  </r>
  <r>
    <x v="4"/>
    <n v="1"/>
  </r>
  <r>
    <x v="0"/>
    <n v="3"/>
  </r>
  <r>
    <x v="4"/>
    <n v="5"/>
  </r>
  <r>
    <x v="2"/>
    <n v="6"/>
  </r>
  <r>
    <x v="2"/>
    <n v="1"/>
  </r>
  <r>
    <x v="5"/>
    <n v="9"/>
  </r>
  <r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7049F5-FD07-4B70-A7D5-79C47CDD858E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ustomer Segment">
  <location ref="A44:B58" firstHeaderRow="1" firstDataRow="1" firstDataCol="1"/>
  <pivotFields count="21">
    <pivotField showAll="0"/>
    <pivotField showAll="0"/>
    <pivotField showAll="0"/>
    <pivotField showAll="0"/>
    <pivotField numFmtId="14" showAll="0"/>
    <pivotField showAll="0"/>
    <pivotField numFmtId="2" showAll="0"/>
    <pivotField numFmtId="2" showAll="0"/>
    <pivotField showAll="0"/>
    <pivotField numFmtId="2" showAll="0"/>
    <pivotField showAll="0"/>
    <pivotField numFmtId="2" showAll="0"/>
    <pivotField dataField="1" numFmtId="2" showAll="0"/>
    <pivotField axis="axisRow" showAll="0" sortType="descending">
      <items count="5"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2">
    <field x="16"/>
    <field x="13"/>
  </rowFields>
  <rowItems count="14">
    <i>
      <x v="2"/>
    </i>
    <i r="1">
      <x v="1"/>
    </i>
    <i r="1">
      <x v="2"/>
    </i>
    <i r="1">
      <x v="3"/>
    </i>
    <i>
      <x v="1"/>
    </i>
    <i r="1">
      <x v="2"/>
    </i>
    <i r="1">
      <x/>
    </i>
    <i r="1">
      <x v="3"/>
    </i>
    <i r="1">
      <x v="1"/>
    </i>
    <i>
      <x/>
    </i>
    <i r="1">
      <x/>
    </i>
    <i r="1">
      <x v="2"/>
    </i>
    <i r="1">
      <x v="1"/>
    </i>
    <i t="grand">
      <x/>
    </i>
  </rowItems>
  <colItems count="1">
    <i/>
  </colItems>
  <dataFields count="1">
    <dataField name="Total Final Profit (considering cancellations/ returns)" fld="12" baseField="0" baseItem="0" numFmtId="2"/>
  </dataFields>
  <formats count="9">
    <format dxfId="9">
      <pivotArea type="all" dataOnly="0" outline="0" fieldPosition="0"/>
    </format>
    <format dxfId="8">
      <pivotArea outline="0" collapsedLevelsAreSubtotals="1" fieldPosition="0"/>
    </format>
    <format dxfId="7">
      <pivotArea field="16" type="button" dataOnly="0" labelOnly="1" outline="0" axis="axisRow" fieldPosition="0"/>
    </format>
    <format dxfId="6">
      <pivotArea dataOnly="0" labelOnly="1" fieldPosition="0">
        <references count="1">
          <reference field="16" count="0"/>
        </references>
      </pivotArea>
    </format>
    <format dxfId="5">
      <pivotArea dataOnly="0" labelOnly="1" grandRow="1" outline="0" fieldPosition="0"/>
    </format>
    <format dxfId="4">
      <pivotArea dataOnly="0" labelOnly="1" fieldPosition="0">
        <references count="2">
          <reference field="13" count="3">
            <x v="1"/>
            <x v="2"/>
            <x v="3"/>
          </reference>
          <reference field="16" count="1" selected="0">
            <x v="2"/>
          </reference>
        </references>
      </pivotArea>
    </format>
    <format dxfId="3">
      <pivotArea dataOnly="0" labelOnly="1" fieldPosition="0">
        <references count="2">
          <reference field="13" count="0"/>
          <reference field="16" count="1" selected="0">
            <x v="1"/>
          </reference>
        </references>
      </pivotArea>
    </format>
    <format dxfId="2">
      <pivotArea dataOnly="0" labelOnly="1" fieldPosition="0">
        <references count="2">
          <reference field="13" count="3">
            <x v="0"/>
            <x v="1"/>
            <x v="2"/>
          </reference>
          <reference field="16" count="1" selected="0">
            <x v="0"/>
          </reference>
        </references>
      </pivotArea>
    </format>
    <format dxfId="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E131B6-213B-4D96-9D88-C1980590A6E1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rowHeaderCaption="Products">
  <location ref="A3:C11" firstHeaderRow="0" firstDataRow="1" firstDataCol="1"/>
  <pivotFields count="21">
    <pivotField showAll="0"/>
    <pivotField showAll="0"/>
    <pivotField showAll="0"/>
    <pivotField axis="axisRow" showAll="0" sortType="descending">
      <items count="8">
        <item x="2"/>
        <item x="0"/>
        <item x="1"/>
        <item x="5"/>
        <item x="6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numFmtId="2" showAll="0"/>
    <pivotField numFmtId="2" showAll="0"/>
    <pivotField showAll="0"/>
    <pivotField numFmtId="2" showAll="0"/>
    <pivotField showAll="0"/>
    <pivotField numFmtId="2" showAll="0"/>
    <pivotField dataField="1" numFmtId="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8">
    <i>
      <x v="2"/>
    </i>
    <i>
      <x v="5"/>
    </i>
    <i>
      <x/>
    </i>
    <i>
      <x v="6"/>
    </i>
    <i>
      <x v="1"/>
    </i>
    <i>
      <x v="4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Total Final Profit (considering cancellations/ returns)" fld="12" baseField="0" baseItem="0" numFmtId="2"/>
    <dataField name="Sum of Quantity Ordered" fld="6" baseField="0" baseItem="0" numFmtId="2"/>
  </dataFields>
  <formats count="6">
    <format dxfId="59">
      <pivotArea collapsedLevelsAreSubtotals="1" fieldPosition="0">
        <references count="1">
          <reference field="3" count="1">
            <x v="5"/>
          </reference>
        </references>
      </pivotArea>
    </format>
    <format dxfId="58">
      <pivotArea dataOnly="0" labelOnly="1" fieldPosition="0">
        <references count="1">
          <reference field="3" count="1">
            <x v="5"/>
          </reference>
        </references>
      </pivotArea>
    </format>
    <format dxfId="57">
      <pivotArea collapsedLevelsAreSubtotals="1" fieldPosition="0">
        <references count="1">
          <reference field="3" count="1">
            <x v="3"/>
          </reference>
        </references>
      </pivotArea>
    </format>
    <format dxfId="56">
      <pivotArea dataOnly="0" labelOnly="1" fieldPosition="0">
        <references count="1">
          <reference field="3" count="1">
            <x v="3"/>
          </reference>
        </references>
      </pivotArea>
    </format>
    <format dxfId="55">
      <pivotArea collapsedLevelsAreSubtotals="1" fieldPosition="0">
        <references count="1">
          <reference field="3" count="1">
            <x v="4"/>
          </reference>
        </references>
      </pivotArea>
    </format>
    <format dxfId="54">
      <pivotArea dataOnly="0" labelOnly="1" fieldPosition="0">
        <references count="1">
          <reference field="3" count="1">
            <x v="4"/>
          </reference>
        </references>
      </pivotArea>
    </format>
  </format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0E9D2D-4789-477D-B462-4AA3F911018D}" name="PivotTable1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 rowHeaderCaption="Months">
  <location ref="A23:B30" firstHeaderRow="1" firstDataRow="1" firstDataCol="1"/>
  <pivotFields count="2">
    <pivotField axis="axisRow" showAll="0">
      <items count="7">
        <item x="4"/>
        <item x="0"/>
        <item x="1"/>
        <item x="3"/>
        <item x="5"/>
        <item x="2"/>
        <item t="default"/>
      </items>
    </pivotField>
    <pivotField dataField="1" numFmtId="2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Quantity Ordered per month" fld="1" baseField="0" baseItem="0" numFmtId="2"/>
  </dataFields>
  <formats count="4">
    <format dxfId="63">
      <pivotArea collapsedLevelsAreSubtotals="1" fieldPosition="0">
        <references count="1">
          <reference field="0" count="0"/>
        </references>
      </pivotArea>
    </format>
    <format dxfId="62">
      <pivotArea field="0" type="button" dataOnly="0" labelOnly="1" outline="0" axis="axisRow" fieldPosition="0"/>
    </format>
    <format dxfId="61">
      <pivotArea dataOnly="0" labelOnly="1" fieldPosition="0">
        <references count="1">
          <reference field="0" count="0"/>
        </references>
      </pivotArea>
    </format>
    <format dxfId="60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F214C9-5854-48EF-AB37-12ABF460DD3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K3:M6" firstHeaderRow="0" firstDataRow="1" firstDataCol="1"/>
  <pivotFields count="9">
    <pivotField showAll="0"/>
    <pivotField axis="axisRow" showAll="0" sortType="descending">
      <items count="3"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numFmtId="2" showAll="0"/>
    <pivotField numFmtId="2" showAll="0"/>
    <pivotField numFmtId="2" showAll="0"/>
    <pivotField numFmtId="2" showAll="0"/>
    <pivotField dataField="1" numFmtId="2" showAll="0"/>
    <pivotField showAll="0"/>
    <pivotField dataField="1" numFmtId="2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 Net Income before cancellation/return" fld="6" baseField="0" baseItem="0" numFmtId="2"/>
    <dataField name="Final Net Income." fld="8" baseField="0" baseItem="0" numFmtId="2"/>
  </dataFields>
  <formats count="9"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1" type="button" dataOnly="0" labelOnly="1" outline="0" axis="axisRow" fieldPosition="0"/>
    </format>
    <format dxfId="50">
      <pivotArea dataOnly="0" labelOnly="1" fieldPosition="0">
        <references count="1">
          <reference field="1" count="0"/>
        </references>
      </pivotArea>
    </format>
    <format dxfId="49">
      <pivotArea dataOnly="0" labelOnly="1" grandRow="1" outline="0" fieldPosition="0"/>
    </format>
    <format dxfId="4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47">
      <pivotArea collapsedLevelsAreSubtotals="1" fieldPosition="0">
        <references count="1">
          <reference field="1" count="1">
            <x v="0"/>
          </reference>
        </references>
      </pivotArea>
    </format>
    <format dxfId="46">
      <pivotArea dataOnly="0" labelOnly="1" fieldPosition="0">
        <references count="1">
          <reference field="1" count="1">
            <x v="0"/>
          </reference>
        </references>
      </pivotArea>
    </format>
    <format dxfId="45">
      <pivotArea dataOnly="0" fieldPosition="0">
        <references count="1">
          <reference field="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2AB8EC-5BCC-4E50-A62A-DAFC7178F378}" name="Table1" displayName="Table1" ref="A1:P37" totalsRowShown="0">
  <autoFilter ref="A1:P37" xr:uid="{F92AB8EC-5BCC-4E50-A62A-DAFC7178F378}"/>
  <tableColumns count="16">
    <tableColumn id="1" xr3:uid="{C9DD7163-2A64-4E47-A6CC-73CB31B21BAA}" name="Order ID" dataDxfId="109"/>
    <tableColumn id="2" xr3:uid="{C2FB965C-07DB-40A9-B9AB-8AF50F02CEFB}" name="Customer Name"/>
    <tableColumn id="3" xr3:uid="{69721982-844C-490B-8BFE-0A24C750DE6B}" name="Product"/>
    <tableColumn id="4" xr3:uid="{44F1DAC5-2D69-492A-A3C4-FAB5883EA777}" name="Order Date" dataDxfId="108"/>
    <tableColumn id="5" xr3:uid="{682985E4-ECD2-4BAC-93E0-E2E7C922DEE0}" name="Quantity Ordered"/>
    <tableColumn id="6" xr3:uid="{8405E725-D518-4641-8857-199CF90FF757}" name="Price Each"/>
    <tableColumn id="7" xr3:uid="{F566E1BE-2625-4A96-9FB5-1220E19992C0}" name="Region"/>
    <tableColumn id="8" xr3:uid="{412C003F-166B-4F8B-B6CD-108A26E72EDB}" name="Category"/>
    <tableColumn id="9" xr3:uid="{F46BCBAE-4A29-49C8-9419-32C648032227}" name="Payment Method"/>
    <tableColumn id="10" xr3:uid="{C17C5A68-5F38-4961-B745-74BBEF5CFE7D}" name="Customer Segment"/>
    <tableColumn id="11" xr3:uid="{52D9EF1C-E1D1-43B8-9BB1-0AE1D465CF4A}" name="Order Priority"/>
    <tableColumn id="12" xr3:uid="{DCC22AA1-12D3-471D-8F57-37FF34967F99}" name="Discount (%)"/>
    <tableColumn id="13" xr3:uid="{7561E482-6098-424E-A803-A2B5818152A3}" name="Shipping Cost"/>
    <tableColumn id="14" xr3:uid="{D4EFC341-1864-4F0E-A7C7-7972A7D393C4}" name="Profit Margin (%)"/>
    <tableColumn id="15" xr3:uid="{365B29AB-5BA9-4D75-AB75-F5809A460DFE}" name="Customer Feedback"/>
    <tableColumn id="16" xr3:uid="{D9531257-47D9-424E-92E5-C24344E317B3}" name="Order Statu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D1F01-3789-48C3-B31E-DD428955A839}" name="Table13" displayName="Table13" ref="A1:T37" totalsRowShown="0">
  <autoFilter ref="A1:T37" xr:uid="{ECCD1F01-3789-48C3-B31E-DD428955A839}"/>
  <sortState xmlns:xlrd2="http://schemas.microsoft.com/office/spreadsheetml/2017/richdata2" ref="A2:T37">
    <sortCondition ref="B1:B37"/>
  </sortState>
  <tableColumns count="20">
    <tableColumn id="1" xr3:uid="{74B35CED-512B-4B76-A8A3-4CF1B444ECCB}" name="Order ID" dataDxfId="107"/>
    <tableColumn id="2" xr3:uid="{D0D99EEB-E0C8-42CE-9B1C-ACB6A932F9BF}" name="Customer First Name" dataDxfId="106"/>
    <tableColumn id="17" xr3:uid="{B47A0517-C323-40A3-8B3A-D8613585B276}" name="Customer Last Name" dataDxfId="105"/>
    <tableColumn id="3" xr3:uid="{8190E934-9AF9-4582-9BDD-B2563FC03C89}" name="Product" dataDxfId="104"/>
    <tableColumn id="4" xr3:uid="{B2966102-330A-4399-8453-E44B813E47FB}" name="Order Date" dataDxfId="103"/>
    <tableColumn id="18" xr3:uid="{E7E9F005-AAB9-4B5F-B6D8-E21BA63354DE}" name="Order Month" dataDxfId="102">
      <calculatedColumnFormula>TEXT(Table13[[#This Row],[Order Date]], "mmmm")</calculatedColumnFormula>
    </tableColumn>
    <tableColumn id="5" xr3:uid="{5A4E3143-6EBF-4620-B9FE-EE5D6C15A76C}" name="Quantity Ordered" dataDxfId="101"/>
    <tableColumn id="6" xr3:uid="{12991FA7-9200-4E88-8028-1595D519214B}" name="Price Each" dataDxfId="100"/>
    <tableColumn id="13" xr3:uid="{096F634C-9BB1-4817-AD8A-35FE599F7918}" name="Shipping Cost" dataDxfId="99"/>
    <tableColumn id="19" xr3:uid="{B383BF30-26F9-4C70-B8A5-81A70103F1FA}" name="Total Profit" dataDxfId="98">
      <calculatedColumnFormula>Table13[[#This Row],[Quantity Ordered]]*Table13[[#This Row],[Price Each]]</calculatedColumnFormula>
    </tableColumn>
    <tableColumn id="12" xr3:uid="{6A74757C-E161-4BDD-AA0A-FB9E69BA1179}" name="Discount (%)" dataDxfId="97"/>
    <tableColumn id="20" xr3:uid="{EC704A4D-667B-437A-B136-FDEEE3F79D26}" name="Profit after discount" dataDxfId="96">
      <calculatedColumnFormula>Table13[[#This Row],[Total Profit]]*(1-Table13[[#This Row],[Discount (%)]]* 0.01)</calculatedColumnFormula>
    </tableColumn>
    <tableColumn id="7" xr3:uid="{2DCD6BAA-D8E9-4097-9C5F-A23D8E69C4C3}" name="Region" dataDxfId="95"/>
    <tableColumn id="8" xr3:uid="{E0BAFA53-E4F4-45C6-AA63-03987B5BB06D}" name="Category" dataDxfId="94"/>
    <tableColumn id="9" xr3:uid="{2213C113-79F4-4BD6-A657-1D1CC78D71AA}" name="Payment Method" dataDxfId="93"/>
    <tableColumn id="10" xr3:uid="{779FFF83-4FB9-4CBA-ACC2-AFFD3632CA9C}" name="Customer Segment" dataDxfId="92"/>
    <tableColumn id="11" xr3:uid="{37930F52-F26B-4556-84EB-009CA4F0DAF6}" name="Order Priority" dataDxfId="91"/>
    <tableColumn id="14" xr3:uid="{74AEB2EF-1EC0-4AD2-8E7D-7588C5016A99}" name="Profit Margin (%)" dataDxfId="90"/>
    <tableColumn id="15" xr3:uid="{20B04780-77AC-4138-AA81-44F4EC7D5B2E}" name="Customer Feedback" dataDxfId="89"/>
    <tableColumn id="16" xr3:uid="{93B6EF34-1B57-457A-B099-5B68A7484EF0}" name="Order Status" dataDxfId="88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1CD9EF-858D-443E-9DE8-75C3B8DFCC33}" name="Table4" displayName="Table4" ref="A1:U20" totalsRowShown="0" headerRowDxfId="87" dataDxfId="86" tableBorderDxfId="85">
  <autoFilter ref="A1:U20" xr:uid="{151CD9EF-858D-443E-9DE8-75C3B8DFCC33}"/>
  <tableColumns count="21">
    <tableColumn id="1" xr3:uid="{03A3B59B-9F9A-4317-BAEA-126E0CFC8FCB}" name="Order ID" dataDxfId="84"/>
    <tableColumn id="2" xr3:uid="{834504DC-57DD-4F4D-BCF1-310FF0B55D79}" name="Customer First Name" dataDxfId="83"/>
    <tableColumn id="3" xr3:uid="{8D3880CF-3D76-4D9F-A22F-6ECDD751A41C}" name="Customer Last Name" dataDxfId="82"/>
    <tableColumn id="4" xr3:uid="{D4510FF0-4A5B-4676-88A0-58E6F0C2CBC7}" name="Product" dataDxfId="81"/>
    <tableColumn id="5" xr3:uid="{E687B76E-1783-4819-AB98-3722BD51A8AE}" name="Order Date" dataDxfId="80"/>
    <tableColumn id="6" xr3:uid="{3CC01C3E-4886-4FBB-90A3-2EE7C50841E3}" name="Order Month" dataDxfId="79"/>
    <tableColumn id="7" xr3:uid="{F4FB96E5-ADA8-4B87-9E8B-9AACD7645F1D}" name="Quantity Ordered" dataDxfId="78"/>
    <tableColumn id="8" xr3:uid="{221B921C-DD91-4198-B2F3-5D0D89326495}" name="Price Each" dataDxfId="77"/>
    <tableColumn id="17" xr3:uid="{13B4C0F8-DD91-4605-A5B7-258A5302170A}" name="Shipping Cost" dataDxfId="76"/>
    <tableColumn id="9" xr3:uid="{58EA9DB2-83B5-4204-9AE2-8BF9FEEF42C0}" name="Total Profit" dataDxfId="75"/>
    <tableColumn id="10" xr3:uid="{3A364862-748F-49A8-A50A-16927154622E}" name="Discount (%)" dataDxfId="74"/>
    <tableColumn id="11" xr3:uid="{777757FA-E534-4BC5-8074-50E94D54FDF6}" name="Profit after discount" dataDxfId="73"/>
    <tableColumn id="22" xr3:uid="{B03DD4C2-CB18-4522-AA03-E8E5337E7824}" name="Final Profit (considering cancellations/ returns)" dataDxfId="72"/>
    <tableColumn id="12" xr3:uid="{668616A7-024A-4756-889C-1C84AA184449}" name="Region" dataDxfId="71"/>
    <tableColumn id="13" xr3:uid="{D28478C8-ABAB-49B5-8AB2-62DD7B31CF6F}" name="Category" dataDxfId="70"/>
    <tableColumn id="14" xr3:uid="{586F2001-636E-430E-8FEA-3C123F4B7E23}" name="Payment Method" dataDxfId="69"/>
    <tableColumn id="15" xr3:uid="{3BDAAD62-16AC-40BC-A01F-366449AB747D}" name="Customer Segment" dataDxfId="68"/>
    <tableColumn id="16" xr3:uid="{4A91E959-CC89-478B-96B3-2CDCE7E84EB2}" name="Order Priority" dataDxfId="67"/>
    <tableColumn id="18" xr3:uid="{CE7F9855-F592-428B-B470-58AE2F2ED433}" name="Profit Margin (%)" dataDxfId="66"/>
    <tableColumn id="19" xr3:uid="{ECE2EFA6-8039-4B74-B78F-9792D7979BAF}" name="Customer Feedback" dataDxfId="65"/>
    <tableColumn id="20" xr3:uid="{1FC7ACF2-46D9-47AF-8F86-8120D454B9FD}" name="Order Status" dataDxfId="6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6F963A-7237-47FA-96FC-3E6129EB27F2}" name="Table3" displayName="Table3" ref="A1:I20" totalsRowShown="0" headerRowDxfId="44" dataDxfId="43" tableBorderDxfId="42">
  <autoFilter ref="A1:I20" xr:uid="{956F963A-7237-47FA-96FC-3E6129EB27F2}"/>
  <tableColumns count="9">
    <tableColumn id="1" xr3:uid="{83A6141E-5A0A-4748-896D-A1E1DAB6DAFB}" name="Product" dataDxfId="41">
      <calculatedColumnFormula>Table4[[#This Row],[Product]]</calculatedColumnFormula>
    </tableColumn>
    <tableColumn id="2" xr3:uid="{B6BB0500-5BDF-4572-BE52-CF999258DB83}" name="Category" dataDxfId="40">
      <calculatedColumnFormula>Table4[[#This Row],[Category]]</calculatedColumnFormula>
    </tableColumn>
    <tableColumn id="3" xr3:uid="{063EF35C-4D00-454E-A6A3-0DC9852CACF4}" name="Quantity" dataDxfId="39">
      <calculatedColumnFormula>Table4[[#This Row],[Quantity Ordered]]</calculatedColumnFormula>
    </tableColumn>
    <tableColumn id="4" xr3:uid="{42EF257E-2D09-4BEA-ACC8-642C2046BC13}" name="Price per each" dataDxfId="38">
      <calculatedColumnFormula>Table4[[#This Row],[Price Each]]</calculatedColumnFormula>
    </tableColumn>
    <tableColumn id="5" xr3:uid="{3345D6B8-3240-46EB-B9ED-F28E4CC64964}" name="Discount (%)" dataDxfId="37">
      <calculatedColumnFormula>Table4[[#This Row],[Discount (%)]]</calculatedColumnFormula>
    </tableColumn>
    <tableColumn id="6" xr3:uid="{8B21DEC4-0B92-4049-B3FF-A2CDFBFB3CDF}" name="Profit margin (%)" dataDxfId="36">
      <calculatedColumnFormula>Table4[[#This Row],[Profit Margin (%)]]</calculatedColumnFormula>
    </tableColumn>
    <tableColumn id="7" xr3:uid="{318562C5-1F37-4434-8E4F-DFF49FC85475}" name="Net Income" dataDxfId="35">
      <calculatedColumnFormula>'Profitability Ananlysis'!$C2*'Profitability Ananlysis'!$D2* (1-'Profitability Ananlysis'!$E2/100) *'Profitability Ananlysis'!$F2/100</calculatedColumnFormula>
    </tableColumn>
    <tableColumn id="8" xr3:uid="{F9AA7F97-3E11-41D4-BBE0-AED2C5724CFF}" name="Order Status" dataDxfId="34">
      <calculatedColumnFormula>Table4[[#This Row],[Order Status]]</calculatedColumnFormula>
    </tableColumn>
    <tableColumn id="9" xr3:uid="{1D8146E3-0C45-4D50-8CE5-69FA17F3B927}" name="Final Net Income" dataDxfId="3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opLeftCell="M15" zoomScale="88" workbookViewId="0">
      <selection activeCell="E10" sqref="E10"/>
    </sheetView>
  </sheetViews>
  <sheetFormatPr defaultRowHeight="14.5" x14ac:dyDescent="0.35"/>
  <cols>
    <col min="1" max="1" width="10" customWidth="1"/>
    <col min="2" max="2" width="16.36328125" customWidth="1"/>
    <col min="3" max="3" width="11.08984375" bestFit="1" customWidth="1"/>
    <col min="4" max="4" width="12.1796875" customWidth="1"/>
    <col min="5" max="5" width="17.6328125" customWidth="1"/>
    <col min="6" max="6" width="11.26953125" customWidth="1"/>
    <col min="8" max="8" width="10.36328125" bestFit="1" customWidth="1"/>
    <col min="9" max="9" width="17.453125" customWidth="1"/>
    <col min="10" max="10" width="18.7265625" customWidth="1"/>
    <col min="11" max="11" width="14.36328125" customWidth="1"/>
    <col min="12" max="12" width="13.36328125" customWidth="1"/>
    <col min="13" max="13" width="14.08984375" customWidth="1"/>
    <col min="14" max="14" width="17.08984375" customWidth="1"/>
    <col min="15" max="15" width="19.36328125" customWidth="1"/>
    <col min="16" max="16" width="13.4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1148</v>
      </c>
      <c r="B2" t="s">
        <v>16</v>
      </c>
      <c r="C2" t="s">
        <v>17</v>
      </c>
      <c r="D2" s="1">
        <v>45401</v>
      </c>
      <c r="E2">
        <v>3</v>
      </c>
      <c r="F2">
        <v>299.99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10</v>
      </c>
      <c r="M2">
        <v>15</v>
      </c>
      <c r="N2">
        <v>20</v>
      </c>
      <c r="O2">
        <v>5</v>
      </c>
      <c r="P2" t="s">
        <v>23</v>
      </c>
    </row>
    <row r="3" spans="1:16" x14ac:dyDescent="0.35">
      <c r="A3">
        <v>1162</v>
      </c>
      <c r="B3" t="s">
        <v>24</v>
      </c>
      <c r="C3" t="s">
        <v>25</v>
      </c>
      <c r="D3" t="s">
        <v>26</v>
      </c>
      <c r="E3">
        <v>7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>
        <v>0</v>
      </c>
      <c r="M3">
        <v>25</v>
      </c>
      <c r="N3">
        <v>15</v>
      </c>
      <c r="O3">
        <v>4</v>
      </c>
      <c r="P3" t="s">
        <v>33</v>
      </c>
    </row>
    <row r="4" spans="1:16" x14ac:dyDescent="0.35">
      <c r="A4">
        <v>1010</v>
      </c>
      <c r="B4" t="s">
        <v>34</v>
      </c>
      <c r="C4" t="s">
        <v>35</v>
      </c>
      <c r="D4" s="1">
        <v>45366</v>
      </c>
      <c r="E4">
        <v>1</v>
      </c>
      <c r="F4">
        <v>899.99</v>
      </c>
      <c r="G4" t="s">
        <v>36</v>
      </c>
      <c r="H4" t="s">
        <v>29</v>
      </c>
      <c r="I4" t="s">
        <v>37</v>
      </c>
      <c r="J4" t="s">
        <v>38</v>
      </c>
      <c r="K4" t="s">
        <v>39</v>
      </c>
      <c r="L4">
        <v>5</v>
      </c>
      <c r="M4">
        <v>20</v>
      </c>
      <c r="N4">
        <v>30</v>
      </c>
      <c r="O4">
        <v>3</v>
      </c>
      <c r="P4" t="s">
        <v>23</v>
      </c>
    </row>
    <row r="5" spans="1:16" x14ac:dyDescent="0.35">
      <c r="A5">
        <v>1109</v>
      </c>
      <c r="B5" t="s">
        <v>40</v>
      </c>
      <c r="C5" t="s">
        <v>41</v>
      </c>
      <c r="D5" s="1">
        <v>45350</v>
      </c>
      <c r="E5">
        <v>5</v>
      </c>
      <c r="F5">
        <v>199.99</v>
      </c>
      <c r="G5" t="s">
        <v>42</v>
      </c>
      <c r="H5" t="s">
        <v>19</v>
      </c>
      <c r="I5" t="s">
        <v>20</v>
      </c>
      <c r="J5" t="s">
        <v>21</v>
      </c>
      <c r="K5" t="s">
        <v>22</v>
      </c>
      <c r="L5">
        <v>0</v>
      </c>
      <c r="M5">
        <v>10</v>
      </c>
      <c r="N5">
        <v>25</v>
      </c>
      <c r="O5">
        <v>5</v>
      </c>
      <c r="P5" t="s">
        <v>43</v>
      </c>
    </row>
    <row r="6" spans="1:16" x14ac:dyDescent="0.35">
      <c r="A6">
        <v>1123</v>
      </c>
      <c r="B6" t="s">
        <v>44</v>
      </c>
      <c r="C6" t="s">
        <v>45</v>
      </c>
      <c r="D6" t="s">
        <v>26</v>
      </c>
      <c r="E6">
        <v>2</v>
      </c>
      <c r="F6">
        <v>49.99</v>
      </c>
      <c r="G6" t="s">
        <v>28</v>
      </c>
      <c r="H6" t="s">
        <v>19</v>
      </c>
      <c r="I6" t="s">
        <v>46</v>
      </c>
      <c r="J6" t="s">
        <v>31</v>
      </c>
      <c r="K6" t="s">
        <v>32</v>
      </c>
      <c r="L6">
        <v>15</v>
      </c>
      <c r="M6">
        <v>10</v>
      </c>
      <c r="N6">
        <v>22</v>
      </c>
      <c r="O6">
        <v>4</v>
      </c>
      <c r="P6" t="s">
        <v>23</v>
      </c>
    </row>
    <row r="7" spans="1:16" x14ac:dyDescent="0.35">
      <c r="A7">
        <v>1057</v>
      </c>
      <c r="B7" t="s">
        <v>47</v>
      </c>
      <c r="C7" t="s">
        <v>48</v>
      </c>
      <c r="D7" s="1">
        <v>45444</v>
      </c>
      <c r="E7">
        <v>6</v>
      </c>
      <c r="F7">
        <v>99.99</v>
      </c>
      <c r="G7" t="s">
        <v>18</v>
      </c>
      <c r="H7" t="s">
        <v>29</v>
      </c>
      <c r="I7" t="s">
        <v>30</v>
      </c>
      <c r="J7" t="s">
        <v>38</v>
      </c>
      <c r="K7" t="s">
        <v>39</v>
      </c>
      <c r="L7">
        <v>20</v>
      </c>
      <c r="M7">
        <v>5</v>
      </c>
      <c r="N7">
        <v>18</v>
      </c>
      <c r="O7">
        <v>3</v>
      </c>
      <c r="P7" t="s">
        <v>23</v>
      </c>
    </row>
    <row r="8" spans="1:16" x14ac:dyDescent="0.35">
      <c r="A8">
        <v>1115</v>
      </c>
      <c r="B8" t="s">
        <v>16</v>
      </c>
      <c r="C8" t="s">
        <v>17</v>
      </c>
      <c r="D8" s="1">
        <v>45301</v>
      </c>
      <c r="E8">
        <v>8</v>
      </c>
      <c r="F8">
        <v>299.99</v>
      </c>
      <c r="G8" t="s">
        <v>36</v>
      </c>
      <c r="H8" t="s">
        <v>19</v>
      </c>
      <c r="I8" t="s">
        <v>37</v>
      </c>
      <c r="J8" t="s">
        <v>21</v>
      </c>
      <c r="K8" t="s">
        <v>22</v>
      </c>
      <c r="L8">
        <v>0</v>
      </c>
      <c r="M8">
        <v>15</v>
      </c>
      <c r="N8">
        <v>25</v>
      </c>
      <c r="O8">
        <v>5</v>
      </c>
      <c r="P8" t="s">
        <v>23</v>
      </c>
    </row>
    <row r="9" spans="1:16" x14ac:dyDescent="0.35">
      <c r="A9">
        <v>1032</v>
      </c>
      <c r="B9" t="s">
        <v>34</v>
      </c>
      <c r="C9" t="s">
        <v>25</v>
      </c>
      <c r="D9" s="1">
        <v>45435</v>
      </c>
      <c r="E9">
        <v>4</v>
      </c>
      <c r="F9" t="s">
        <v>27</v>
      </c>
      <c r="G9" t="s">
        <v>42</v>
      </c>
      <c r="H9" t="s">
        <v>29</v>
      </c>
      <c r="I9" t="s">
        <v>20</v>
      </c>
      <c r="J9" t="s">
        <v>31</v>
      </c>
      <c r="K9" t="s">
        <v>32</v>
      </c>
      <c r="L9">
        <v>10</v>
      </c>
      <c r="M9">
        <v>20</v>
      </c>
      <c r="N9">
        <v>17</v>
      </c>
      <c r="O9">
        <v>4</v>
      </c>
      <c r="P9" t="s">
        <v>23</v>
      </c>
    </row>
    <row r="10" spans="1:16" x14ac:dyDescent="0.35">
      <c r="A10">
        <v>1174</v>
      </c>
      <c r="C10" t="s">
        <v>41</v>
      </c>
      <c r="D10" s="1">
        <v>45336</v>
      </c>
      <c r="E10">
        <v>7</v>
      </c>
      <c r="F10">
        <v>499.99</v>
      </c>
      <c r="G10" t="s">
        <v>18</v>
      </c>
      <c r="H10" t="s">
        <v>19</v>
      </c>
      <c r="I10" t="s">
        <v>30</v>
      </c>
      <c r="J10" t="s">
        <v>21</v>
      </c>
      <c r="K10" t="s">
        <v>39</v>
      </c>
      <c r="L10">
        <v>0</v>
      </c>
      <c r="M10">
        <v>10</v>
      </c>
      <c r="N10">
        <v>20</v>
      </c>
      <c r="O10">
        <v>3</v>
      </c>
      <c r="P10" t="s">
        <v>33</v>
      </c>
    </row>
    <row r="11" spans="1:16" x14ac:dyDescent="0.35">
      <c r="A11">
        <v>1087</v>
      </c>
      <c r="B11" t="s">
        <v>24</v>
      </c>
      <c r="C11" t="s">
        <v>49</v>
      </c>
      <c r="D11" t="s">
        <v>26</v>
      </c>
      <c r="E11">
        <v>3</v>
      </c>
      <c r="F11">
        <v>29.99</v>
      </c>
      <c r="G11" t="s">
        <v>28</v>
      </c>
      <c r="H11" t="s">
        <v>29</v>
      </c>
      <c r="I11" t="s">
        <v>37</v>
      </c>
      <c r="J11" t="s">
        <v>38</v>
      </c>
      <c r="K11" t="s">
        <v>32</v>
      </c>
      <c r="L11">
        <v>5</v>
      </c>
      <c r="M11">
        <v>5</v>
      </c>
      <c r="N11">
        <v>15</v>
      </c>
      <c r="O11">
        <v>4</v>
      </c>
      <c r="P11" t="s">
        <v>23</v>
      </c>
    </row>
    <row r="12" spans="1:16" x14ac:dyDescent="0.35">
      <c r="A12">
        <v>1044</v>
      </c>
      <c r="B12" t="s">
        <v>40</v>
      </c>
      <c r="C12" t="s">
        <v>35</v>
      </c>
      <c r="D12" s="1">
        <v>45380</v>
      </c>
      <c r="E12">
        <v>2</v>
      </c>
      <c r="F12">
        <v>899.99</v>
      </c>
      <c r="G12" t="s">
        <v>36</v>
      </c>
      <c r="H12" t="s">
        <v>29</v>
      </c>
      <c r="I12" t="s">
        <v>46</v>
      </c>
      <c r="J12" t="s">
        <v>21</v>
      </c>
      <c r="K12" t="s">
        <v>22</v>
      </c>
      <c r="L12">
        <v>0</v>
      </c>
      <c r="M12">
        <v>25</v>
      </c>
      <c r="N12">
        <v>30</v>
      </c>
      <c r="O12">
        <v>5</v>
      </c>
      <c r="P12" t="s">
        <v>23</v>
      </c>
    </row>
    <row r="13" spans="1:16" x14ac:dyDescent="0.35">
      <c r="A13">
        <v>1099</v>
      </c>
      <c r="B13" t="s">
        <v>47</v>
      </c>
      <c r="C13" t="s">
        <v>17</v>
      </c>
      <c r="D13" s="1">
        <v>45447</v>
      </c>
      <c r="E13">
        <v>1</v>
      </c>
      <c r="F13">
        <v>299.99</v>
      </c>
      <c r="G13" t="s">
        <v>42</v>
      </c>
      <c r="H13" t="s">
        <v>19</v>
      </c>
      <c r="I13" t="s">
        <v>20</v>
      </c>
      <c r="J13" t="s">
        <v>31</v>
      </c>
      <c r="K13" t="s">
        <v>39</v>
      </c>
      <c r="L13">
        <v>0</v>
      </c>
      <c r="M13">
        <v>10</v>
      </c>
      <c r="N13">
        <v>22</v>
      </c>
      <c r="O13">
        <v>3</v>
      </c>
      <c r="P13" t="s">
        <v>43</v>
      </c>
    </row>
    <row r="14" spans="1:16" x14ac:dyDescent="0.35">
      <c r="A14">
        <v>1127</v>
      </c>
      <c r="B14" t="s">
        <v>44</v>
      </c>
      <c r="C14" t="s">
        <v>48</v>
      </c>
      <c r="D14" t="s">
        <v>26</v>
      </c>
      <c r="E14">
        <v>9</v>
      </c>
      <c r="F14">
        <v>49.99</v>
      </c>
      <c r="G14" t="s">
        <v>18</v>
      </c>
      <c r="H14" t="s">
        <v>29</v>
      </c>
      <c r="I14" t="s">
        <v>30</v>
      </c>
      <c r="J14" t="s">
        <v>38</v>
      </c>
      <c r="K14" t="s">
        <v>32</v>
      </c>
      <c r="L14">
        <v>10</v>
      </c>
      <c r="M14">
        <v>5</v>
      </c>
      <c r="N14">
        <v>18</v>
      </c>
      <c r="O14">
        <v>4</v>
      </c>
      <c r="P14" t="s">
        <v>23</v>
      </c>
    </row>
    <row r="15" spans="1:16" x14ac:dyDescent="0.35">
      <c r="A15">
        <v>1151</v>
      </c>
      <c r="B15" t="s">
        <v>16</v>
      </c>
      <c r="C15" t="s">
        <v>25</v>
      </c>
      <c r="D15" s="1">
        <v>45308</v>
      </c>
      <c r="E15">
        <v>6</v>
      </c>
      <c r="F15">
        <v>299.99</v>
      </c>
      <c r="G15" t="s">
        <v>28</v>
      </c>
      <c r="H15" t="s">
        <v>19</v>
      </c>
      <c r="I15" t="s">
        <v>37</v>
      </c>
      <c r="J15" t="s">
        <v>21</v>
      </c>
      <c r="K15" t="s">
        <v>22</v>
      </c>
      <c r="L15">
        <v>0</v>
      </c>
      <c r="M15">
        <v>20</v>
      </c>
      <c r="N15">
        <v>25</v>
      </c>
      <c r="O15">
        <v>5</v>
      </c>
      <c r="P15" t="s">
        <v>23</v>
      </c>
    </row>
    <row r="16" spans="1:16" x14ac:dyDescent="0.35">
      <c r="A16">
        <v>1066</v>
      </c>
      <c r="B16" t="s">
        <v>34</v>
      </c>
      <c r="C16" t="s">
        <v>41</v>
      </c>
      <c r="D16" s="1">
        <v>45388</v>
      </c>
      <c r="E16">
        <v>7</v>
      </c>
      <c r="F16">
        <v>99.99</v>
      </c>
      <c r="G16" t="s">
        <v>36</v>
      </c>
      <c r="H16" t="s">
        <v>19</v>
      </c>
      <c r="I16" t="s">
        <v>20</v>
      </c>
      <c r="J16" t="s">
        <v>31</v>
      </c>
      <c r="K16" t="s">
        <v>39</v>
      </c>
      <c r="L16">
        <v>5</v>
      </c>
      <c r="M16">
        <v>10</v>
      </c>
      <c r="N16">
        <v>15</v>
      </c>
      <c r="O16">
        <v>3</v>
      </c>
      <c r="P16" t="s">
        <v>33</v>
      </c>
    </row>
    <row r="17" spans="1:16" x14ac:dyDescent="0.35">
      <c r="A17">
        <v>1101</v>
      </c>
      <c r="B17" t="s">
        <v>40</v>
      </c>
      <c r="C17" t="s">
        <v>45</v>
      </c>
      <c r="D17" s="1">
        <v>45442</v>
      </c>
      <c r="E17">
        <v>5</v>
      </c>
      <c r="F17" t="s">
        <v>27</v>
      </c>
      <c r="G17" t="s">
        <v>18</v>
      </c>
      <c r="H17" t="s">
        <v>19</v>
      </c>
      <c r="I17" t="s">
        <v>30</v>
      </c>
      <c r="J17" t="s">
        <v>38</v>
      </c>
      <c r="K17" t="s">
        <v>32</v>
      </c>
      <c r="L17">
        <v>15</v>
      </c>
      <c r="M17">
        <v>10</v>
      </c>
      <c r="N17">
        <v>20</v>
      </c>
      <c r="O17">
        <v>4</v>
      </c>
      <c r="P17" t="s">
        <v>23</v>
      </c>
    </row>
    <row r="18" spans="1:16" x14ac:dyDescent="0.35">
      <c r="A18">
        <v>1025</v>
      </c>
      <c r="B18" t="s">
        <v>24</v>
      </c>
      <c r="C18" t="s">
        <v>35</v>
      </c>
      <c r="D18" s="1">
        <v>45455</v>
      </c>
      <c r="E18">
        <v>4</v>
      </c>
      <c r="F18">
        <v>299.99</v>
      </c>
      <c r="G18" t="s">
        <v>28</v>
      </c>
      <c r="H18" t="s">
        <v>29</v>
      </c>
      <c r="I18" t="s">
        <v>37</v>
      </c>
      <c r="J18" t="s">
        <v>21</v>
      </c>
      <c r="K18" t="s">
        <v>22</v>
      </c>
      <c r="L18">
        <v>0</v>
      </c>
      <c r="M18">
        <v>20</v>
      </c>
      <c r="N18">
        <v>30</v>
      </c>
      <c r="O18">
        <v>5</v>
      </c>
      <c r="P18" t="s">
        <v>23</v>
      </c>
    </row>
    <row r="19" spans="1:16" x14ac:dyDescent="0.35">
      <c r="A19">
        <v>1113</v>
      </c>
      <c r="B19" t="s">
        <v>47</v>
      </c>
      <c r="C19" t="s">
        <v>17</v>
      </c>
      <c r="D19" t="s">
        <v>26</v>
      </c>
      <c r="E19">
        <v>8</v>
      </c>
      <c r="F19">
        <v>199.99</v>
      </c>
      <c r="G19" t="s">
        <v>42</v>
      </c>
      <c r="H19" t="s">
        <v>19</v>
      </c>
      <c r="I19" t="s">
        <v>20</v>
      </c>
      <c r="J19" t="s">
        <v>31</v>
      </c>
      <c r="K19" t="s">
        <v>32</v>
      </c>
      <c r="L19">
        <v>10</v>
      </c>
      <c r="M19">
        <v>15</v>
      </c>
      <c r="N19">
        <v>22</v>
      </c>
      <c r="O19">
        <v>4</v>
      </c>
      <c r="P19" t="s">
        <v>43</v>
      </c>
    </row>
    <row r="20" spans="1:16" x14ac:dyDescent="0.35">
      <c r="A20">
        <v>1079</v>
      </c>
      <c r="B20" t="s">
        <v>44</v>
      </c>
      <c r="C20" t="s">
        <v>41</v>
      </c>
      <c r="D20" s="1">
        <v>45342</v>
      </c>
      <c r="E20">
        <v>3</v>
      </c>
      <c r="F20">
        <v>49.99</v>
      </c>
      <c r="G20" t="s">
        <v>36</v>
      </c>
      <c r="H20" t="s">
        <v>19</v>
      </c>
      <c r="I20" t="s">
        <v>46</v>
      </c>
      <c r="J20" t="s">
        <v>38</v>
      </c>
      <c r="K20" t="s">
        <v>39</v>
      </c>
      <c r="L20">
        <v>5</v>
      </c>
      <c r="M20">
        <v>10</v>
      </c>
      <c r="N20">
        <v>17</v>
      </c>
      <c r="O20">
        <v>3</v>
      </c>
      <c r="P20" t="s">
        <v>23</v>
      </c>
    </row>
    <row r="21" spans="1:16" x14ac:dyDescent="0.35">
      <c r="A21">
        <v>1138</v>
      </c>
      <c r="C21" t="s">
        <v>25</v>
      </c>
      <c r="D21" s="1">
        <v>45359</v>
      </c>
      <c r="E21">
        <v>7</v>
      </c>
      <c r="F21">
        <v>899.99</v>
      </c>
      <c r="G21" t="s">
        <v>18</v>
      </c>
      <c r="H21" t="s">
        <v>29</v>
      </c>
      <c r="I21" t="s">
        <v>30</v>
      </c>
      <c r="J21" t="s">
        <v>21</v>
      </c>
      <c r="K21" t="s">
        <v>22</v>
      </c>
      <c r="L21">
        <v>0</v>
      </c>
      <c r="M21">
        <v>20</v>
      </c>
      <c r="N21">
        <v>25</v>
      </c>
      <c r="O21">
        <v>5</v>
      </c>
      <c r="P21" t="s">
        <v>23</v>
      </c>
    </row>
    <row r="22" spans="1:16" x14ac:dyDescent="0.35">
      <c r="A22">
        <v>1154</v>
      </c>
      <c r="B22" t="s">
        <v>16</v>
      </c>
      <c r="C22" t="s">
        <v>48</v>
      </c>
      <c r="D22" s="1">
        <v>45316</v>
      </c>
      <c r="E22">
        <v>1</v>
      </c>
      <c r="F22">
        <v>99.99</v>
      </c>
      <c r="G22" t="s">
        <v>28</v>
      </c>
      <c r="H22" t="s">
        <v>29</v>
      </c>
      <c r="I22" t="s">
        <v>37</v>
      </c>
      <c r="J22" t="s">
        <v>31</v>
      </c>
      <c r="K22" t="s">
        <v>32</v>
      </c>
      <c r="L22">
        <v>10</v>
      </c>
      <c r="M22">
        <v>5</v>
      </c>
      <c r="N22">
        <v>18</v>
      </c>
      <c r="O22">
        <v>4</v>
      </c>
      <c r="P22" t="s">
        <v>33</v>
      </c>
    </row>
    <row r="23" spans="1:16" x14ac:dyDescent="0.35">
      <c r="A23">
        <v>1095</v>
      </c>
      <c r="B23" t="s">
        <v>34</v>
      </c>
      <c r="C23" t="s">
        <v>45</v>
      </c>
      <c r="D23" t="s">
        <v>26</v>
      </c>
      <c r="E23">
        <v>6</v>
      </c>
      <c r="F23">
        <v>299.99</v>
      </c>
      <c r="G23" t="s">
        <v>42</v>
      </c>
      <c r="H23" t="s">
        <v>19</v>
      </c>
      <c r="I23" t="s">
        <v>20</v>
      </c>
      <c r="J23" t="s">
        <v>38</v>
      </c>
      <c r="K23" t="s">
        <v>39</v>
      </c>
      <c r="L23">
        <v>0</v>
      </c>
      <c r="M23">
        <v>10</v>
      </c>
      <c r="N23">
        <v>20</v>
      </c>
      <c r="O23">
        <v>3</v>
      </c>
      <c r="P23" t="s">
        <v>23</v>
      </c>
    </row>
    <row r="24" spans="1:16" x14ac:dyDescent="0.35">
      <c r="A24">
        <v>1165</v>
      </c>
      <c r="B24" t="s">
        <v>40</v>
      </c>
      <c r="C24" t="s">
        <v>35</v>
      </c>
      <c r="D24" s="1">
        <v>45394</v>
      </c>
      <c r="E24">
        <v>2</v>
      </c>
      <c r="F24" t="s">
        <v>27</v>
      </c>
      <c r="G24" t="s">
        <v>18</v>
      </c>
      <c r="H24" t="s">
        <v>29</v>
      </c>
      <c r="I24" t="s">
        <v>30</v>
      </c>
      <c r="J24" t="s">
        <v>21</v>
      </c>
      <c r="K24" t="s">
        <v>22</v>
      </c>
      <c r="L24">
        <v>5</v>
      </c>
      <c r="M24">
        <v>25</v>
      </c>
      <c r="N24">
        <v>30</v>
      </c>
      <c r="O24">
        <v>5</v>
      </c>
      <c r="P24" t="s">
        <v>23</v>
      </c>
    </row>
    <row r="25" spans="1:16" x14ac:dyDescent="0.35">
      <c r="A25">
        <v>1038</v>
      </c>
      <c r="B25" t="s">
        <v>47</v>
      </c>
      <c r="C25" t="s">
        <v>17</v>
      </c>
      <c r="D25" s="1">
        <v>45426</v>
      </c>
      <c r="E25">
        <v>9</v>
      </c>
      <c r="F25">
        <v>299.99</v>
      </c>
      <c r="G25" t="s">
        <v>28</v>
      </c>
      <c r="H25" t="s">
        <v>19</v>
      </c>
      <c r="I25" t="s">
        <v>20</v>
      </c>
      <c r="J25" t="s">
        <v>31</v>
      </c>
      <c r="K25" t="s">
        <v>32</v>
      </c>
      <c r="L25">
        <v>0</v>
      </c>
      <c r="M25">
        <v>15</v>
      </c>
      <c r="N25">
        <v>22</v>
      </c>
      <c r="O25">
        <v>4</v>
      </c>
      <c r="P25" t="s">
        <v>43</v>
      </c>
    </row>
    <row r="26" spans="1:16" x14ac:dyDescent="0.35">
      <c r="A26">
        <v>1120</v>
      </c>
      <c r="B26" t="s">
        <v>44</v>
      </c>
      <c r="C26" t="s">
        <v>41</v>
      </c>
      <c r="D26" t="s">
        <v>26</v>
      </c>
      <c r="E26">
        <v>4</v>
      </c>
      <c r="F26">
        <v>49.99</v>
      </c>
      <c r="G26" t="s">
        <v>36</v>
      </c>
      <c r="H26" t="s">
        <v>19</v>
      </c>
      <c r="I26" t="s">
        <v>46</v>
      </c>
      <c r="J26" t="s">
        <v>38</v>
      </c>
      <c r="K26" t="s">
        <v>39</v>
      </c>
      <c r="L26">
        <v>10</v>
      </c>
      <c r="M26">
        <v>10</v>
      </c>
      <c r="N26">
        <v>17</v>
      </c>
      <c r="O26">
        <v>3</v>
      </c>
      <c r="P26" t="s">
        <v>23</v>
      </c>
    </row>
    <row r="27" spans="1:16" x14ac:dyDescent="0.35">
      <c r="A27">
        <v>1071</v>
      </c>
      <c r="B27" t="s">
        <v>24</v>
      </c>
      <c r="C27" t="s">
        <v>25</v>
      </c>
      <c r="D27" s="1">
        <v>45444</v>
      </c>
      <c r="E27">
        <v>5</v>
      </c>
      <c r="F27">
        <v>199.99</v>
      </c>
      <c r="G27" t="s">
        <v>18</v>
      </c>
      <c r="H27" t="s">
        <v>29</v>
      </c>
      <c r="I27" t="s">
        <v>37</v>
      </c>
      <c r="J27" t="s">
        <v>21</v>
      </c>
      <c r="K27" t="s">
        <v>22</v>
      </c>
      <c r="L27">
        <v>0</v>
      </c>
      <c r="M27">
        <v>20</v>
      </c>
      <c r="N27">
        <v>25</v>
      </c>
      <c r="O27">
        <v>5</v>
      </c>
      <c r="P27" t="s">
        <v>23</v>
      </c>
    </row>
    <row r="28" spans="1:16" x14ac:dyDescent="0.35">
      <c r="A28">
        <v>1147</v>
      </c>
      <c r="B28" t="s">
        <v>16</v>
      </c>
      <c r="C28" t="s">
        <v>49</v>
      </c>
      <c r="D28" s="1">
        <v>45325</v>
      </c>
      <c r="E28">
        <v>3</v>
      </c>
      <c r="F28">
        <v>29.99</v>
      </c>
      <c r="G28" t="s">
        <v>28</v>
      </c>
      <c r="H28" t="s">
        <v>29</v>
      </c>
      <c r="I28" t="s">
        <v>30</v>
      </c>
      <c r="J28" t="s">
        <v>31</v>
      </c>
      <c r="K28" t="s">
        <v>32</v>
      </c>
      <c r="L28">
        <v>15</v>
      </c>
      <c r="M28">
        <v>5</v>
      </c>
      <c r="N28">
        <v>15</v>
      </c>
      <c r="O28">
        <v>4</v>
      </c>
      <c r="P28" t="s">
        <v>33</v>
      </c>
    </row>
    <row r="29" spans="1:16" x14ac:dyDescent="0.35">
      <c r="A29">
        <v>1052</v>
      </c>
      <c r="B29" t="s">
        <v>34</v>
      </c>
      <c r="C29" t="s">
        <v>35</v>
      </c>
      <c r="D29" s="1">
        <v>45404</v>
      </c>
      <c r="E29">
        <v>7</v>
      </c>
      <c r="F29">
        <v>899.99</v>
      </c>
      <c r="G29" t="s">
        <v>42</v>
      </c>
      <c r="H29" t="s">
        <v>29</v>
      </c>
      <c r="I29" t="s">
        <v>20</v>
      </c>
      <c r="J29" t="s">
        <v>38</v>
      </c>
      <c r="K29" t="s">
        <v>39</v>
      </c>
      <c r="L29">
        <v>0</v>
      </c>
      <c r="M29">
        <v>25</v>
      </c>
      <c r="N29">
        <v>30</v>
      </c>
      <c r="O29">
        <v>3</v>
      </c>
      <c r="P29" t="s">
        <v>23</v>
      </c>
    </row>
    <row r="30" spans="1:16" x14ac:dyDescent="0.35">
      <c r="A30">
        <v>1091</v>
      </c>
      <c r="B30" t="s">
        <v>40</v>
      </c>
      <c r="C30" t="s">
        <v>17</v>
      </c>
      <c r="D30" t="s">
        <v>26</v>
      </c>
      <c r="E30">
        <v>8</v>
      </c>
      <c r="F30">
        <v>299.99</v>
      </c>
      <c r="G30" t="s">
        <v>18</v>
      </c>
      <c r="H30" t="s">
        <v>19</v>
      </c>
      <c r="I30" t="s">
        <v>37</v>
      </c>
      <c r="J30" t="s">
        <v>21</v>
      </c>
      <c r="K30" t="s">
        <v>22</v>
      </c>
      <c r="L30">
        <v>10</v>
      </c>
      <c r="M30">
        <v>15</v>
      </c>
      <c r="N30">
        <v>22</v>
      </c>
      <c r="O30">
        <v>5</v>
      </c>
      <c r="P30" t="s">
        <v>23</v>
      </c>
    </row>
    <row r="31" spans="1:16" x14ac:dyDescent="0.35">
      <c r="A31">
        <v>1133</v>
      </c>
      <c r="B31" t="s">
        <v>47</v>
      </c>
      <c r="C31" t="s">
        <v>45</v>
      </c>
      <c r="D31" s="1">
        <v>45369</v>
      </c>
      <c r="E31">
        <v>6</v>
      </c>
      <c r="F31">
        <v>49.99</v>
      </c>
      <c r="G31" t="s">
        <v>28</v>
      </c>
      <c r="H31" t="s">
        <v>19</v>
      </c>
      <c r="I31" t="s">
        <v>30</v>
      </c>
      <c r="J31" t="s">
        <v>31</v>
      </c>
      <c r="K31" t="s">
        <v>32</v>
      </c>
      <c r="L31">
        <v>5</v>
      </c>
      <c r="M31">
        <v>10</v>
      </c>
      <c r="N31">
        <v>20</v>
      </c>
      <c r="O31">
        <v>4</v>
      </c>
      <c r="P31" t="s">
        <v>43</v>
      </c>
    </row>
    <row r="32" spans="1:16" x14ac:dyDescent="0.35">
      <c r="A32">
        <v>1110</v>
      </c>
      <c r="B32" t="s">
        <v>44</v>
      </c>
      <c r="C32" t="s">
        <v>48</v>
      </c>
      <c r="D32" s="1">
        <v>45418</v>
      </c>
      <c r="E32">
        <v>1</v>
      </c>
      <c r="F32" t="s">
        <v>27</v>
      </c>
      <c r="G32" t="s">
        <v>36</v>
      </c>
      <c r="H32" t="s">
        <v>29</v>
      </c>
      <c r="I32" t="s">
        <v>20</v>
      </c>
      <c r="J32" t="s">
        <v>38</v>
      </c>
      <c r="K32" t="s">
        <v>39</v>
      </c>
      <c r="L32">
        <v>0</v>
      </c>
      <c r="M32">
        <v>5</v>
      </c>
      <c r="N32">
        <v>18</v>
      </c>
      <c r="O32">
        <v>3</v>
      </c>
      <c r="P32" t="s">
        <v>23</v>
      </c>
    </row>
    <row r="33" spans="1:16" x14ac:dyDescent="0.35">
      <c r="A33">
        <v>1167</v>
      </c>
      <c r="B33" t="s">
        <v>24</v>
      </c>
      <c r="C33" t="s">
        <v>41</v>
      </c>
      <c r="D33" t="s">
        <v>26</v>
      </c>
      <c r="E33">
        <v>2</v>
      </c>
      <c r="F33">
        <v>199.99</v>
      </c>
      <c r="G33" t="s">
        <v>18</v>
      </c>
      <c r="H33" t="s">
        <v>19</v>
      </c>
      <c r="I33" t="s">
        <v>46</v>
      </c>
      <c r="J33" t="s">
        <v>21</v>
      </c>
      <c r="K33" t="s">
        <v>22</v>
      </c>
      <c r="L33">
        <v>10</v>
      </c>
      <c r="M33">
        <v>10</v>
      </c>
      <c r="N33">
        <v>25</v>
      </c>
      <c r="O33">
        <v>5</v>
      </c>
      <c r="P33" t="s">
        <v>33</v>
      </c>
    </row>
    <row r="34" spans="1:16" x14ac:dyDescent="0.35">
      <c r="A34">
        <v>1041</v>
      </c>
      <c r="B34" t="s">
        <v>16</v>
      </c>
      <c r="C34" t="s">
        <v>25</v>
      </c>
      <c r="D34" s="1">
        <v>45305</v>
      </c>
      <c r="E34">
        <v>5</v>
      </c>
      <c r="F34">
        <v>299.99</v>
      </c>
      <c r="G34" t="s">
        <v>28</v>
      </c>
      <c r="H34" t="s">
        <v>29</v>
      </c>
      <c r="I34" t="s">
        <v>37</v>
      </c>
      <c r="J34" t="s">
        <v>31</v>
      </c>
      <c r="K34" t="s">
        <v>32</v>
      </c>
      <c r="L34">
        <v>0</v>
      </c>
      <c r="M34">
        <v>20</v>
      </c>
      <c r="N34">
        <v>22</v>
      </c>
      <c r="O34">
        <v>4</v>
      </c>
      <c r="P34" t="s">
        <v>23</v>
      </c>
    </row>
    <row r="35" spans="1:16" x14ac:dyDescent="0.35">
      <c r="A35">
        <v>1107</v>
      </c>
      <c r="B35" t="s">
        <v>34</v>
      </c>
      <c r="C35" t="s">
        <v>17</v>
      </c>
      <c r="D35" s="1">
        <v>45450</v>
      </c>
      <c r="E35">
        <v>7</v>
      </c>
      <c r="F35">
        <v>899.99</v>
      </c>
      <c r="G35" t="s">
        <v>42</v>
      </c>
      <c r="H35" t="s">
        <v>19</v>
      </c>
      <c r="I35" t="s">
        <v>20</v>
      </c>
      <c r="J35" t="s">
        <v>38</v>
      </c>
      <c r="K35" t="s">
        <v>39</v>
      </c>
      <c r="L35">
        <v>15</v>
      </c>
      <c r="M35">
        <v>15</v>
      </c>
      <c r="N35">
        <v>30</v>
      </c>
      <c r="O35">
        <v>3</v>
      </c>
      <c r="P35" t="s">
        <v>23</v>
      </c>
    </row>
    <row r="36" spans="1:16" x14ac:dyDescent="0.35">
      <c r="A36">
        <v>1029</v>
      </c>
      <c r="B36" t="s">
        <v>40</v>
      </c>
      <c r="C36" t="s">
        <v>49</v>
      </c>
      <c r="D36" t="s">
        <v>26</v>
      </c>
      <c r="E36">
        <v>4</v>
      </c>
      <c r="F36">
        <v>29.99</v>
      </c>
      <c r="G36" t="s">
        <v>18</v>
      </c>
      <c r="H36" t="s">
        <v>29</v>
      </c>
      <c r="I36" t="s">
        <v>30</v>
      </c>
      <c r="J36" t="s">
        <v>21</v>
      </c>
      <c r="K36" t="s">
        <v>22</v>
      </c>
      <c r="L36">
        <v>0</v>
      </c>
      <c r="M36">
        <v>5</v>
      </c>
      <c r="N36">
        <v>15</v>
      </c>
      <c r="O36">
        <v>5</v>
      </c>
      <c r="P36" t="s">
        <v>33</v>
      </c>
    </row>
    <row r="37" spans="1:16" x14ac:dyDescent="0.35">
      <c r="A37">
        <v>1158</v>
      </c>
      <c r="B37" t="s">
        <v>47</v>
      </c>
      <c r="C37" t="s">
        <v>35</v>
      </c>
      <c r="D37" s="1">
        <v>45343</v>
      </c>
      <c r="E37">
        <v>3</v>
      </c>
      <c r="F37" t="s">
        <v>27</v>
      </c>
      <c r="G37" t="s">
        <v>28</v>
      </c>
      <c r="H37" t="s">
        <v>29</v>
      </c>
      <c r="I37" t="s">
        <v>37</v>
      </c>
      <c r="J37" t="s">
        <v>31</v>
      </c>
      <c r="K37" t="s">
        <v>32</v>
      </c>
      <c r="L37">
        <v>5</v>
      </c>
      <c r="M37">
        <v>25</v>
      </c>
      <c r="N37">
        <v>30</v>
      </c>
      <c r="O37">
        <v>4</v>
      </c>
      <c r="P37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89D1-838E-4DDB-8E4C-0E55DDEE1BFA}">
  <dimension ref="A1:T39"/>
  <sheetViews>
    <sheetView topLeftCell="A36" zoomScale="85" workbookViewId="0">
      <selection activeCell="F2" sqref="F2"/>
    </sheetView>
  </sheetViews>
  <sheetFormatPr defaultRowHeight="14.5" x14ac:dyDescent="0.35"/>
  <cols>
    <col min="1" max="1" width="11.08984375" customWidth="1"/>
    <col min="2" max="2" width="20.90625" bestFit="1" customWidth="1"/>
    <col min="3" max="3" width="20.90625" customWidth="1"/>
    <col min="4" max="4" width="11.08984375" bestFit="1" customWidth="1"/>
    <col min="5" max="5" width="15.36328125" style="1" bestFit="1" customWidth="1"/>
    <col min="6" max="6" width="13.08984375" style="1" customWidth="1"/>
    <col min="7" max="7" width="8.7265625" style="2"/>
    <col min="8" max="8" width="13.1796875" style="2" bestFit="1" customWidth="1"/>
    <col min="9" max="9" width="13.1796875" style="2" customWidth="1"/>
    <col min="10" max="10" width="14.26953125" style="2" bestFit="1" customWidth="1"/>
    <col min="11" max="11" width="20.90625" bestFit="1" customWidth="1"/>
    <col min="12" max="12" width="10.54296875" bestFit="1" customWidth="1"/>
    <col min="13" max="13" width="17.81640625" bestFit="1" customWidth="1"/>
    <col min="14" max="14" width="19.08984375" bestFit="1" customWidth="1"/>
  </cols>
  <sheetData>
    <row r="1" spans="1:20" x14ac:dyDescent="0.35">
      <c r="A1" t="s">
        <v>0</v>
      </c>
      <c r="B1" t="s">
        <v>52</v>
      </c>
      <c r="C1" t="s">
        <v>65</v>
      </c>
      <c r="D1" t="s">
        <v>2</v>
      </c>
      <c r="E1" s="1" t="s">
        <v>3</v>
      </c>
      <c r="F1" s="1" t="s">
        <v>68</v>
      </c>
      <c r="G1" s="2" t="s">
        <v>4</v>
      </c>
      <c r="H1" s="2" t="s">
        <v>5</v>
      </c>
      <c r="I1" t="s">
        <v>12</v>
      </c>
      <c r="J1" s="2" t="s">
        <v>69</v>
      </c>
      <c r="K1" t="s">
        <v>11</v>
      </c>
      <c r="L1" s="2" t="s">
        <v>70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13</v>
      </c>
      <c r="S1" t="s">
        <v>14</v>
      </c>
      <c r="T1" t="s">
        <v>15</v>
      </c>
    </row>
    <row r="2" spans="1:20" x14ac:dyDescent="0.35">
      <c r="A2" s="3">
        <v>1109</v>
      </c>
      <c r="B2" s="4" t="s">
        <v>59</v>
      </c>
      <c r="C2" s="4" t="s">
        <v>60</v>
      </c>
      <c r="D2" s="3" t="s">
        <v>41</v>
      </c>
      <c r="E2" s="5">
        <v>45350</v>
      </c>
      <c r="F2" s="5" t="str">
        <f>TEXT(Table13[[#This Row],[Order Date]], "mmmm")</f>
        <v>February</v>
      </c>
      <c r="G2" s="6">
        <v>5</v>
      </c>
      <c r="H2" s="6">
        <v>199.99</v>
      </c>
      <c r="I2" s="3">
        <v>10</v>
      </c>
      <c r="J2" s="6">
        <f>Table13[[#This Row],[Quantity Ordered]]*Table13[[#This Row],[Price Each]]</f>
        <v>999.95</v>
      </c>
      <c r="K2" s="3">
        <v>0</v>
      </c>
      <c r="L2" s="6">
        <f>Table13[[#This Row],[Total Profit]]*(1-Table13[[#This Row],[Discount (%)]]* 0.01)</f>
        <v>999.95</v>
      </c>
      <c r="M2" s="3" t="s">
        <v>42</v>
      </c>
      <c r="N2" s="3" t="s">
        <v>19</v>
      </c>
      <c r="O2" s="3" t="s">
        <v>20</v>
      </c>
      <c r="P2" s="3" t="s">
        <v>21</v>
      </c>
      <c r="Q2" s="3" t="s">
        <v>22</v>
      </c>
      <c r="R2" s="3">
        <v>25</v>
      </c>
      <c r="S2" s="3">
        <v>5</v>
      </c>
      <c r="T2" s="3" t="s">
        <v>43</v>
      </c>
    </row>
    <row r="3" spans="1:20" x14ac:dyDescent="0.35">
      <c r="A3" s="3">
        <v>1044</v>
      </c>
      <c r="B3" s="4" t="s">
        <v>59</v>
      </c>
      <c r="C3" s="4" t="s">
        <v>60</v>
      </c>
      <c r="D3" s="3" t="s">
        <v>35</v>
      </c>
      <c r="E3" s="5">
        <v>45380</v>
      </c>
      <c r="F3" s="5" t="str">
        <f>TEXT(Table13[[#This Row],[Order Date]], "mmmm")</f>
        <v>March</v>
      </c>
      <c r="G3" s="6">
        <v>2</v>
      </c>
      <c r="H3" s="6">
        <v>899.99</v>
      </c>
      <c r="I3" s="3">
        <v>25</v>
      </c>
      <c r="J3" s="6">
        <f>Table13[[#This Row],[Quantity Ordered]]*Table13[[#This Row],[Price Each]]</f>
        <v>1799.98</v>
      </c>
      <c r="K3" s="3">
        <v>0</v>
      </c>
      <c r="L3" s="6">
        <f>Table13[[#This Row],[Total Profit]]*(1-Table13[[#This Row],[Discount (%)]]* 0.01)</f>
        <v>1799.98</v>
      </c>
      <c r="M3" s="3" t="s">
        <v>36</v>
      </c>
      <c r="N3" s="3" t="s">
        <v>29</v>
      </c>
      <c r="O3" s="3" t="s">
        <v>46</v>
      </c>
      <c r="P3" s="3" t="s">
        <v>21</v>
      </c>
      <c r="Q3" s="3" t="s">
        <v>22</v>
      </c>
      <c r="R3" s="3">
        <v>30</v>
      </c>
      <c r="S3" s="3">
        <v>5</v>
      </c>
      <c r="T3" s="3" t="s">
        <v>23</v>
      </c>
    </row>
    <row r="4" spans="1:20" x14ac:dyDescent="0.35">
      <c r="A4" s="3">
        <v>1101</v>
      </c>
      <c r="B4" s="4" t="s">
        <v>59</v>
      </c>
      <c r="C4" s="4" t="s">
        <v>60</v>
      </c>
      <c r="D4" s="3" t="s">
        <v>45</v>
      </c>
      <c r="E4" s="5">
        <v>45442</v>
      </c>
      <c r="F4" s="5" t="str">
        <f>TEXT(Table13[[#This Row],[Order Date]], "mmmm")</f>
        <v>May</v>
      </c>
      <c r="G4" s="6">
        <v>5</v>
      </c>
      <c r="H4" s="3" t="s">
        <v>51</v>
      </c>
      <c r="I4" s="3">
        <v>10</v>
      </c>
      <c r="J4" s="6" t="s">
        <v>51</v>
      </c>
      <c r="K4" s="3">
        <v>15</v>
      </c>
      <c r="L4" s="6" t="s">
        <v>51</v>
      </c>
      <c r="M4" s="3" t="s">
        <v>18</v>
      </c>
      <c r="N4" s="3" t="s">
        <v>19</v>
      </c>
      <c r="O4" s="3" t="s">
        <v>30</v>
      </c>
      <c r="P4" s="3" t="s">
        <v>38</v>
      </c>
      <c r="Q4" s="3" t="s">
        <v>32</v>
      </c>
      <c r="R4" s="3">
        <v>20</v>
      </c>
      <c r="S4" s="3">
        <v>4</v>
      </c>
      <c r="T4" s="3" t="s">
        <v>23</v>
      </c>
    </row>
    <row r="5" spans="1:20" x14ac:dyDescent="0.35">
      <c r="A5" s="3">
        <v>1165</v>
      </c>
      <c r="B5" s="4" t="s">
        <v>59</v>
      </c>
      <c r="C5" s="4" t="s">
        <v>60</v>
      </c>
      <c r="D5" s="3" t="s">
        <v>35</v>
      </c>
      <c r="E5" s="5">
        <v>45394</v>
      </c>
      <c r="F5" s="5" t="str">
        <f>TEXT(Table13[[#This Row],[Order Date]], "mmmm")</f>
        <v>April</v>
      </c>
      <c r="G5" s="6">
        <v>2</v>
      </c>
      <c r="H5" s="6" t="s">
        <v>51</v>
      </c>
      <c r="I5" s="3">
        <v>25</v>
      </c>
      <c r="J5" s="6" t="s">
        <v>51</v>
      </c>
      <c r="K5" s="3">
        <v>5</v>
      </c>
      <c r="L5" s="6" t="s">
        <v>51</v>
      </c>
      <c r="M5" s="3" t="s">
        <v>18</v>
      </c>
      <c r="N5" s="3" t="s">
        <v>29</v>
      </c>
      <c r="O5" s="3" t="s">
        <v>30</v>
      </c>
      <c r="P5" s="3" t="s">
        <v>21</v>
      </c>
      <c r="Q5" s="3" t="s">
        <v>22</v>
      </c>
      <c r="R5" s="3">
        <v>30</v>
      </c>
      <c r="S5" s="3">
        <v>5</v>
      </c>
      <c r="T5" s="3" t="s">
        <v>23</v>
      </c>
    </row>
    <row r="6" spans="1:20" x14ac:dyDescent="0.35">
      <c r="A6" s="3">
        <v>1091</v>
      </c>
      <c r="B6" s="4" t="s">
        <v>59</v>
      </c>
      <c r="C6" s="4" t="s">
        <v>60</v>
      </c>
      <c r="D6" s="3" t="s">
        <v>17</v>
      </c>
      <c r="E6" s="5" t="s">
        <v>50</v>
      </c>
      <c r="F6" s="5" t="str">
        <f>TEXT(Table13[[#This Row],[Order Date]], "mmmm")</f>
        <v>Date unknown</v>
      </c>
      <c r="G6" s="6">
        <v>8</v>
      </c>
      <c r="H6" s="6">
        <v>299.99</v>
      </c>
      <c r="I6" s="3">
        <v>15</v>
      </c>
      <c r="J6" s="6">
        <f>Table13[[#This Row],[Quantity Ordered]]*Table13[[#This Row],[Price Each]]</f>
        <v>2399.92</v>
      </c>
      <c r="K6" s="3">
        <v>10</v>
      </c>
      <c r="L6" s="6">
        <f>Table13[[#This Row],[Total Profit]]*(1-Table13[[#This Row],[Discount (%)]]* 0.01)</f>
        <v>2159.9280000000003</v>
      </c>
      <c r="M6" s="3" t="s">
        <v>18</v>
      </c>
      <c r="N6" s="3" t="s">
        <v>19</v>
      </c>
      <c r="O6" s="3" t="s">
        <v>37</v>
      </c>
      <c r="P6" s="3" t="s">
        <v>21</v>
      </c>
      <c r="Q6" s="3" t="s">
        <v>22</v>
      </c>
      <c r="R6" s="3">
        <v>22</v>
      </c>
      <c r="S6" s="3">
        <v>5</v>
      </c>
      <c r="T6" s="3" t="s">
        <v>23</v>
      </c>
    </row>
    <row r="7" spans="1:20" x14ac:dyDescent="0.35">
      <c r="A7" s="3">
        <v>1029</v>
      </c>
      <c r="B7" s="4" t="s">
        <v>59</v>
      </c>
      <c r="C7" s="4" t="s">
        <v>60</v>
      </c>
      <c r="D7" s="3" t="s">
        <v>49</v>
      </c>
      <c r="E7" s="5" t="s">
        <v>50</v>
      </c>
      <c r="F7" s="5" t="str">
        <f>TEXT(Table13[[#This Row],[Order Date]], "mmmm")</f>
        <v>Date unknown</v>
      </c>
      <c r="G7" s="6">
        <v>4</v>
      </c>
      <c r="H7" s="6">
        <v>29.99</v>
      </c>
      <c r="I7" s="3">
        <v>5</v>
      </c>
      <c r="J7" s="6">
        <f>Table13[[#This Row],[Quantity Ordered]]*Table13[[#This Row],[Price Each]]</f>
        <v>119.96</v>
      </c>
      <c r="K7" s="3">
        <v>0</v>
      </c>
      <c r="L7" s="6">
        <f>Table13[[#This Row],[Total Profit]]*(1-Table13[[#This Row],[Discount (%)]]* 0.01)</f>
        <v>119.96</v>
      </c>
      <c r="M7" s="3" t="s">
        <v>18</v>
      </c>
      <c r="N7" s="3" t="s">
        <v>29</v>
      </c>
      <c r="O7" s="3" t="s">
        <v>30</v>
      </c>
      <c r="P7" s="3" t="s">
        <v>21</v>
      </c>
      <c r="Q7" s="3" t="s">
        <v>22</v>
      </c>
      <c r="R7" s="3">
        <v>15</v>
      </c>
      <c r="S7" s="3">
        <v>5</v>
      </c>
      <c r="T7" s="3" t="s">
        <v>33</v>
      </c>
    </row>
    <row r="8" spans="1:20" x14ac:dyDescent="0.35">
      <c r="A8" s="3">
        <v>1162</v>
      </c>
      <c r="B8" s="4" t="s">
        <v>55</v>
      </c>
      <c r="C8" s="4" t="s">
        <v>56</v>
      </c>
      <c r="D8" s="3" t="s">
        <v>25</v>
      </c>
      <c r="E8" s="5" t="s">
        <v>50</v>
      </c>
      <c r="F8" s="5" t="str">
        <f>TEXT(Table13[[#This Row],[Order Date]], "mmmm")</f>
        <v>Date unknown</v>
      </c>
      <c r="G8" s="6">
        <v>7</v>
      </c>
      <c r="H8" s="6" t="s">
        <v>51</v>
      </c>
      <c r="I8" s="3">
        <v>25</v>
      </c>
      <c r="J8" s="6" t="s">
        <v>51</v>
      </c>
      <c r="K8" s="3">
        <v>0</v>
      </c>
      <c r="L8" s="6" t="s">
        <v>51</v>
      </c>
      <c r="M8" s="3" t="s">
        <v>28</v>
      </c>
      <c r="N8" s="3" t="s">
        <v>29</v>
      </c>
      <c r="O8" s="3" t="s">
        <v>30</v>
      </c>
      <c r="P8" s="3" t="s">
        <v>31</v>
      </c>
      <c r="Q8" s="3" t="s">
        <v>32</v>
      </c>
      <c r="R8" s="3">
        <v>15</v>
      </c>
      <c r="S8" s="3">
        <v>4</v>
      </c>
      <c r="T8" s="3" t="s">
        <v>33</v>
      </c>
    </row>
    <row r="9" spans="1:20" x14ac:dyDescent="0.35">
      <c r="A9" s="3">
        <v>1087</v>
      </c>
      <c r="B9" s="4" t="s">
        <v>55</v>
      </c>
      <c r="C9" s="4" t="s">
        <v>56</v>
      </c>
      <c r="D9" s="3" t="s">
        <v>49</v>
      </c>
      <c r="E9" s="5" t="s">
        <v>50</v>
      </c>
      <c r="F9" s="5" t="str">
        <f>TEXT(Table13[[#This Row],[Order Date]], "mmmm")</f>
        <v>Date unknown</v>
      </c>
      <c r="G9" s="6">
        <v>3</v>
      </c>
      <c r="H9" s="6">
        <v>29.99</v>
      </c>
      <c r="I9" s="3">
        <v>5</v>
      </c>
      <c r="J9" s="6">
        <f>Table13[[#This Row],[Quantity Ordered]]*Table13[[#This Row],[Price Each]]</f>
        <v>89.97</v>
      </c>
      <c r="K9" s="3">
        <v>5</v>
      </c>
      <c r="L9" s="6">
        <f>Table13[[#This Row],[Total Profit]]*(1-Table13[[#This Row],[Discount (%)]]* 0.01)</f>
        <v>85.471499999999992</v>
      </c>
      <c r="M9" s="3" t="s">
        <v>28</v>
      </c>
      <c r="N9" s="3" t="s">
        <v>29</v>
      </c>
      <c r="O9" s="3" t="s">
        <v>37</v>
      </c>
      <c r="P9" s="3" t="s">
        <v>38</v>
      </c>
      <c r="Q9" s="3" t="s">
        <v>32</v>
      </c>
      <c r="R9" s="3">
        <v>15</v>
      </c>
      <c r="S9" s="3">
        <v>4</v>
      </c>
      <c r="T9" s="3" t="s">
        <v>23</v>
      </c>
    </row>
    <row r="10" spans="1:20" x14ac:dyDescent="0.35">
      <c r="A10" s="3">
        <v>1025</v>
      </c>
      <c r="B10" s="4" t="s">
        <v>55</v>
      </c>
      <c r="C10" s="4" t="s">
        <v>56</v>
      </c>
      <c r="D10" s="3" t="s">
        <v>35</v>
      </c>
      <c r="E10" s="5">
        <v>45455</v>
      </c>
      <c r="F10" s="5" t="str">
        <f>TEXT(Table13[[#This Row],[Order Date]], "mmmm")</f>
        <v>June</v>
      </c>
      <c r="G10" s="6">
        <v>4</v>
      </c>
      <c r="H10" s="6">
        <v>299.99</v>
      </c>
      <c r="I10" s="3">
        <v>20</v>
      </c>
      <c r="J10" s="6">
        <f>Table13[[#This Row],[Quantity Ordered]]*Table13[[#This Row],[Price Each]]</f>
        <v>1199.96</v>
      </c>
      <c r="K10" s="3">
        <v>0</v>
      </c>
      <c r="L10" s="6">
        <f>Table13[[#This Row],[Total Profit]]*(1-Table13[[#This Row],[Discount (%)]]* 0.01)</f>
        <v>1199.96</v>
      </c>
      <c r="M10" s="3" t="s">
        <v>28</v>
      </c>
      <c r="N10" s="3" t="s">
        <v>29</v>
      </c>
      <c r="O10" s="3" t="s">
        <v>37</v>
      </c>
      <c r="P10" s="3" t="s">
        <v>21</v>
      </c>
      <c r="Q10" s="3" t="s">
        <v>22</v>
      </c>
      <c r="R10" s="3">
        <v>30</v>
      </c>
      <c r="S10" s="3">
        <v>5</v>
      </c>
      <c r="T10" s="3" t="s">
        <v>23</v>
      </c>
    </row>
    <row r="11" spans="1:20" x14ac:dyDescent="0.35">
      <c r="A11" s="3">
        <v>1071</v>
      </c>
      <c r="B11" s="4" t="s">
        <v>55</v>
      </c>
      <c r="C11" s="4" t="s">
        <v>56</v>
      </c>
      <c r="D11" s="3" t="s">
        <v>25</v>
      </c>
      <c r="E11" s="5">
        <v>45444</v>
      </c>
      <c r="F11" s="5" t="str">
        <f>TEXT(Table13[[#This Row],[Order Date]], "mmmm")</f>
        <v>June</v>
      </c>
      <c r="G11" s="6">
        <v>5</v>
      </c>
      <c r="H11" s="6">
        <v>199.99</v>
      </c>
      <c r="I11" s="3">
        <v>20</v>
      </c>
      <c r="J11" s="6">
        <f>Table13[[#This Row],[Quantity Ordered]]*Table13[[#This Row],[Price Each]]</f>
        <v>999.95</v>
      </c>
      <c r="K11" s="3">
        <v>0</v>
      </c>
      <c r="L11" s="6">
        <f>Table13[[#This Row],[Total Profit]]*(1-Table13[[#This Row],[Discount (%)]]* 0.01)</f>
        <v>999.95</v>
      </c>
      <c r="M11" s="3" t="s">
        <v>18</v>
      </c>
      <c r="N11" s="3" t="s">
        <v>29</v>
      </c>
      <c r="O11" s="3" t="s">
        <v>37</v>
      </c>
      <c r="P11" s="3" t="s">
        <v>21</v>
      </c>
      <c r="Q11" s="3" t="s">
        <v>22</v>
      </c>
      <c r="R11" s="3">
        <v>25</v>
      </c>
      <c r="S11" s="3">
        <v>5</v>
      </c>
      <c r="T11" s="3" t="s">
        <v>23</v>
      </c>
    </row>
    <row r="12" spans="1:20" x14ac:dyDescent="0.35">
      <c r="A12" s="3">
        <v>1167</v>
      </c>
      <c r="B12" s="4" t="s">
        <v>55</v>
      </c>
      <c r="C12" s="4" t="s">
        <v>56</v>
      </c>
      <c r="D12" s="3" t="s">
        <v>41</v>
      </c>
      <c r="E12" s="5" t="s">
        <v>50</v>
      </c>
      <c r="F12" s="5" t="str">
        <f>TEXT(Table13[[#This Row],[Order Date]], "mmmm")</f>
        <v>Date unknown</v>
      </c>
      <c r="G12" s="6">
        <v>2</v>
      </c>
      <c r="H12" s="6">
        <v>199.99</v>
      </c>
      <c r="I12" s="3">
        <v>10</v>
      </c>
      <c r="J12" s="6">
        <f>Table13[[#This Row],[Quantity Ordered]]*Table13[[#This Row],[Price Each]]</f>
        <v>399.98</v>
      </c>
      <c r="K12" s="3">
        <v>10</v>
      </c>
      <c r="L12" s="6">
        <f>Table13[[#This Row],[Total Profit]]*(1-Table13[[#This Row],[Discount (%)]]* 0.01)</f>
        <v>359.98200000000003</v>
      </c>
      <c r="M12" s="3" t="s">
        <v>18</v>
      </c>
      <c r="N12" s="3" t="s">
        <v>19</v>
      </c>
      <c r="O12" s="3" t="s">
        <v>46</v>
      </c>
      <c r="P12" s="3" t="s">
        <v>21</v>
      </c>
      <c r="Q12" s="3" t="s">
        <v>22</v>
      </c>
      <c r="R12" s="3">
        <v>25</v>
      </c>
      <c r="S12" s="3">
        <v>5</v>
      </c>
      <c r="T12" s="3" t="s">
        <v>33</v>
      </c>
    </row>
    <row r="13" spans="1:20" x14ac:dyDescent="0.35">
      <c r="A13" s="3">
        <v>1010</v>
      </c>
      <c r="B13" s="4" t="s">
        <v>57</v>
      </c>
      <c r="C13" s="4" t="s">
        <v>58</v>
      </c>
      <c r="D13" s="3" t="s">
        <v>35</v>
      </c>
      <c r="E13" s="5">
        <v>45366</v>
      </c>
      <c r="F13" s="5" t="str">
        <f>TEXT(Table13[[#This Row],[Order Date]], "mmmm")</f>
        <v>March</v>
      </c>
      <c r="G13" s="6">
        <v>1</v>
      </c>
      <c r="H13" s="6">
        <v>899.99</v>
      </c>
      <c r="I13" s="3">
        <v>20</v>
      </c>
      <c r="J13" s="6">
        <f>Table13[[#This Row],[Quantity Ordered]]*Table13[[#This Row],[Price Each]]</f>
        <v>899.99</v>
      </c>
      <c r="K13" s="3">
        <v>5</v>
      </c>
      <c r="L13" s="6">
        <f>Table13[[#This Row],[Total Profit]]*(1-Table13[[#This Row],[Discount (%)]]* 0.01)</f>
        <v>854.9905</v>
      </c>
      <c r="M13" s="3" t="s">
        <v>36</v>
      </c>
      <c r="N13" s="3" t="s">
        <v>29</v>
      </c>
      <c r="O13" s="3" t="s">
        <v>37</v>
      </c>
      <c r="P13" s="3" t="s">
        <v>38</v>
      </c>
      <c r="Q13" s="3" t="s">
        <v>39</v>
      </c>
      <c r="R13" s="3">
        <v>30</v>
      </c>
      <c r="S13" s="3">
        <v>3</v>
      </c>
      <c r="T13" s="3" t="s">
        <v>23</v>
      </c>
    </row>
    <row r="14" spans="1:20" x14ac:dyDescent="0.35">
      <c r="A14" s="3">
        <v>1032</v>
      </c>
      <c r="B14" s="4" t="s">
        <v>57</v>
      </c>
      <c r="C14" s="4" t="s">
        <v>58</v>
      </c>
      <c r="D14" s="3" t="s">
        <v>25</v>
      </c>
      <c r="E14" s="5">
        <v>45435</v>
      </c>
      <c r="F14" s="5" t="str">
        <f>TEXT(Table13[[#This Row],[Order Date]], "mmmm")</f>
        <v>May</v>
      </c>
      <c r="G14" s="6">
        <v>4</v>
      </c>
      <c r="H14" s="3" t="s">
        <v>51</v>
      </c>
      <c r="I14" s="3">
        <v>20</v>
      </c>
      <c r="J14" s="6" t="s">
        <v>51</v>
      </c>
      <c r="K14" s="3">
        <v>10</v>
      </c>
      <c r="L14" s="6" t="s">
        <v>51</v>
      </c>
      <c r="M14" s="3" t="s">
        <v>42</v>
      </c>
      <c r="N14" s="3" t="s">
        <v>29</v>
      </c>
      <c r="O14" s="3" t="s">
        <v>20</v>
      </c>
      <c r="P14" s="3" t="s">
        <v>31</v>
      </c>
      <c r="Q14" s="3" t="s">
        <v>32</v>
      </c>
      <c r="R14" s="3">
        <v>17</v>
      </c>
      <c r="S14" s="3">
        <v>4</v>
      </c>
      <c r="T14" s="3" t="s">
        <v>23</v>
      </c>
    </row>
    <row r="15" spans="1:20" x14ac:dyDescent="0.35">
      <c r="A15" s="3">
        <v>1066</v>
      </c>
      <c r="B15" s="4" t="s">
        <v>57</v>
      </c>
      <c r="C15" s="4" t="s">
        <v>58</v>
      </c>
      <c r="D15" s="3" t="s">
        <v>41</v>
      </c>
      <c r="E15" s="5">
        <v>45388</v>
      </c>
      <c r="F15" s="5" t="str">
        <f>TEXT(Table13[[#This Row],[Order Date]], "mmmm")</f>
        <v>April</v>
      </c>
      <c r="G15" s="6">
        <v>7</v>
      </c>
      <c r="H15" s="6">
        <v>99.99</v>
      </c>
      <c r="I15" s="3">
        <v>10</v>
      </c>
      <c r="J15" s="6">
        <f>Table13[[#This Row],[Quantity Ordered]]*Table13[[#This Row],[Price Each]]</f>
        <v>699.93</v>
      </c>
      <c r="K15" s="3">
        <v>5</v>
      </c>
      <c r="L15" s="6">
        <f>Table13[[#This Row],[Total Profit]]*(1-Table13[[#This Row],[Discount (%)]]* 0.01)</f>
        <v>664.93349999999987</v>
      </c>
      <c r="M15" s="3" t="s">
        <v>36</v>
      </c>
      <c r="N15" s="3" t="s">
        <v>19</v>
      </c>
      <c r="O15" s="3" t="s">
        <v>20</v>
      </c>
      <c r="P15" s="3" t="s">
        <v>31</v>
      </c>
      <c r="Q15" s="3" t="s">
        <v>39</v>
      </c>
      <c r="R15" s="3">
        <v>15</v>
      </c>
      <c r="S15" s="3">
        <v>3</v>
      </c>
      <c r="T15" s="3" t="s">
        <v>33</v>
      </c>
    </row>
    <row r="16" spans="1:20" x14ac:dyDescent="0.35">
      <c r="A16" s="3">
        <v>1095</v>
      </c>
      <c r="B16" s="4" t="s">
        <v>57</v>
      </c>
      <c r="C16" s="4" t="s">
        <v>58</v>
      </c>
      <c r="D16" s="3" t="s">
        <v>45</v>
      </c>
      <c r="E16" s="5" t="s">
        <v>50</v>
      </c>
      <c r="F16" s="5" t="str">
        <f>TEXT(Table13[[#This Row],[Order Date]], "mmmm")</f>
        <v>Date unknown</v>
      </c>
      <c r="G16" s="6">
        <v>6</v>
      </c>
      <c r="H16" s="6">
        <v>299.99</v>
      </c>
      <c r="I16" s="3">
        <v>10</v>
      </c>
      <c r="J16" s="6">
        <f>Table13[[#This Row],[Quantity Ordered]]*Table13[[#This Row],[Price Each]]</f>
        <v>1799.94</v>
      </c>
      <c r="K16" s="3">
        <v>0</v>
      </c>
      <c r="L16" s="6">
        <f>Table13[[#This Row],[Total Profit]]*(1-Table13[[#This Row],[Discount (%)]]* 0.01)</f>
        <v>1799.94</v>
      </c>
      <c r="M16" s="3" t="s">
        <v>42</v>
      </c>
      <c r="N16" s="3" t="s">
        <v>19</v>
      </c>
      <c r="O16" s="3" t="s">
        <v>20</v>
      </c>
      <c r="P16" s="3" t="s">
        <v>38</v>
      </c>
      <c r="Q16" s="3" t="s">
        <v>39</v>
      </c>
      <c r="R16" s="3">
        <v>20</v>
      </c>
      <c r="S16" s="3">
        <v>3</v>
      </c>
      <c r="T16" s="3" t="s">
        <v>23</v>
      </c>
    </row>
    <row r="17" spans="1:20" x14ac:dyDescent="0.35">
      <c r="A17" s="3">
        <v>1052</v>
      </c>
      <c r="B17" s="4" t="s">
        <v>57</v>
      </c>
      <c r="C17" s="4" t="s">
        <v>58</v>
      </c>
      <c r="D17" s="3" t="s">
        <v>35</v>
      </c>
      <c r="E17" s="5">
        <v>45404</v>
      </c>
      <c r="F17" s="5" t="str">
        <f>TEXT(Table13[[#This Row],[Order Date]], "mmmm")</f>
        <v>April</v>
      </c>
      <c r="G17" s="6">
        <v>7</v>
      </c>
      <c r="H17" s="6">
        <v>899.99</v>
      </c>
      <c r="I17" s="3">
        <v>25</v>
      </c>
      <c r="J17" s="6">
        <f>Table13[[#This Row],[Quantity Ordered]]*Table13[[#This Row],[Price Each]]</f>
        <v>6299.93</v>
      </c>
      <c r="K17" s="3">
        <v>0</v>
      </c>
      <c r="L17" s="6">
        <f>Table13[[#This Row],[Total Profit]]*(1-Table13[[#This Row],[Discount (%)]]* 0.01)</f>
        <v>6299.93</v>
      </c>
      <c r="M17" s="3" t="s">
        <v>42</v>
      </c>
      <c r="N17" s="3" t="s">
        <v>29</v>
      </c>
      <c r="O17" s="3" t="s">
        <v>20</v>
      </c>
      <c r="P17" s="3" t="s">
        <v>38</v>
      </c>
      <c r="Q17" s="3" t="s">
        <v>39</v>
      </c>
      <c r="R17" s="3">
        <v>30</v>
      </c>
      <c r="S17" s="3">
        <v>3</v>
      </c>
      <c r="T17" s="3" t="s">
        <v>23</v>
      </c>
    </row>
    <row r="18" spans="1:20" x14ac:dyDescent="0.35">
      <c r="A18" s="3">
        <v>1107</v>
      </c>
      <c r="B18" s="4" t="s">
        <v>57</v>
      </c>
      <c r="C18" s="4" t="s">
        <v>58</v>
      </c>
      <c r="D18" s="3" t="s">
        <v>17</v>
      </c>
      <c r="E18" s="5">
        <v>45450</v>
      </c>
      <c r="F18" s="5" t="str">
        <f>TEXT(Table13[[#This Row],[Order Date]], "mmmm")</f>
        <v>June</v>
      </c>
      <c r="G18" s="6">
        <v>7</v>
      </c>
      <c r="H18" s="6">
        <v>899.99</v>
      </c>
      <c r="I18" s="3">
        <v>15</v>
      </c>
      <c r="J18" s="6">
        <f>Table13[[#This Row],[Quantity Ordered]]*Table13[[#This Row],[Price Each]]</f>
        <v>6299.93</v>
      </c>
      <c r="K18" s="3">
        <v>15</v>
      </c>
      <c r="L18" s="6">
        <f>Table13[[#This Row],[Total Profit]]*(1-Table13[[#This Row],[Discount (%)]]* 0.01)</f>
        <v>5354.9404999999997</v>
      </c>
      <c r="M18" s="3" t="s">
        <v>42</v>
      </c>
      <c r="N18" s="3" t="s">
        <v>19</v>
      </c>
      <c r="O18" s="3" t="s">
        <v>20</v>
      </c>
      <c r="P18" s="3" t="s">
        <v>38</v>
      </c>
      <c r="Q18" s="3" t="s">
        <v>39</v>
      </c>
      <c r="R18" s="3">
        <v>30</v>
      </c>
      <c r="S18" s="3">
        <v>3</v>
      </c>
      <c r="T18" s="3" t="s">
        <v>23</v>
      </c>
    </row>
    <row r="19" spans="1:20" x14ac:dyDescent="0.35">
      <c r="A19" s="3">
        <v>1123</v>
      </c>
      <c r="B19" s="4" t="s">
        <v>61</v>
      </c>
      <c r="C19" s="4" t="s">
        <v>62</v>
      </c>
      <c r="D19" s="3" t="s">
        <v>45</v>
      </c>
      <c r="E19" s="5" t="s">
        <v>50</v>
      </c>
      <c r="F19" s="5" t="str">
        <f>TEXT(Table13[[#This Row],[Order Date]], "mmmm")</f>
        <v>Date unknown</v>
      </c>
      <c r="G19" s="6">
        <v>2</v>
      </c>
      <c r="H19" s="6">
        <v>49.99</v>
      </c>
      <c r="I19" s="3">
        <v>10</v>
      </c>
      <c r="J19" s="6">
        <f>Table13[[#This Row],[Quantity Ordered]]*Table13[[#This Row],[Price Each]]</f>
        <v>99.98</v>
      </c>
      <c r="K19" s="3">
        <v>15</v>
      </c>
      <c r="L19" s="6">
        <f>Table13[[#This Row],[Total Profit]]*(1-Table13[[#This Row],[Discount (%)]]* 0.01)</f>
        <v>84.983000000000004</v>
      </c>
      <c r="M19" s="3" t="s">
        <v>28</v>
      </c>
      <c r="N19" s="3" t="s">
        <v>19</v>
      </c>
      <c r="O19" s="3" t="s">
        <v>46</v>
      </c>
      <c r="P19" s="3" t="s">
        <v>31</v>
      </c>
      <c r="Q19" s="3" t="s">
        <v>32</v>
      </c>
      <c r="R19" s="3">
        <v>22</v>
      </c>
      <c r="S19" s="3">
        <v>4</v>
      </c>
      <c r="T19" s="3" t="s">
        <v>23</v>
      </c>
    </row>
    <row r="20" spans="1:20" x14ac:dyDescent="0.35">
      <c r="A20" s="3">
        <v>1127</v>
      </c>
      <c r="B20" s="4" t="s">
        <v>61</v>
      </c>
      <c r="C20" s="4" t="s">
        <v>62</v>
      </c>
      <c r="D20" s="3" t="s">
        <v>48</v>
      </c>
      <c r="E20" s="5" t="s">
        <v>50</v>
      </c>
      <c r="F20" s="5" t="str">
        <f>TEXT(Table13[[#This Row],[Order Date]], "mmmm")</f>
        <v>Date unknown</v>
      </c>
      <c r="G20" s="6">
        <v>9</v>
      </c>
      <c r="H20" s="6">
        <v>49.99</v>
      </c>
      <c r="I20" s="3">
        <v>5</v>
      </c>
      <c r="J20" s="6">
        <f>Table13[[#This Row],[Quantity Ordered]]*Table13[[#This Row],[Price Each]]</f>
        <v>449.91</v>
      </c>
      <c r="K20" s="3">
        <v>10</v>
      </c>
      <c r="L20" s="6">
        <f>Table13[[#This Row],[Total Profit]]*(1-Table13[[#This Row],[Discount (%)]]* 0.01)</f>
        <v>404.91900000000004</v>
      </c>
      <c r="M20" s="3" t="s">
        <v>18</v>
      </c>
      <c r="N20" s="3" t="s">
        <v>29</v>
      </c>
      <c r="O20" s="3" t="s">
        <v>30</v>
      </c>
      <c r="P20" s="3" t="s">
        <v>38</v>
      </c>
      <c r="Q20" s="3" t="s">
        <v>32</v>
      </c>
      <c r="R20" s="3">
        <v>18</v>
      </c>
      <c r="S20" s="3">
        <v>4</v>
      </c>
      <c r="T20" s="3" t="s">
        <v>23</v>
      </c>
    </row>
    <row r="21" spans="1:20" x14ac:dyDescent="0.35">
      <c r="A21" s="3">
        <v>1079</v>
      </c>
      <c r="B21" s="4" t="s">
        <v>61</v>
      </c>
      <c r="C21" s="4" t="s">
        <v>62</v>
      </c>
      <c r="D21" s="3" t="s">
        <v>41</v>
      </c>
      <c r="E21" s="5">
        <v>45342</v>
      </c>
      <c r="F21" s="5" t="str">
        <f>TEXT(Table13[[#This Row],[Order Date]], "mmmm")</f>
        <v>February</v>
      </c>
      <c r="G21" s="6">
        <v>3</v>
      </c>
      <c r="H21" s="6">
        <v>49.99</v>
      </c>
      <c r="I21" s="3">
        <v>10</v>
      </c>
      <c r="J21" s="6">
        <f>Table13[[#This Row],[Quantity Ordered]]*Table13[[#This Row],[Price Each]]</f>
        <v>149.97</v>
      </c>
      <c r="K21" s="3">
        <v>5</v>
      </c>
      <c r="L21" s="6">
        <f>Table13[[#This Row],[Total Profit]]*(1-Table13[[#This Row],[Discount (%)]]* 0.01)</f>
        <v>142.47149999999999</v>
      </c>
      <c r="M21" s="3" t="s">
        <v>36</v>
      </c>
      <c r="N21" s="3" t="s">
        <v>19</v>
      </c>
      <c r="O21" s="3" t="s">
        <v>46</v>
      </c>
      <c r="P21" s="3" t="s">
        <v>38</v>
      </c>
      <c r="Q21" s="3" t="s">
        <v>39</v>
      </c>
      <c r="R21" s="3">
        <v>17</v>
      </c>
      <c r="S21" s="3">
        <v>3</v>
      </c>
      <c r="T21" s="3" t="s">
        <v>23</v>
      </c>
    </row>
    <row r="22" spans="1:20" x14ac:dyDescent="0.35">
      <c r="A22" s="3">
        <v>1120</v>
      </c>
      <c r="B22" s="4" t="s">
        <v>61</v>
      </c>
      <c r="C22" s="4" t="s">
        <v>62</v>
      </c>
      <c r="D22" s="3" t="s">
        <v>41</v>
      </c>
      <c r="E22" s="5" t="s">
        <v>50</v>
      </c>
      <c r="F22" s="5" t="str">
        <f>TEXT(Table13[[#This Row],[Order Date]], "mmmm")</f>
        <v>Date unknown</v>
      </c>
      <c r="G22" s="6">
        <v>4</v>
      </c>
      <c r="H22" s="6">
        <v>49.99</v>
      </c>
      <c r="I22" s="3">
        <v>10</v>
      </c>
      <c r="J22" s="6">
        <f>Table13[[#This Row],[Quantity Ordered]]*Table13[[#This Row],[Price Each]]</f>
        <v>199.96</v>
      </c>
      <c r="K22" s="3">
        <v>10</v>
      </c>
      <c r="L22" s="6">
        <f>Table13[[#This Row],[Total Profit]]*(1-Table13[[#This Row],[Discount (%)]]* 0.01)</f>
        <v>179.964</v>
      </c>
      <c r="M22" s="3" t="s">
        <v>36</v>
      </c>
      <c r="N22" s="3" t="s">
        <v>19</v>
      </c>
      <c r="O22" s="3" t="s">
        <v>46</v>
      </c>
      <c r="P22" s="3" t="s">
        <v>38</v>
      </c>
      <c r="Q22" s="3" t="s">
        <v>39</v>
      </c>
      <c r="R22" s="3">
        <v>17</v>
      </c>
      <c r="S22" s="3">
        <v>3</v>
      </c>
      <c r="T22" s="3" t="s">
        <v>23</v>
      </c>
    </row>
    <row r="23" spans="1:20" x14ac:dyDescent="0.35">
      <c r="A23" s="3">
        <v>1110</v>
      </c>
      <c r="B23" s="4" t="s">
        <v>61</v>
      </c>
      <c r="C23" s="4" t="s">
        <v>62</v>
      </c>
      <c r="D23" s="3" t="s">
        <v>48</v>
      </c>
      <c r="E23" s="5">
        <v>45418</v>
      </c>
      <c r="F23" s="5" t="str">
        <f>TEXT(Table13[[#This Row],[Order Date]], "mmmm")</f>
        <v>May</v>
      </c>
      <c r="G23" s="6">
        <v>1</v>
      </c>
      <c r="H23" s="6" t="s">
        <v>51</v>
      </c>
      <c r="I23" s="3">
        <v>5</v>
      </c>
      <c r="J23" s="6" t="s">
        <v>51</v>
      </c>
      <c r="K23" s="3">
        <v>0</v>
      </c>
      <c r="L23" s="6" t="s">
        <v>51</v>
      </c>
      <c r="M23" s="3" t="s">
        <v>36</v>
      </c>
      <c r="N23" s="3" t="s">
        <v>29</v>
      </c>
      <c r="O23" s="3" t="s">
        <v>20</v>
      </c>
      <c r="P23" s="3" t="s">
        <v>38</v>
      </c>
      <c r="Q23" s="3" t="s">
        <v>39</v>
      </c>
      <c r="R23" s="3">
        <v>18</v>
      </c>
      <c r="S23" s="3">
        <v>3</v>
      </c>
      <c r="T23" s="3" t="s">
        <v>23</v>
      </c>
    </row>
    <row r="24" spans="1:20" x14ac:dyDescent="0.35">
      <c r="A24" s="3">
        <v>1174</v>
      </c>
      <c r="B24" s="7" t="s">
        <v>66</v>
      </c>
      <c r="C24" s="7" t="s">
        <v>67</v>
      </c>
      <c r="D24" s="3" t="s">
        <v>41</v>
      </c>
      <c r="E24" s="5">
        <v>45336</v>
      </c>
      <c r="F24" s="5" t="str">
        <f>TEXT(Table13[[#This Row],[Order Date]], "mmmm")</f>
        <v>February</v>
      </c>
      <c r="G24" s="6">
        <v>7</v>
      </c>
      <c r="H24" s="6">
        <v>499.99</v>
      </c>
      <c r="I24" s="3">
        <v>10</v>
      </c>
      <c r="J24" s="6">
        <f>Table13[[#This Row],[Quantity Ordered]]*Table13[[#This Row],[Price Each]]</f>
        <v>3499.9300000000003</v>
      </c>
      <c r="K24" s="3">
        <v>0</v>
      </c>
      <c r="L24" s="6">
        <f>Table13[[#This Row],[Total Profit]]*(1-Table13[[#This Row],[Discount (%)]]* 0.01)</f>
        <v>3499.9300000000003</v>
      </c>
      <c r="M24" s="3" t="s">
        <v>18</v>
      </c>
      <c r="N24" s="3" t="s">
        <v>19</v>
      </c>
      <c r="O24" s="3" t="s">
        <v>30</v>
      </c>
      <c r="P24" s="3" t="s">
        <v>21</v>
      </c>
      <c r="Q24" s="3" t="s">
        <v>39</v>
      </c>
      <c r="R24" s="3">
        <v>20</v>
      </c>
      <c r="S24" s="3">
        <v>3</v>
      </c>
      <c r="T24" s="3" t="s">
        <v>33</v>
      </c>
    </row>
    <row r="25" spans="1:20" x14ac:dyDescent="0.35">
      <c r="A25" s="3">
        <v>1138</v>
      </c>
      <c r="B25" s="7" t="s">
        <v>66</v>
      </c>
      <c r="C25" s="7" t="s">
        <v>67</v>
      </c>
      <c r="D25" s="3" t="s">
        <v>25</v>
      </c>
      <c r="E25" s="5">
        <v>45359</v>
      </c>
      <c r="F25" s="5" t="str">
        <f>TEXT(Table13[[#This Row],[Order Date]], "mmmm")</f>
        <v>March</v>
      </c>
      <c r="G25" s="6">
        <v>7</v>
      </c>
      <c r="H25" s="6">
        <v>899.99</v>
      </c>
      <c r="I25" s="3">
        <v>20</v>
      </c>
      <c r="J25" s="6">
        <f>Table13[[#This Row],[Quantity Ordered]]*Table13[[#This Row],[Price Each]]</f>
        <v>6299.93</v>
      </c>
      <c r="K25" s="3">
        <v>0</v>
      </c>
      <c r="L25" s="6">
        <f>Table13[[#This Row],[Total Profit]]*(1-Table13[[#This Row],[Discount (%)]]* 0.01)</f>
        <v>6299.93</v>
      </c>
      <c r="M25" s="3" t="s">
        <v>18</v>
      </c>
      <c r="N25" s="3" t="s">
        <v>29</v>
      </c>
      <c r="O25" s="3" t="s">
        <v>30</v>
      </c>
      <c r="P25" s="3" t="s">
        <v>21</v>
      </c>
      <c r="Q25" s="3" t="s">
        <v>22</v>
      </c>
      <c r="R25" s="3">
        <v>25</v>
      </c>
      <c r="S25" s="3">
        <v>5</v>
      </c>
      <c r="T25" s="3" t="s">
        <v>23</v>
      </c>
    </row>
    <row r="26" spans="1:20" x14ac:dyDescent="0.35">
      <c r="A26" s="3">
        <v>1148</v>
      </c>
      <c r="B26" s="4" t="s">
        <v>53</v>
      </c>
      <c r="C26" s="4" t="s">
        <v>54</v>
      </c>
      <c r="D26" s="3" t="s">
        <v>17</v>
      </c>
      <c r="E26" s="5">
        <v>45401</v>
      </c>
      <c r="F26" s="5" t="str">
        <f>TEXT(Table13[[#This Row],[Order Date]], "mmmm")</f>
        <v>April</v>
      </c>
      <c r="G26" s="6">
        <v>3</v>
      </c>
      <c r="H26" s="6">
        <v>299.99</v>
      </c>
      <c r="I26" s="3">
        <v>15</v>
      </c>
      <c r="J26" s="6">
        <f>Table13[[#This Row],[Quantity Ordered]]*Table13[[#This Row],[Price Each]]</f>
        <v>899.97</v>
      </c>
      <c r="K26" s="3">
        <v>10</v>
      </c>
      <c r="L26" s="6">
        <f>Table13[[#This Row],[Total Profit]]*(1-Table13[[#This Row],[Discount (%)]]* 0.01)</f>
        <v>809.97300000000007</v>
      </c>
      <c r="M26" s="3" t="s">
        <v>18</v>
      </c>
      <c r="N26" s="3" t="s">
        <v>19</v>
      </c>
      <c r="O26" s="3" t="s">
        <v>20</v>
      </c>
      <c r="P26" s="3" t="s">
        <v>21</v>
      </c>
      <c r="Q26" s="3" t="s">
        <v>22</v>
      </c>
      <c r="R26" s="3">
        <v>20</v>
      </c>
      <c r="S26" s="3">
        <v>5</v>
      </c>
      <c r="T26" s="3" t="s">
        <v>23</v>
      </c>
    </row>
    <row r="27" spans="1:20" x14ac:dyDescent="0.35">
      <c r="A27" s="3">
        <v>1115</v>
      </c>
      <c r="B27" s="4" t="s">
        <v>53</v>
      </c>
      <c r="C27" s="4" t="s">
        <v>54</v>
      </c>
      <c r="D27" s="3" t="s">
        <v>17</v>
      </c>
      <c r="E27" s="5">
        <v>45301</v>
      </c>
      <c r="F27" s="5" t="str">
        <f>TEXT(Table13[[#This Row],[Order Date]], "mmmm")</f>
        <v>January</v>
      </c>
      <c r="G27" s="6">
        <v>8</v>
      </c>
      <c r="H27" s="6">
        <v>299.99</v>
      </c>
      <c r="I27" s="3">
        <v>15</v>
      </c>
      <c r="J27" s="6">
        <f>Table13[[#This Row],[Quantity Ordered]]*Table13[[#This Row],[Price Each]]</f>
        <v>2399.92</v>
      </c>
      <c r="K27" s="3">
        <v>0</v>
      </c>
      <c r="L27" s="6">
        <f>Table13[[#This Row],[Total Profit]]*(1-Table13[[#This Row],[Discount (%)]]* 0.01)</f>
        <v>2399.92</v>
      </c>
      <c r="M27" s="3" t="s">
        <v>36</v>
      </c>
      <c r="N27" s="3" t="s">
        <v>19</v>
      </c>
      <c r="O27" s="3" t="s">
        <v>37</v>
      </c>
      <c r="P27" s="3" t="s">
        <v>21</v>
      </c>
      <c r="Q27" s="3" t="s">
        <v>22</v>
      </c>
      <c r="R27" s="3">
        <v>25</v>
      </c>
      <c r="S27" s="3">
        <v>5</v>
      </c>
      <c r="T27" s="3" t="s">
        <v>23</v>
      </c>
    </row>
    <row r="28" spans="1:20" x14ac:dyDescent="0.35">
      <c r="A28" s="3">
        <v>1151</v>
      </c>
      <c r="B28" s="4" t="s">
        <v>53</v>
      </c>
      <c r="C28" s="4" t="s">
        <v>54</v>
      </c>
      <c r="D28" s="3" t="s">
        <v>25</v>
      </c>
      <c r="E28" s="5">
        <v>45308</v>
      </c>
      <c r="F28" s="5" t="str">
        <f>TEXT(Table13[[#This Row],[Order Date]], "mmmm")</f>
        <v>January</v>
      </c>
      <c r="G28" s="6">
        <v>6</v>
      </c>
      <c r="H28" s="6">
        <v>299.99</v>
      </c>
      <c r="I28" s="3">
        <v>20</v>
      </c>
      <c r="J28" s="6">
        <f>Table13[[#This Row],[Quantity Ordered]]*Table13[[#This Row],[Price Each]]</f>
        <v>1799.94</v>
      </c>
      <c r="K28" s="3">
        <v>0</v>
      </c>
      <c r="L28" s="6">
        <f>Table13[[#This Row],[Total Profit]]*(1-Table13[[#This Row],[Discount (%)]]* 0.01)</f>
        <v>1799.94</v>
      </c>
      <c r="M28" s="3" t="s">
        <v>28</v>
      </c>
      <c r="N28" s="3" t="s">
        <v>19</v>
      </c>
      <c r="O28" s="3" t="s">
        <v>37</v>
      </c>
      <c r="P28" s="3" t="s">
        <v>21</v>
      </c>
      <c r="Q28" s="3" t="s">
        <v>22</v>
      </c>
      <c r="R28" s="3">
        <v>25</v>
      </c>
      <c r="S28" s="3">
        <v>5</v>
      </c>
      <c r="T28" s="3" t="s">
        <v>23</v>
      </c>
    </row>
    <row r="29" spans="1:20" x14ac:dyDescent="0.35">
      <c r="A29" s="3">
        <v>1154</v>
      </c>
      <c r="B29" s="4" t="s">
        <v>53</v>
      </c>
      <c r="C29" s="4" t="s">
        <v>54</v>
      </c>
      <c r="D29" s="3" t="s">
        <v>48</v>
      </c>
      <c r="E29" s="5">
        <v>45316</v>
      </c>
      <c r="F29" s="5" t="str">
        <f>TEXT(Table13[[#This Row],[Order Date]], "mmmm")</f>
        <v>January</v>
      </c>
      <c r="G29" s="6">
        <v>1</v>
      </c>
      <c r="H29" s="6">
        <v>99.99</v>
      </c>
      <c r="I29" s="3">
        <v>5</v>
      </c>
      <c r="J29" s="6">
        <f>Table13[[#This Row],[Quantity Ordered]]*Table13[[#This Row],[Price Each]]</f>
        <v>99.99</v>
      </c>
      <c r="K29" s="3">
        <v>10</v>
      </c>
      <c r="L29" s="6">
        <f>Table13[[#This Row],[Total Profit]]*(1-Table13[[#This Row],[Discount (%)]]* 0.01)</f>
        <v>89.991</v>
      </c>
      <c r="M29" s="3" t="s">
        <v>28</v>
      </c>
      <c r="N29" s="3" t="s">
        <v>29</v>
      </c>
      <c r="O29" s="3" t="s">
        <v>37</v>
      </c>
      <c r="P29" s="3" t="s">
        <v>31</v>
      </c>
      <c r="Q29" s="3" t="s">
        <v>32</v>
      </c>
      <c r="R29" s="3">
        <v>18</v>
      </c>
      <c r="S29" s="3">
        <v>4</v>
      </c>
      <c r="T29" s="3" t="s">
        <v>33</v>
      </c>
    </row>
    <row r="30" spans="1:20" x14ac:dyDescent="0.35">
      <c r="A30" s="3">
        <v>1147</v>
      </c>
      <c r="B30" s="4" t="s">
        <v>53</v>
      </c>
      <c r="C30" s="4" t="s">
        <v>54</v>
      </c>
      <c r="D30" s="3" t="s">
        <v>49</v>
      </c>
      <c r="E30" s="5">
        <v>45325</v>
      </c>
      <c r="F30" s="5" t="str">
        <f>TEXT(Table13[[#This Row],[Order Date]], "mmmm")</f>
        <v>February</v>
      </c>
      <c r="G30" s="6">
        <v>3</v>
      </c>
      <c r="H30" s="6">
        <v>29.99</v>
      </c>
      <c r="I30" s="3">
        <v>5</v>
      </c>
      <c r="J30" s="6">
        <f>Table13[[#This Row],[Quantity Ordered]]*Table13[[#This Row],[Price Each]]</f>
        <v>89.97</v>
      </c>
      <c r="K30" s="3">
        <v>15</v>
      </c>
      <c r="L30" s="6">
        <f>Table13[[#This Row],[Total Profit]]*(1-Table13[[#This Row],[Discount (%)]]* 0.01)</f>
        <v>76.474499999999992</v>
      </c>
      <c r="M30" s="3" t="s">
        <v>28</v>
      </c>
      <c r="N30" s="3" t="s">
        <v>29</v>
      </c>
      <c r="O30" s="3" t="s">
        <v>30</v>
      </c>
      <c r="P30" s="3" t="s">
        <v>31</v>
      </c>
      <c r="Q30" s="3" t="s">
        <v>32</v>
      </c>
      <c r="R30" s="3">
        <v>15</v>
      </c>
      <c r="S30" s="3">
        <v>4</v>
      </c>
      <c r="T30" s="3" t="s">
        <v>33</v>
      </c>
    </row>
    <row r="31" spans="1:20" x14ac:dyDescent="0.35">
      <c r="A31" s="3">
        <v>1041</v>
      </c>
      <c r="B31" s="4" t="s">
        <v>53</v>
      </c>
      <c r="C31" s="4" t="s">
        <v>54</v>
      </c>
      <c r="D31" s="3" t="s">
        <v>25</v>
      </c>
      <c r="E31" s="5">
        <v>45305</v>
      </c>
      <c r="F31" s="5" t="str">
        <f>TEXT(Table13[[#This Row],[Order Date]], "mmmm")</f>
        <v>January</v>
      </c>
      <c r="G31" s="6">
        <v>5</v>
      </c>
      <c r="H31" s="6">
        <v>299.99</v>
      </c>
      <c r="I31" s="3">
        <v>20</v>
      </c>
      <c r="J31" s="6">
        <f>Table13[[#This Row],[Quantity Ordered]]*Table13[[#This Row],[Price Each]]</f>
        <v>1499.95</v>
      </c>
      <c r="K31" s="3">
        <v>0</v>
      </c>
      <c r="L31" s="6">
        <f>Table13[[#This Row],[Total Profit]]*(1-Table13[[#This Row],[Discount (%)]]* 0.01)</f>
        <v>1499.95</v>
      </c>
      <c r="M31" s="3" t="s">
        <v>28</v>
      </c>
      <c r="N31" s="3" t="s">
        <v>29</v>
      </c>
      <c r="O31" s="3" t="s">
        <v>37</v>
      </c>
      <c r="P31" s="3" t="s">
        <v>31</v>
      </c>
      <c r="Q31" s="3" t="s">
        <v>32</v>
      </c>
      <c r="R31" s="3">
        <v>22</v>
      </c>
      <c r="S31" s="3">
        <v>4</v>
      </c>
      <c r="T31" s="3" t="s">
        <v>23</v>
      </c>
    </row>
    <row r="32" spans="1:20" x14ac:dyDescent="0.35">
      <c r="A32" s="3">
        <v>1057</v>
      </c>
      <c r="B32" s="4" t="s">
        <v>63</v>
      </c>
      <c r="C32" s="4" t="s">
        <v>64</v>
      </c>
      <c r="D32" s="3" t="s">
        <v>48</v>
      </c>
      <c r="E32" s="5">
        <v>45444</v>
      </c>
      <c r="F32" s="5" t="str">
        <f>TEXT(Table13[[#This Row],[Order Date]], "mmmm")</f>
        <v>June</v>
      </c>
      <c r="G32" s="6">
        <v>6</v>
      </c>
      <c r="H32" s="6">
        <v>99.99</v>
      </c>
      <c r="I32" s="3">
        <v>5</v>
      </c>
      <c r="J32" s="6">
        <f>Table13[[#This Row],[Quantity Ordered]]*Table13[[#This Row],[Price Each]]</f>
        <v>599.93999999999994</v>
      </c>
      <c r="K32" s="3">
        <v>20</v>
      </c>
      <c r="L32" s="6">
        <f>Table13[[#This Row],[Total Profit]]*(1-Table13[[#This Row],[Discount (%)]]* 0.01)</f>
        <v>479.952</v>
      </c>
      <c r="M32" s="3" t="s">
        <v>18</v>
      </c>
      <c r="N32" s="3" t="s">
        <v>29</v>
      </c>
      <c r="O32" s="3" t="s">
        <v>30</v>
      </c>
      <c r="P32" s="3" t="s">
        <v>38</v>
      </c>
      <c r="Q32" s="3" t="s">
        <v>39</v>
      </c>
      <c r="R32" s="3">
        <v>18</v>
      </c>
      <c r="S32" s="3">
        <v>3</v>
      </c>
      <c r="T32" s="3" t="s">
        <v>23</v>
      </c>
    </row>
    <row r="33" spans="1:20" x14ac:dyDescent="0.35">
      <c r="A33" s="3">
        <v>1099</v>
      </c>
      <c r="B33" s="4" t="s">
        <v>63</v>
      </c>
      <c r="C33" s="4" t="s">
        <v>64</v>
      </c>
      <c r="D33" s="3" t="s">
        <v>17</v>
      </c>
      <c r="E33" s="5">
        <v>45447</v>
      </c>
      <c r="F33" s="5" t="str">
        <f>TEXT(Table13[[#This Row],[Order Date]], "mmmm")</f>
        <v>June</v>
      </c>
      <c r="G33" s="6">
        <v>1</v>
      </c>
      <c r="H33" s="6">
        <v>299.99</v>
      </c>
      <c r="I33" s="3">
        <v>10</v>
      </c>
      <c r="J33" s="6">
        <f>Table13[[#This Row],[Quantity Ordered]]*Table13[[#This Row],[Price Each]]</f>
        <v>299.99</v>
      </c>
      <c r="K33" s="3">
        <v>0</v>
      </c>
      <c r="L33" s="6">
        <f>Table13[[#This Row],[Total Profit]]*(1-Table13[[#This Row],[Discount (%)]]* 0.01)</f>
        <v>299.99</v>
      </c>
      <c r="M33" s="3" t="s">
        <v>42</v>
      </c>
      <c r="N33" s="3" t="s">
        <v>19</v>
      </c>
      <c r="O33" s="3" t="s">
        <v>20</v>
      </c>
      <c r="P33" s="3" t="s">
        <v>31</v>
      </c>
      <c r="Q33" s="3" t="s">
        <v>39</v>
      </c>
      <c r="R33" s="3">
        <v>22</v>
      </c>
      <c r="S33" s="3">
        <v>3</v>
      </c>
      <c r="T33" s="3" t="s">
        <v>43</v>
      </c>
    </row>
    <row r="34" spans="1:20" x14ac:dyDescent="0.35">
      <c r="A34" s="3">
        <v>1113</v>
      </c>
      <c r="B34" s="4" t="s">
        <v>63</v>
      </c>
      <c r="C34" s="4" t="s">
        <v>64</v>
      </c>
      <c r="D34" s="3" t="s">
        <v>17</v>
      </c>
      <c r="E34" s="5" t="s">
        <v>50</v>
      </c>
      <c r="F34" s="5" t="str">
        <f>TEXT(Table13[[#This Row],[Order Date]], "mmmm")</f>
        <v>Date unknown</v>
      </c>
      <c r="G34" s="6">
        <v>8</v>
      </c>
      <c r="H34" s="6">
        <v>199.99</v>
      </c>
      <c r="I34" s="3">
        <v>15</v>
      </c>
      <c r="J34" s="6">
        <f>Table13[[#This Row],[Quantity Ordered]]*Table13[[#This Row],[Price Each]]</f>
        <v>1599.92</v>
      </c>
      <c r="K34" s="3">
        <v>10</v>
      </c>
      <c r="L34" s="6">
        <f>Table13[[#This Row],[Total Profit]]*(1-Table13[[#This Row],[Discount (%)]]* 0.01)</f>
        <v>1439.9280000000001</v>
      </c>
      <c r="M34" s="3" t="s">
        <v>42</v>
      </c>
      <c r="N34" s="3" t="s">
        <v>19</v>
      </c>
      <c r="O34" s="3" t="s">
        <v>20</v>
      </c>
      <c r="P34" s="3" t="s">
        <v>31</v>
      </c>
      <c r="Q34" s="3" t="s">
        <v>32</v>
      </c>
      <c r="R34" s="3">
        <v>22</v>
      </c>
      <c r="S34" s="3">
        <v>4</v>
      </c>
      <c r="T34" s="3" t="s">
        <v>43</v>
      </c>
    </row>
    <row r="35" spans="1:20" x14ac:dyDescent="0.35">
      <c r="A35" s="3">
        <v>1038</v>
      </c>
      <c r="B35" s="4" t="s">
        <v>63</v>
      </c>
      <c r="C35" s="4" t="s">
        <v>64</v>
      </c>
      <c r="D35" s="3" t="s">
        <v>17</v>
      </c>
      <c r="E35" s="5">
        <v>45426</v>
      </c>
      <c r="F35" s="5" t="str">
        <f>TEXT(Table13[[#This Row],[Order Date]], "mmmm")</f>
        <v>May</v>
      </c>
      <c r="G35" s="6">
        <v>9</v>
      </c>
      <c r="H35" s="6">
        <v>299.99</v>
      </c>
      <c r="I35" s="3">
        <v>15</v>
      </c>
      <c r="J35" s="6">
        <f>Table13[[#This Row],[Quantity Ordered]]*Table13[[#This Row],[Price Each]]</f>
        <v>2699.91</v>
      </c>
      <c r="K35" s="3">
        <v>0</v>
      </c>
      <c r="L35" s="6">
        <f>Table13[[#This Row],[Total Profit]]*(1-Table13[[#This Row],[Discount (%)]]* 0.01)</f>
        <v>2699.91</v>
      </c>
      <c r="M35" s="3" t="s">
        <v>28</v>
      </c>
      <c r="N35" s="3" t="s">
        <v>19</v>
      </c>
      <c r="O35" s="3" t="s">
        <v>20</v>
      </c>
      <c r="P35" s="3" t="s">
        <v>31</v>
      </c>
      <c r="Q35" s="3" t="s">
        <v>32</v>
      </c>
      <c r="R35" s="3">
        <v>22</v>
      </c>
      <c r="S35" s="3">
        <v>4</v>
      </c>
      <c r="T35" s="3" t="s">
        <v>43</v>
      </c>
    </row>
    <row r="36" spans="1:20" x14ac:dyDescent="0.35">
      <c r="A36" s="3">
        <v>1133</v>
      </c>
      <c r="B36" s="4" t="s">
        <v>63</v>
      </c>
      <c r="C36" s="4" t="s">
        <v>64</v>
      </c>
      <c r="D36" s="3" t="s">
        <v>45</v>
      </c>
      <c r="E36" s="5">
        <v>45369</v>
      </c>
      <c r="F36" s="5" t="str">
        <f>TEXT(Table13[[#This Row],[Order Date]], "mmmm")</f>
        <v>March</v>
      </c>
      <c r="G36" s="6">
        <v>6</v>
      </c>
      <c r="H36" s="6">
        <v>49.99</v>
      </c>
      <c r="I36" s="3">
        <v>10</v>
      </c>
      <c r="J36" s="6">
        <f>Table13[[#This Row],[Quantity Ordered]]*Table13[[#This Row],[Price Each]]</f>
        <v>299.94</v>
      </c>
      <c r="K36" s="3">
        <v>5</v>
      </c>
      <c r="L36" s="6">
        <f>Table13[[#This Row],[Total Profit]]*(1-Table13[[#This Row],[Discount (%)]]* 0.01)</f>
        <v>284.94299999999998</v>
      </c>
      <c r="M36" s="3" t="s">
        <v>28</v>
      </c>
      <c r="N36" s="3" t="s">
        <v>19</v>
      </c>
      <c r="O36" s="3" t="s">
        <v>30</v>
      </c>
      <c r="P36" s="3" t="s">
        <v>31</v>
      </c>
      <c r="Q36" s="3" t="s">
        <v>32</v>
      </c>
      <c r="R36" s="3">
        <v>20</v>
      </c>
      <c r="S36" s="3">
        <v>4</v>
      </c>
      <c r="T36" s="3" t="s">
        <v>43</v>
      </c>
    </row>
    <row r="37" spans="1:20" x14ac:dyDescent="0.35">
      <c r="A37" s="3">
        <v>1158</v>
      </c>
      <c r="B37" s="4" t="s">
        <v>63</v>
      </c>
      <c r="C37" s="4" t="s">
        <v>64</v>
      </c>
      <c r="D37" s="3" t="s">
        <v>35</v>
      </c>
      <c r="E37" s="5">
        <v>45343</v>
      </c>
      <c r="F37" s="5" t="str">
        <f>TEXT(Table13[[#This Row],[Order Date]], "mmmm")</f>
        <v>February</v>
      </c>
      <c r="G37" s="6">
        <v>3</v>
      </c>
      <c r="H37" s="6" t="s">
        <v>51</v>
      </c>
      <c r="I37" s="3">
        <v>25</v>
      </c>
      <c r="J37" s="6" t="s">
        <v>51</v>
      </c>
      <c r="K37" s="3">
        <v>5</v>
      </c>
      <c r="L37" s="6" t="s">
        <v>51</v>
      </c>
      <c r="M37" s="3" t="s">
        <v>28</v>
      </c>
      <c r="N37" s="3" t="s">
        <v>29</v>
      </c>
      <c r="O37" s="3" t="s">
        <v>37</v>
      </c>
      <c r="P37" s="3" t="s">
        <v>31</v>
      </c>
      <c r="Q37" s="3" t="s">
        <v>32</v>
      </c>
      <c r="R37" s="3">
        <v>30</v>
      </c>
      <c r="S37" s="3">
        <v>4</v>
      </c>
      <c r="T37" s="3" t="s">
        <v>23</v>
      </c>
    </row>
    <row r="39" spans="1:20" x14ac:dyDescent="0.35">
      <c r="A39" s="9" t="s">
        <v>71</v>
      </c>
      <c r="B39" s="8">
        <f>COUNTIF(Table13[Customer First Name],"First name unknown")</f>
        <v>2</v>
      </c>
      <c r="C39" s="8">
        <f>COUNTIF(Table13[Customer Last Name],"Last name unknown")</f>
        <v>2</v>
      </c>
      <c r="D39" s="8"/>
      <c r="E39" s="8">
        <f>COUNTIF(Table13[Order Date],"Date unknown")</f>
        <v>10</v>
      </c>
      <c r="F39" s="8">
        <f>COUNTIF(Table13[Order Month],"Date unknown")</f>
        <v>10</v>
      </c>
      <c r="G39" s="8"/>
      <c r="H39" s="8">
        <f>COUNTIF(Table13[Price Each],"Price unknown")</f>
        <v>6</v>
      </c>
      <c r="I39" s="8">
        <f>COUNTIF(Table13[Total Profit],"Price unknown")</f>
        <v>6</v>
      </c>
      <c r="J39" s="8"/>
      <c r="K39" s="8">
        <f>COUNTIF(Table13[Profit after discount],"Price unknown")</f>
        <v>6</v>
      </c>
    </row>
  </sheetData>
  <conditionalFormatting sqref="E2:F37">
    <cfRule type="containsText" dxfId="32" priority="5" operator="containsText" text="Date unknown">
      <formula>NOT(ISERROR(SEARCH("Date unknown",E2)))</formula>
    </cfRule>
  </conditionalFormatting>
  <conditionalFormatting sqref="E3:F3">
    <cfRule type="cellIs" dxfId="31" priority="6" stopIfTrue="1" operator="equal">
      <formula>"Date unknown"</formula>
    </cfRule>
    <cfRule type="cellIs" dxfId="30" priority="7" operator="equal">
      <formula>"Date unknown"</formula>
    </cfRule>
  </conditionalFormatting>
  <conditionalFormatting sqref="H2:L37">
    <cfRule type="containsText" dxfId="29" priority="4" operator="containsText" text="Price unknown">
      <formula>NOT(ISERROR(SEARCH("Price unknown",H2)))</formula>
    </cfRule>
  </conditionalFormatting>
  <conditionalFormatting sqref="T2:T37">
    <cfRule type="containsText" dxfId="28" priority="1" operator="containsText" text="Delivered">
      <formula>NOT(ISERROR(SEARCH("Delivered",T2)))</formula>
    </cfRule>
    <cfRule type="containsText" dxfId="27" priority="2" operator="containsText" text="Returned">
      <formula>NOT(ISERROR(SEARCH("Returned",T2)))</formula>
    </cfRule>
    <cfRule type="containsText" dxfId="26" priority="3" operator="containsText" text="Cancelled">
      <formula>NOT(ISERROR(SEARCH("Cancelled",T2)))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8B21-7C59-46E8-94BE-50A438AFC77D}">
  <dimension ref="A1:U32"/>
  <sheetViews>
    <sheetView zoomScale="85" workbookViewId="0">
      <selection activeCell="C24" sqref="C24"/>
    </sheetView>
  </sheetViews>
  <sheetFormatPr defaultRowHeight="14.5" x14ac:dyDescent="0.35"/>
  <cols>
    <col min="1" max="1" width="10" customWidth="1"/>
    <col min="2" max="2" width="20.453125" customWidth="1"/>
    <col min="3" max="3" width="20.1796875" customWidth="1"/>
    <col min="4" max="4" width="11.08984375" bestFit="1" customWidth="1"/>
    <col min="5" max="5" width="12.1796875" customWidth="1"/>
    <col min="6" max="6" width="13.90625" customWidth="1"/>
    <col min="7" max="7" width="17.6328125" customWidth="1"/>
    <col min="8" max="8" width="18.08984375" bestFit="1" customWidth="1"/>
    <col min="9" max="9" width="12.26953125" customWidth="1"/>
    <col min="10" max="10" width="13.36328125" customWidth="1"/>
    <col min="11" max="11" width="19.7265625" customWidth="1"/>
    <col min="13" max="13" width="12.1796875" bestFit="1" customWidth="1"/>
    <col min="14" max="14" width="10.26953125" customWidth="1"/>
    <col min="15" max="15" width="17.453125" customWidth="1"/>
    <col min="16" max="16" width="18.7265625" customWidth="1"/>
    <col min="17" max="17" width="14.36328125" customWidth="1"/>
    <col min="18" max="18" width="14.08984375" customWidth="1"/>
    <col min="19" max="19" width="17.08984375" customWidth="1"/>
    <col min="20" max="20" width="19.36328125" customWidth="1"/>
    <col min="21" max="21" width="13.453125" customWidth="1"/>
  </cols>
  <sheetData>
    <row r="1" spans="1:21" x14ac:dyDescent="0.35">
      <c r="A1" s="20" t="s">
        <v>0</v>
      </c>
      <c r="B1" s="21" t="s">
        <v>52</v>
      </c>
      <c r="C1" s="21" t="s">
        <v>65</v>
      </c>
      <c r="D1" s="21" t="s">
        <v>2</v>
      </c>
      <c r="E1" s="22" t="s">
        <v>3</v>
      </c>
      <c r="F1" s="22" t="s">
        <v>68</v>
      </c>
      <c r="G1" s="23" t="s">
        <v>4</v>
      </c>
      <c r="H1" s="23" t="s">
        <v>5</v>
      </c>
      <c r="I1" s="21" t="s">
        <v>12</v>
      </c>
      <c r="J1" s="23" t="s">
        <v>69</v>
      </c>
      <c r="K1" s="21" t="s">
        <v>11</v>
      </c>
      <c r="L1" s="23" t="s">
        <v>70</v>
      </c>
      <c r="M1" s="23" t="s">
        <v>92</v>
      </c>
      <c r="N1" s="21" t="s">
        <v>6</v>
      </c>
      <c r="O1" s="21" t="s">
        <v>7</v>
      </c>
      <c r="P1" s="21" t="s">
        <v>8</v>
      </c>
      <c r="Q1" s="21" t="s">
        <v>9</v>
      </c>
      <c r="R1" s="21" t="s">
        <v>10</v>
      </c>
      <c r="S1" s="21" t="s">
        <v>13</v>
      </c>
      <c r="T1" s="21" t="s">
        <v>14</v>
      </c>
      <c r="U1" s="24" t="s">
        <v>15</v>
      </c>
    </row>
    <row r="2" spans="1:21" x14ac:dyDescent="0.35">
      <c r="A2" s="12">
        <v>1109</v>
      </c>
      <c r="B2" s="13" t="s">
        <v>59</v>
      </c>
      <c r="C2" s="13" t="s">
        <v>60</v>
      </c>
      <c r="D2" s="13" t="s">
        <v>41</v>
      </c>
      <c r="E2" s="14">
        <v>45350</v>
      </c>
      <c r="F2" s="14" t="s">
        <v>73</v>
      </c>
      <c r="G2" s="15">
        <v>5</v>
      </c>
      <c r="H2" s="15">
        <v>199.99</v>
      </c>
      <c r="I2" s="12">
        <v>10</v>
      </c>
      <c r="J2" s="15">
        <v>999.95</v>
      </c>
      <c r="K2" s="12">
        <v>0</v>
      </c>
      <c r="L2" s="15">
        <v>999.95</v>
      </c>
      <c r="M2" s="48">
        <v>0</v>
      </c>
      <c r="N2" s="12" t="s">
        <v>42</v>
      </c>
      <c r="O2" s="12" t="s">
        <v>19</v>
      </c>
      <c r="P2" s="12" t="s">
        <v>20</v>
      </c>
      <c r="Q2" s="12" t="s">
        <v>21</v>
      </c>
      <c r="R2" s="12" t="s">
        <v>22</v>
      </c>
      <c r="S2" s="12">
        <v>25</v>
      </c>
      <c r="T2" s="12">
        <v>5</v>
      </c>
      <c r="U2" s="3" t="s">
        <v>43</v>
      </c>
    </row>
    <row r="3" spans="1:21" x14ac:dyDescent="0.35">
      <c r="A3" s="12">
        <v>1044</v>
      </c>
      <c r="B3" s="13" t="s">
        <v>59</v>
      </c>
      <c r="C3" s="13" t="s">
        <v>60</v>
      </c>
      <c r="D3" s="13" t="s">
        <v>35</v>
      </c>
      <c r="E3" s="14">
        <v>45380</v>
      </c>
      <c r="F3" s="14" t="s">
        <v>74</v>
      </c>
      <c r="G3" s="15">
        <v>2</v>
      </c>
      <c r="H3" s="15">
        <v>899.99</v>
      </c>
      <c r="I3" s="12">
        <v>25</v>
      </c>
      <c r="J3" s="15">
        <v>1799.98</v>
      </c>
      <c r="K3" s="12">
        <v>0</v>
      </c>
      <c r="L3" s="15">
        <v>1799.98</v>
      </c>
      <c r="M3" s="48">
        <v>1799.98</v>
      </c>
      <c r="N3" s="12" t="s">
        <v>36</v>
      </c>
      <c r="O3" s="12" t="s">
        <v>29</v>
      </c>
      <c r="P3" s="12" t="s">
        <v>46</v>
      </c>
      <c r="Q3" s="12" t="s">
        <v>21</v>
      </c>
      <c r="R3" s="12" t="s">
        <v>22</v>
      </c>
      <c r="S3" s="12">
        <v>30</v>
      </c>
      <c r="T3" s="12">
        <v>5</v>
      </c>
      <c r="U3" s="3" t="s">
        <v>23</v>
      </c>
    </row>
    <row r="4" spans="1:21" x14ac:dyDescent="0.35">
      <c r="A4" s="12">
        <v>1025</v>
      </c>
      <c r="B4" s="13" t="s">
        <v>55</v>
      </c>
      <c r="C4" s="13" t="s">
        <v>56</v>
      </c>
      <c r="D4" s="13" t="s">
        <v>35</v>
      </c>
      <c r="E4" s="14">
        <v>45455</v>
      </c>
      <c r="F4" s="14" t="s">
        <v>75</v>
      </c>
      <c r="G4" s="15">
        <v>4</v>
      </c>
      <c r="H4" s="15">
        <v>299.99</v>
      </c>
      <c r="I4" s="12">
        <v>20</v>
      </c>
      <c r="J4" s="15">
        <v>1199.96</v>
      </c>
      <c r="K4" s="12">
        <v>0</v>
      </c>
      <c r="L4" s="15">
        <v>1199.96</v>
      </c>
      <c r="M4" s="48">
        <v>1199.96</v>
      </c>
      <c r="N4" s="12" t="s">
        <v>28</v>
      </c>
      <c r="O4" s="12" t="s">
        <v>29</v>
      </c>
      <c r="P4" s="12" t="s">
        <v>37</v>
      </c>
      <c r="Q4" s="12" t="s">
        <v>21</v>
      </c>
      <c r="R4" s="12" t="s">
        <v>22</v>
      </c>
      <c r="S4" s="12">
        <v>30</v>
      </c>
      <c r="T4" s="12">
        <v>5</v>
      </c>
      <c r="U4" s="3" t="s">
        <v>23</v>
      </c>
    </row>
    <row r="5" spans="1:21" x14ac:dyDescent="0.35">
      <c r="A5" s="12">
        <v>1071</v>
      </c>
      <c r="B5" s="13" t="s">
        <v>55</v>
      </c>
      <c r="C5" s="13" t="s">
        <v>56</v>
      </c>
      <c r="D5" s="13" t="s">
        <v>25</v>
      </c>
      <c r="E5" s="14">
        <v>45444</v>
      </c>
      <c r="F5" s="14" t="s">
        <v>75</v>
      </c>
      <c r="G5" s="15">
        <v>5</v>
      </c>
      <c r="H5" s="15">
        <v>199.99</v>
      </c>
      <c r="I5" s="12">
        <v>20</v>
      </c>
      <c r="J5" s="15">
        <v>999.95</v>
      </c>
      <c r="K5" s="12">
        <v>0</v>
      </c>
      <c r="L5" s="15">
        <v>999.95</v>
      </c>
      <c r="M5" s="48">
        <v>999.95</v>
      </c>
      <c r="N5" s="12" t="s">
        <v>18</v>
      </c>
      <c r="O5" s="12" t="s">
        <v>29</v>
      </c>
      <c r="P5" s="12" t="s">
        <v>37</v>
      </c>
      <c r="Q5" s="12" t="s">
        <v>21</v>
      </c>
      <c r="R5" s="12" t="s">
        <v>22</v>
      </c>
      <c r="S5" s="12">
        <v>25</v>
      </c>
      <c r="T5" s="12">
        <v>5</v>
      </c>
      <c r="U5" s="3" t="s">
        <v>23</v>
      </c>
    </row>
    <row r="6" spans="1:21" x14ac:dyDescent="0.35">
      <c r="A6" s="12">
        <v>1010</v>
      </c>
      <c r="B6" s="13" t="s">
        <v>57</v>
      </c>
      <c r="C6" s="13" t="s">
        <v>58</v>
      </c>
      <c r="D6" s="13" t="s">
        <v>35</v>
      </c>
      <c r="E6" s="14">
        <v>45366</v>
      </c>
      <c r="F6" s="14" t="s">
        <v>74</v>
      </c>
      <c r="G6" s="15">
        <v>1</v>
      </c>
      <c r="H6" s="15">
        <v>899.99</v>
      </c>
      <c r="I6" s="12">
        <v>20</v>
      </c>
      <c r="J6" s="15">
        <v>899.99</v>
      </c>
      <c r="K6" s="12">
        <v>5</v>
      </c>
      <c r="L6" s="15">
        <v>854.9905</v>
      </c>
      <c r="M6" s="48">
        <v>854.9905</v>
      </c>
      <c r="N6" s="12" t="s">
        <v>36</v>
      </c>
      <c r="O6" s="12" t="s">
        <v>29</v>
      </c>
      <c r="P6" s="12" t="s">
        <v>37</v>
      </c>
      <c r="Q6" s="12" t="s">
        <v>38</v>
      </c>
      <c r="R6" s="12" t="s">
        <v>39</v>
      </c>
      <c r="S6" s="12">
        <v>30</v>
      </c>
      <c r="T6" s="12">
        <v>3</v>
      </c>
      <c r="U6" s="3" t="s">
        <v>23</v>
      </c>
    </row>
    <row r="7" spans="1:21" x14ac:dyDescent="0.35">
      <c r="A7" s="12">
        <v>1066</v>
      </c>
      <c r="B7" s="13" t="s">
        <v>57</v>
      </c>
      <c r="C7" s="13" t="s">
        <v>58</v>
      </c>
      <c r="D7" s="13" t="s">
        <v>41</v>
      </c>
      <c r="E7" s="14">
        <v>45388</v>
      </c>
      <c r="F7" s="14" t="s">
        <v>76</v>
      </c>
      <c r="G7" s="15">
        <v>7</v>
      </c>
      <c r="H7" s="15">
        <v>99.99</v>
      </c>
      <c r="I7" s="12">
        <v>10</v>
      </c>
      <c r="J7" s="15">
        <v>699.93</v>
      </c>
      <c r="K7" s="12">
        <v>5</v>
      </c>
      <c r="L7" s="15">
        <v>664.93349999999987</v>
      </c>
      <c r="M7" s="48">
        <v>0</v>
      </c>
      <c r="N7" s="12" t="s">
        <v>36</v>
      </c>
      <c r="O7" s="12" t="s">
        <v>19</v>
      </c>
      <c r="P7" s="12" t="s">
        <v>20</v>
      </c>
      <c r="Q7" s="12" t="s">
        <v>31</v>
      </c>
      <c r="R7" s="12" t="s">
        <v>39</v>
      </c>
      <c r="S7" s="12">
        <v>15</v>
      </c>
      <c r="T7" s="12">
        <v>3</v>
      </c>
      <c r="U7" s="3" t="s">
        <v>33</v>
      </c>
    </row>
    <row r="8" spans="1:21" x14ac:dyDescent="0.35">
      <c r="A8" s="12">
        <v>1052</v>
      </c>
      <c r="B8" s="13" t="s">
        <v>57</v>
      </c>
      <c r="C8" s="13" t="s">
        <v>58</v>
      </c>
      <c r="D8" s="13" t="s">
        <v>35</v>
      </c>
      <c r="E8" s="14">
        <v>45404</v>
      </c>
      <c r="F8" s="14" t="s">
        <v>76</v>
      </c>
      <c r="G8" s="15">
        <v>7</v>
      </c>
      <c r="H8" s="15">
        <v>899.99</v>
      </c>
      <c r="I8" s="12">
        <v>25</v>
      </c>
      <c r="J8" s="15">
        <v>6299.93</v>
      </c>
      <c r="K8" s="12">
        <v>0</v>
      </c>
      <c r="L8" s="15">
        <v>6299.93</v>
      </c>
      <c r="M8" s="48">
        <v>6299.93</v>
      </c>
      <c r="N8" s="12" t="s">
        <v>42</v>
      </c>
      <c r="O8" s="12" t="s">
        <v>29</v>
      </c>
      <c r="P8" s="12" t="s">
        <v>20</v>
      </c>
      <c r="Q8" s="12" t="s">
        <v>38</v>
      </c>
      <c r="R8" s="12" t="s">
        <v>39</v>
      </c>
      <c r="S8" s="12">
        <v>30</v>
      </c>
      <c r="T8" s="12">
        <v>3</v>
      </c>
      <c r="U8" s="3" t="s">
        <v>23</v>
      </c>
    </row>
    <row r="9" spans="1:21" x14ac:dyDescent="0.35">
      <c r="A9" s="12">
        <v>1107</v>
      </c>
      <c r="B9" s="13" t="s">
        <v>57</v>
      </c>
      <c r="C9" s="13" t="s">
        <v>58</v>
      </c>
      <c r="D9" s="13" t="s">
        <v>17</v>
      </c>
      <c r="E9" s="14">
        <v>45450</v>
      </c>
      <c r="F9" s="14" t="s">
        <v>75</v>
      </c>
      <c r="G9" s="15">
        <v>7</v>
      </c>
      <c r="H9" s="15">
        <v>899.99</v>
      </c>
      <c r="I9" s="12">
        <v>15</v>
      </c>
      <c r="J9" s="15">
        <v>6299.93</v>
      </c>
      <c r="K9" s="12">
        <v>15</v>
      </c>
      <c r="L9" s="15">
        <v>5354.9404999999997</v>
      </c>
      <c r="M9" s="48">
        <v>5354.9404999999997</v>
      </c>
      <c r="N9" s="12" t="s">
        <v>42</v>
      </c>
      <c r="O9" s="12" t="s">
        <v>19</v>
      </c>
      <c r="P9" s="12" t="s">
        <v>20</v>
      </c>
      <c r="Q9" s="12" t="s">
        <v>38</v>
      </c>
      <c r="R9" s="12" t="s">
        <v>39</v>
      </c>
      <c r="S9" s="12">
        <v>30</v>
      </c>
      <c r="T9" s="12">
        <v>3</v>
      </c>
      <c r="U9" s="3" t="s">
        <v>23</v>
      </c>
    </row>
    <row r="10" spans="1:21" x14ac:dyDescent="0.35">
      <c r="A10" s="12">
        <v>1079</v>
      </c>
      <c r="B10" s="13" t="s">
        <v>61</v>
      </c>
      <c r="C10" s="13" t="s">
        <v>62</v>
      </c>
      <c r="D10" s="13" t="s">
        <v>41</v>
      </c>
      <c r="E10" s="14">
        <v>45342</v>
      </c>
      <c r="F10" s="14" t="s">
        <v>73</v>
      </c>
      <c r="G10" s="15">
        <v>3</v>
      </c>
      <c r="H10" s="15">
        <v>49.99</v>
      </c>
      <c r="I10" s="12">
        <v>10</v>
      </c>
      <c r="J10" s="15">
        <v>149.97</v>
      </c>
      <c r="K10" s="12">
        <v>5</v>
      </c>
      <c r="L10" s="15">
        <v>142.47149999999999</v>
      </c>
      <c r="M10" s="48">
        <v>142.47149999999999</v>
      </c>
      <c r="N10" s="12" t="s">
        <v>36</v>
      </c>
      <c r="O10" s="12" t="s">
        <v>19</v>
      </c>
      <c r="P10" s="12" t="s">
        <v>46</v>
      </c>
      <c r="Q10" s="12" t="s">
        <v>38</v>
      </c>
      <c r="R10" s="12" t="s">
        <v>39</v>
      </c>
      <c r="S10" s="12">
        <v>17</v>
      </c>
      <c r="T10" s="12">
        <v>3</v>
      </c>
      <c r="U10" s="3" t="s">
        <v>23</v>
      </c>
    </row>
    <row r="11" spans="1:21" x14ac:dyDescent="0.35">
      <c r="A11" s="12">
        <v>1148</v>
      </c>
      <c r="B11" s="13" t="s">
        <v>53</v>
      </c>
      <c r="C11" s="13" t="s">
        <v>54</v>
      </c>
      <c r="D11" s="13" t="s">
        <v>17</v>
      </c>
      <c r="E11" s="14">
        <v>45401</v>
      </c>
      <c r="F11" s="14" t="s">
        <v>76</v>
      </c>
      <c r="G11" s="15">
        <v>3</v>
      </c>
      <c r="H11" s="15">
        <v>299.99</v>
      </c>
      <c r="I11" s="12">
        <v>15</v>
      </c>
      <c r="J11" s="15">
        <v>899.97</v>
      </c>
      <c r="K11" s="12">
        <v>10</v>
      </c>
      <c r="L11" s="15">
        <v>809.97300000000007</v>
      </c>
      <c r="M11" s="48">
        <v>809.97300000000007</v>
      </c>
      <c r="N11" s="12" t="s">
        <v>18</v>
      </c>
      <c r="O11" s="12" t="s">
        <v>19</v>
      </c>
      <c r="P11" s="12" t="s">
        <v>20</v>
      </c>
      <c r="Q11" s="12" t="s">
        <v>21</v>
      </c>
      <c r="R11" s="12" t="s">
        <v>22</v>
      </c>
      <c r="S11" s="12">
        <v>20</v>
      </c>
      <c r="T11" s="12">
        <v>5</v>
      </c>
      <c r="U11" s="3" t="s">
        <v>23</v>
      </c>
    </row>
    <row r="12" spans="1:21" x14ac:dyDescent="0.35">
      <c r="A12" s="12">
        <v>1115</v>
      </c>
      <c r="B12" s="13" t="s">
        <v>53</v>
      </c>
      <c r="C12" s="13" t="s">
        <v>54</v>
      </c>
      <c r="D12" s="13" t="s">
        <v>17</v>
      </c>
      <c r="E12" s="14">
        <v>45301</v>
      </c>
      <c r="F12" s="14" t="s">
        <v>77</v>
      </c>
      <c r="G12" s="15">
        <v>8</v>
      </c>
      <c r="H12" s="15">
        <v>299.99</v>
      </c>
      <c r="I12" s="12">
        <v>15</v>
      </c>
      <c r="J12" s="15">
        <v>2399.92</v>
      </c>
      <c r="K12" s="12">
        <v>0</v>
      </c>
      <c r="L12" s="15">
        <v>2399.92</v>
      </c>
      <c r="M12" s="48">
        <v>2399.92</v>
      </c>
      <c r="N12" s="12" t="s">
        <v>36</v>
      </c>
      <c r="O12" s="12" t="s">
        <v>19</v>
      </c>
      <c r="P12" s="12" t="s">
        <v>37</v>
      </c>
      <c r="Q12" s="12" t="s">
        <v>21</v>
      </c>
      <c r="R12" s="12" t="s">
        <v>22</v>
      </c>
      <c r="S12" s="12">
        <v>25</v>
      </c>
      <c r="T12" s="12">
        <v>5</v>
      </c>
      <c r="U12" s="3" t="s">
        <v>23</v>
      </c>
    </row>
    <row r="13" spans="1:21" x14ac:dyDescent="0.35">
      <c r="A13" s="12">
        <v>1151</v>
      </c>
      <c r="B13" s="13" t="s">
        <v>53</v>
      </c>
      <c r="C13" s="13" t="s">
        <v>54</v>
      </c>
      <c r="D13" s="13" t="s">
        <v>25</v>
      </c>
      <c r="E13" s="14">
        <v>45308</v>
      </c>
      <c r="F13" s="14" t="s">
        <v>77</v>
      </c>
      <c r="G13" s="15">
        <v>6</v>
      </c>
      <c r="H13" s="15">
        <v>299.99</v>
      </c>
      <c r="I13" s="12">
        <v>20</v>
      </c>
      <c r="J13" s="15">
        <v>1799.94</v>
      </c>
      <c r="K13" s="12">
        <v>0</v>
      </c>
      <c r="L13" s="15">
        <v>1799.94</v>
      </c>
      <c r="M13" s="48">
        <v>1799.94</v>
      </c>
      <c r="N13" s="12" t="s">
        <v>28</v>
      </c>
      <c r="O13" s="12" t="s">
        <v>19</v>
      </c>
      <c r="P13" s="12" t="s">
        <v>37</v>
      </c>
      <c r="Q13" s="12" t="s">
        <v>21</v>
      </c>
      <c r="R13" s="12" t="s">
        <v>22</v>
      </c>
      <c r="S13" s="12">
        <v>25</v>
      </c>
      <c r="T13" s="12">
        <v>5</v>
      </c>
      <c r="U13" s="3" t="s">
        <v>23</v>
      </c>
    </row>
    <row r="14" spans="1:21" x14ac:dyDescent="0.35">
      <c r="A14" s="12">
        <v>1154</v>
      </c>
      <c r="B14" s="13" t="s">
        <v>53</v>
      </c>
      <c r="C14" s="13" t="s">
        <v>54</v>
      </c>
      <c r="D14" s="13" t="s">
        <v>48</v>
      </c>
      <c r="E14" s="14">
        <v>45316</v>
      </c>
      <c r="F14" s="14" t="s">
        <v>77</v>
      </c>
      <c r="G14" s="15">
        <v>1</v>
      </c>
      <c r="H14" s="15">
        <v>99.99</v>
      </c>
      <c r="I14" s="12">
        <v>5</v>
      </c>
      <c r="J14" s="15">
        <v>99.99</v>
      </c>
      <c r="K14" s="12">
        <v>10</v>
      </c>
      <c r="L14" s="15">
        <v>89.991</v>
      </c>
      <c r="M14" s="48">
        <v>0</v>
      </c>
      <c r="N14" s="12" t="s">
        <v>28</v>
      </c>
      <c r="O14" s="12" t="s">
        <v>29</v>
      </c>
      <c r="P14" s="12" t="s">
        <v>37</v>
      </c>
      <c r="Q14" s="12" t="s">
        <v>31</v>
      </c>
      <c r="R14" s="12" t="s">
        <v>32</v>
      </c>
      <c r="S14" s="12">
        <v>18</v>
      </c>
      <c r="T14" s="12">
        <v>4</v>
      </c>
      <c r="U14" s="3" t="s">
        <v>33</v>
      </c>
    </row>
    <row r="15" spans="1:21" x14ac:dyDescent="0.35">
      <c r="A15" s="12">
        <v>1147</v>
      </c>
      <c r="B15" s="13" t="s">
        <v>53</v>
      </c>
      <c r="C15" s="13" t="s">
        <v>54</v>
      </c>
      <c r="D15" s="13" t="s">
        <v>49</v>
      </c>
      <c r="E15" s="14">
        <v>45325</v>
      </c>
      <c r="F15" s="14" t="s">
        <v>73</v>
      </c>
      <c r="G15" s="15">
        <v>3</v>
      </c>
      <c r="H15" s="15">
        <v>29.99</v>
      </c>
      <c r="I15" s="12">
        <v>5</v>
      </c>
      <c r="J15" s="15">
        <v>89.97</v>
      </c>
      <c r="K15" s="12">
        <v>15</v>
      </c>
      <c r="L15" s="15">
        <v>76.474499999999992</v>
      </c>
      <c r="M15" s="48">
        <v>0</v>
      </c>
      <c r="N15" s="12" t="s">
        <v>28</v>
      </c>
      <c r="O15" s="12" t="s">
        <v>29</v>
      </c>
      <c r="P15" s="12" t="s">
        <v>30</v>
      </c>
      <c r="Q15" s="12" t="s">
        <v>31</v>
      </c>
      <c r="R15" s="12" t="s">
        <v>32</v>
      </c>
      <c r="S15" s="12">
        <v>15</v>
      </c>
      <c r="T15" s="12">
        <v>4</v>
      </c>
      <c r="U15" s="3" t="s">
        <v>33</v>
      </c>
    </row>
    <row r="16" spans="1:21" x14ac:dyDescent="0.35">
      <c r="A16" s="12">
        <v>1041</v>
      </c>
      <c r="B16" s="13" t="s">
        <v>53</v>
      </c>
      <c r="C16" s="13" t="s">
        <v>54</v>
      </c>
      <c r="D16" s="13" t="s">
        <v>25</v>
      </c>
      <c r="E16" s="14">
        <v>45305</v>
      </c>
      <c r="F16" s="14" t="s">
        <v>77</v>
      </c>
      <c r="G16" s="15">
        <v>5</v>
      </c>
      <c r="H16" s="15">
        <v>299.99</v>
      </c>
      <c r="I16" s="12">
        <v>20</v>
      </c>
      <c r="J16" s="15">
        <v>1499.95</v>
      </c>
      <c r="K16" s="12">
        <v>0</v>
      </c>
      <c r="L16" s="15">
        <v>1499.95</v>
      </c>
      <c r="M16" s="48">
        <v>1499.95</v>
      </c>
      <c r="N16" s="12" t="s">
        <v>28</v>
      </c>
      <c r="O16" s="12" t="s">
        <v>29</v>
      </c>
      <c r="P16" s="12" t="s">
        <v>37</v>
      </c>
      <c r="Q16" s="12" t="s">
        <v>31</v>
      </c>
      <c r="R16" s="12" t="s">
        <v>32</v>
      </c>
      <c r="S16" s="12">
        <v>22</v>
      </c>
      <c r="T16" s="12">
        <v>4</v>
      </c>
      <c r="U16" s="3" t="s">
        <v>23</v>
      </c>
    </row>
    <row r="17" spans="1:21" x14ac:dyDescent="0.35">
      <c r="A17" s="12">
        <v>1057</v>
      </c>
      <c r="B17" s="13" t="s">
        <v>63</v>
      </c>
      <c r="C17" s="13" t="s">
        <v>64</v>
      </c>
      <c r="D17" s="13" t="s">
        <v>48</v>
      </c>
      <c r="E17" s="14">
        <v>45444</v>
      </c>
      <c r="F17" s="14" t="s">
        <v>75</v>
      </c>
      <c r="G17" s="15">
        <v>6</v>
      </c>
      <c r="H17" s="15">
        <v>99.99</v>
      </c>
      <c r="I17" s="12">
        <v>5</v>
      </c>
      <c r="J17" s="15">
        <v>599.93999999999994</v>
      </c>
      <c r="K17" s="12">
        <v>20</v>
      </c>
      <c r="L17" s="15">
        <v>479.952</v>
      </c>
      <c r="M17" s="48">
        <v>479.952</v>
      </c>
      <c r="N17" s="12" t="s">
        <v>18</v>
      </c>
      <c r="O17" s="12" t="s">
        <v>29</v>
      </c>
      <c r="P17" s="12" t="s">
        <v>30</v>
      </c>
      <c r="Q17" s="12" t="s">
        <v>38</v>
      </c>
      <c r="R17" s="12" t="s">
        <v>39</v>
      </c>
      <c r="S17" s="12">
        <v>18</v>
      </c>
      <c r="T17" s="12">
        <v>3</v>
      </c>
      <c r="U17" s="3" t="s">
        <v>23</v>
      </c>
    </row>
    <row r="18" spans="1:21" x14ac:dyDescent="0.35">
      <c r="A18" s="12">
        <v>1099</v>
      </c>
      <c r="B18" s="13" t="s">
        <v>63</v>
      </c>
      <c r="C18" s="13" t="s">
        <v>64</v>
      </c>
      <c r="D18" s="13" t="s">
        <v>17</v>
      </c>
      <c r="E18" s="14">
        <v>45447</v>
      </c>
      <c r="F18" s="14" t="s">
        <v>75</v>
      </c>
      <c r="G18" s="15">
        <v>1</v>
      </c>
      <c r="H18" s="15">
        <v>299.99</v>
      </c>
      <c r="I18" s="12">
        <v>10</v>
      </c>
      <c r="J18" s="15">
        <v>299.99</v>
      </c>
      <c r="K18" s="12">
        <v>0</v>
      </c>
      <c r="L18" s="15">
        <v>299.99</v>
      </c>
      <c r="M18" s="48">
        <v>0</v>
      </c>
      <c r="N18" s="12" t="s">
        <v>42</v>
      </c>
      <c r="O18" s="12" t="s">
        <v>19</v>
      </c>
      <c r="P18" s="12" t="s">
        <v>20</v>
      </c>
      <c r="Q18" s="12" t="s">
        <v>31</v>
      </c>
      <c r="R18" s="12" t="s">
        <v>39</v>
      </c>
      <c r="S18" s="12">
        <v>22</v>
      </c>
      <c r="T18" s="12">
        <v>3</v>
      </c>
      <c r="U18" s="3" t="s">
        <v>43</v>
      </c>
    </row>
    <row r="19" spans="1:21" x14ac:dyDescent="0.35">
      <c r="A19" s="12">
        <v>1038</v>
      </c>
      <c r="B19" s="13" t="s">
        <v>63</v>
      </c>
      <c r="C19" s="13" t="s">
        <v>64</v>
      </c>
      <c r="D19" s="13" t="s">
        <v>17</v>
      </c>
      <c r="E19" s="14">
        <v>45426</v>
      </c>
      <c r="F19" s="14" t="s">
        <v>78</v>
      </c>
      <c r="G19" s="15">
        <v>9</v>
      </c>
      <c r="H19" s="15">
        <v>299.99</v>
      </c>
      <c r="I19" s="12">
        <v>15</v>
      </c>
      <c r="J19" s="15">
        <v>2699.91</v>
      </c>
      <c r="K19" s="12">
        <v>0</v>
      </c>
      <c r="L19" s="15">
        <v>2699.91</v>
      </c>
      <c r="M19" s="48">
        <v>0</v>
      </c>
      <c r="N19" s="12" t="s">
        <v>28</v>
      </c>
      <c r="O19" s="12" t="s">
        <v>19</v>
      </c>
      <c r="P19" s="12" t="s">
        <v>20</v>
      </c>
      <c r="Q19" s="12" t="s">
        <v>31</v>
      </c>
      <c r="R19" s="12" t="s">
        <v>32</v>
      </c>
      <c r="S19" s="12">
        <v>22</v>
      </c>
      <c r="T19" s="12">
        <v>4</v>
      </c>
      <c r="U19" s="3" t="s">
        <v>43</v>
      </c>
    </row>
    <row r="20" spans="1:21" x14ac:dyDescent="0.35">
      <c r="A20" s="25">
        <v>1133</v>
      </c>
      <c r="B20" s="26" t="s">
        <v>63</v>
      </c>
      <c r="C20" s="26" t="s">
        <v>64</v>
      </c>
      <c r="D20" s="26" t="s">
        <v>45</v>
      </c>
      <c r="E20" s="27">
        <v>45369</v>
      </c>
      <c r="F20" s="27" t="s">
        <v>74</v>
      </c>
      <c r="G20" s="28">
        <v>6</v>
      </c>
      <c r="H20" s="28">
        <v>49.99</v>
      </c>
      <c r="I20" s="25">
        <v>10</v>
      </c>
      <c r="J20" s="28">
        <v>299.94</v>
      </c>
      <c r="K20" s="25">
        <v>5</v>
      </c>
      <c r="L20" s="28">
        <v>284.94299999999998</v>
      </c>
      <c r="M20" s="49">
        <v>0</v>
      </c>
      <c r="N20" s="25" t="s">
        <v>28</v>
      </c>
      <c r="O20" s="25" t="s">
        <v>19</v>
      </c>
      <c r="P20" s="25" t="s">
        <v>30</v>
      </c>
      <c r="Q20" s="25" t="s">
        <v>31</v>
      </c>
      <c r="R20" s="25" t="s">
        <v>32</v>
      </c>
      <c r="S20" s="25">
        <v>20</v>
      </c>
      <c r="T20" s="25">
        <v>4</v>
      </c>
      <c r="U20" s="29" t="s">
        <v>43</v>
      </c>
    </row>
    <row r="25" spans="1:21" x14ac:dyDescent="0.35">
      <c r="D25" s="56" t="s">
        <v>2</v>
      </c>
      <c r="E25" s="56" t="s">
        <v>97</v>
      </c>
    </row>
    <row r="26" spans="1:21" x14ac:dyDescent="0.35">
      <c r="D26" s="55" t="str" cm="1">
        <f t="array" ref="D26:D32">_xlfn.UNIQUE(Table4[Product],FALSE,FALSE)</f>
        <v>Smartphone</v>
      </c>
      <c r="E26" s="55">
        <f>AVERAGE(_xlfn.XLOOKUP(D26,Table4[Product],Table4[Customer Feedback]))</f>
        <v>5</v>
      </c>
    </row>
    <row r="27" spans="1:21" x14ac:dyDescent="0.35">
      <c r="D27" s="55" t="str">
        <v>Printer</v>
      </c>
      <c r="E27" s="55">
        <f>AVERAGE(_xlfn.XLOOKUP(D27,Table4[Product],Table4[Customer Feedback]))</f>
        <v>5</v>
      </c>
    </row>
    <row r="28" spans="1:21" x14ac:dyDescent="0.35">
      <c r="D28" s="55" t="str">
        <v>Tablet</v>
      </c>
      <c r="E28" s="55">
        <f>AVERAGE(_xlfn.XLOOKUP(D28,Table4[Product],Table4[Customer Feedback]))</f>
        <v>5</v>
      </c>
    </row>
    <row r="29" spans="1:21" x14ac:dyDescent="0.35">
      <c r="D29" s="55" t="str">
        <v>Laptop</v>
      </c>
      <c r="E29" s="55">
        <f>AVERAGE(_xlfn.XLOOKUP(D29,Table4[Product],Table4[Customer Feedback]))</f>
        <v>3</v>
      </c>
    </row>
    <row r="30" spans="1:21" x14ac:dyDescent="0.35">
      <c r="D30" s="55" t="str">
        <v>Keyboard</v>
      </c>
      <c r="E30" s="55">
        <f>AVERAGE(_xlfn.XLOOKUP(D30,Table4[Product],Table4[Customer Feedback]))</f>
        <v>4</v>
      </c>
    </row>
    <row r="31" spans="1:21" x14ac:dyDescent="0.35">
      <c r="D31" s="55" t="str">
        <v>Mouse</v>
      </c>
      <c r="E31" s="55">
        <f>AVERAGE(_xlfn.XLOOKUP(D31,Table4[Product],Table4[Customer Feedback]))</f>
        <v>4</v>
      </c>
    </row>
    <row r="32" spans="1:21" x14ac:dyDescent="0.35">
      <c r="D32" s="55" t="str">
        <v>Monitor</v>
      </c>
      <c r="E32" s="55">
        <f>AVERAGE(_xlfn.XLOOKUP(D32,Table4[Product],Table4[Customer Feedback]))</f>
        <v>4</v>
      </c>
    </row>
  </sheetData>
  <conditionalFormatting sqref="E2:F20">
    <cfRule type="containsText" dxfId="25" priority="9" operator="containsText" text="Date unknown">
      <formula>NOT(ISERROR(SEARCH("Date unknown",E2)))</formula>
    </cfRule>
  </conditionalFormatting>
  <conditionalFormatting sqref="E3:F3">
    <cfRule type="cellIs" dxfId="24" priority="10" stopIfTrue="1" operator="equal">
      <formula>"Date unknown"</formula>
    </cfRule>
    <cfRule type="cellIs" dxfId="23" priority="11" operator="equal">
      <formula>"Date unknown"</formula>
    </cfRule>
  </conditionalFormatting>
  <conditionalFormatting sqref="H2:M20">
    <cfRule type="containsText" dxfId="22" priority="8" operator="containsText" text="Price unknown">
      <formula>NOT(ISERROR(SEARCH("Price unknown",H2)))</formula>
    </cfRule>
  </conditionalFormatting>
  <conditionalFormatting sqref="U2:U20">
    <cfRule type="containsText" dxfId="21" priority="5" operator="containsText" text="Delivered">
      <formula>NOT(ISERROR(SEARCH("Delivered",U2)))</formula>
    </cfRule>
    <cfRule type="containsText" dxfId="20" priority="6" operator="containsText" text="Returned">
      <formula>NOT(ISERROR(SEARCH("Returned",U2)))</formula>
    </cfRule>
    <cfRule type="containsText" dxfId="19" priority="7" operator="containsText" text="Cancelled">
      <formula>NOT(ISERROR(SEARCH("Cancelled",U2)))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2E08-5D35-43D3-A243-F553A6E259CC}">
  <dimension ref="A3:BI126"/>
  <sheetViews>
    <sheetView topLeftCell="A46" zoomScale="79" workbookViewId="0">
      <selection activeCell="B40" sqref="B40"/>
    </sheetView>
  </sheetViews>
  <sheetFormatPr defaultRowHeight="14.5" x14ac:dyDescent="0.35"/>
  <cols>
    <col min="1" max="1" width="19.6328125" bestFit="1" customWidth="1"/>
    <col min="2" max="2" width="47" bestFit="1" customWidth="1"/>
    <col min="3" max="3" width="22.1796875" bestFit="1" customWidth="1"/>
    <col min="4" max="4" width="47.453125" bestFit="1" customWidth="1"/>
    <col min="5" max="5" width="22.1796875" bestFit="1" customWidth="1"/>
    <col min="6" max="6" width="20.08984375" bestFit="1" customWidth="1"/>
    <col min="7" max="7" width="48.54296875" bestFit="1" customWidth="1"/>
    <col min="8" max="8" width="47.453125" bestFit="1" customWidth="1"/>
    <col min="9" max="9" width="12.90625" bestFit="1" customWidth="1"/>
    <col min="10" max="10" width="22.1796875" bestFit="1" customWidth="1"/>
  </cols>
  <sheetData>
    <row r="3" spans="1:3" x14ac:dyDescent="0.35">
      <c r="A3" s="10" t="s">
        <v>79</v>
      </c>
      <c r="B3" t="s">
        <v>98</v>
      </c>
      <c r="C3" t="s">
        <v>94</v>
      </c>
    </row>
    <row r="4" spans="1:3" x14ac:dyDescent="0.35">
      <c r="A4" s="11" t="s">
        <v>35</v>
      </c>
      <c r="B4" s="2">
        <v>10154.860500000001</v>
      </c>
      <c r="C4" s="2">
        <v>14</v>
      </c>
    </row>
    <row r="5" spans="1:3" x14ac:dyDescent="0.35">
      <c r="A5" s="17" t="s">
        <v>17</v>
      </c>
      <c r="B5" s="18">
        <v>8564.8335000000006</v>
      </c>
      <c r="C5" s="18">
        <v>28</v>
      </c>
    </row>
    <row r="6" spans="1:3" x14ac:dyDescent="0.35">
      <c r="A6" s="11" t="s">
        <v>25</v>
      </c>
      <c r="B6" s="2">
        <v>4299.84</v>
      </c>
      <c r="C6" s="2">
        <v>16</v>
      </c>
    </row>
    <row r="7" spans="1:3" x14ac:dyDescent="0.35">
      <c r="A7" s="11" t="s">
        <v>48</v>
      </c>
      <c r="B7" s="2">
        <v>479.952</v>
      </c>
      <c r="C7" s="2">
        <v>7</v>
      </c>
    </row>
    <row r="8" spans="1:3" x14ac:dyDescent="0.35">
      <c r="A8" s="11" t="s">
        <v>41</v>
      </c>
      <c r="B8" s="2">
        <v>142.47149999999999</v>
      </c>
      <c r="C8" s="2">
        <v>15</v>
      </c>
    </row>
    <row r="9" spans="1:3" x14ac:dyDescent="0.35">
      <c r="A9" s="17" t="s">
        <v>45</v>
      </c>
      <c r="B9" s="18">
        <v>0</v>
      </c>
      <c r="C9" s="18">
        <v>6</v>
      </c>
    </row>
    <row r="10" spans="1:3" x14ac:dyDescent="0.35">
      <c r="A10" s="17" t="s">
        <v>49</v>
      </c>
      <c r="B10" s="18">
        <v>0</v>
      </c>
      <c r="C10" s="18">
        <v>3</v>
      </c>
    </row>
    <row r="11" spans="1:3" x14ac:dyDescent="0.35">
      <c r="A11" s="11" t="s">
        <v>72</v>
      </c>
      <c r="B11" s="2">
        <v>23641.9575</v>
      </c>
      <c r="C11" s="2">
        <v>89</v>
      </c>
    </row>
    <row r="14" spans="1:3" x14ac:dyDescent="0.35">
      <c r="A14" s="16" t="s">
        <v>81</v>
      </c>
      <c r="B14" t="str">
        <f>A4</f>
        <v>Printer</v>
      </c>
    </row>
    <row r="15" spans="1:3" x14ac:dyDescent="0.35">
      <c r="A15" s="16" t="s">
        <v>80</v>
      </c>
      <c r="B15" t="str">
        <f xml:space="preserve"> A10 &amp; " &amp; " &amp; A9</f>
        <v>Mouse &amp; Monitor</v>
      </c>
    </row>
    <row r="23" spans="1:2" x14ac:dyDescent="0.35">
      <c r="A23" s="40" t="s">
        <v>95</v>
      </c>
      <c r="B23" s="3" t="s">
        <v>96</v>
      </c>
    </row>
    <row r="24" spans="1:2" x14ac:dyDescent="0.35">
      <c r="A24" s="41" t="s">
        <v>77</v>
      </c>
      <c r="B24" s="6">
        <v>20</v>
      </c>
    </row>
    <row r="25" spans="1:2" x14ac:dyDescent="0.35">
      <c r="A25" s="41" t="s">
        <v>73</v>
      </c>
      <c r="B25" s="6">
        <v>11</v>
      </c>
    </row>
    <row r="26" spans="1:2" x14ac:dyDescent="0.35">
      <c r="A26" s="41" t="s">
        <v>74</v>
      </c>
      <c r="B26" s="6">
        <v>9</v>
      </c>
    </row>
    <row r="27" spans="1:2" x14ac:dyDescent="0.35">
      <c r="A27" s="41" t="s">
        <v>76</v>
      </c>
      <c r="B27" s="6">
        <v>17</v>
      </c>
    </row>
    <row r="28" spans="1:2" x14ac:dyDescent="0.35">
      <c r="A28" s="41" t="s">
        <v>78</v>
      </c>
      <c r="B28" s="6">
        <v>9</v>
      </c>
    </row>
    <row r="29" spans="1:2" x14ac:dyDescent="0.35">
      <c r="A29" s="41" t="s">
        <v>75</v>
      </c>
      <c r="B29" s="6">
        <v>23</v>
      </c>
    </row>
    <row r="30" spans="1:2" x14ac:dyDescent="0.35">
      <c r="A30" s="11" t="s">
        <v>72</v>
      </c>
      <c r="B30" s="2">
        <v>89</v>
      </c>
    </row>
    <row r="44" spans="1:2" x14ac:dyDescent="0.35">
      <c r="A44" s="40" t="s">
        <v>9</v>
      </c>
      <c r="B44" s="3" t="s">
        <v>98</v>
      </c>
    </row>
    <row r="45" spans="1:2" x14ac:dyDescent="0.35">
      <c r="A45" s="41" t="s">
        <v>38</v>
      </c>
      <c r="B45" s="6">
        <v>13132.2845</v>
      </c>
    </row>
    <row r="46" spans="1:2" x14ac:dyDescent="0.35">
      <c r="A46" s="57" t="s">
        <v>42</v>
      </c>
      <c r="B46" s="6">
        <v>11654.870500000001</v>
      </c>
    </row>
    <row r="47" spans="1:2" x14ac:dyDescent="0.35">
      <c r="A47" s="57" t="s">
        <v>36</v>
      </c>
      <c r="B47" s="6">
        <v>997.46199999999999</v>
      </c>
    </row>
    <row r="48" spans="1:2" x14ac:dyDescent="0.35">
      <c r="A48" s="57" t="s">
        <v>18</v>
      </c>
      <c r="B48" s="6">
        <v>479.952</v>
      </c>
    </row>
    <row r="49" spans="1:2" x14ac:dyDescent="0.35">
      <c r="A49" s="41" t="s">
        <v>21</v>
      </c>
      <c r="B49" s="6">
        <v>9009.723</v>
      </c>
    </row>
    <row r="50" spans="1:2" x14ac:dyDescent="0.35">
      <c r="A50" s="57" t="s">
        <v>36</v>
      </c>
      <c r="B50" s="6">
        <v>4199.8999999999996</v>
      </c>
    </row>
    <row r="51" spans="1:2" x14ac:dyDescent="0.35">
      <c r="A51" s="57" t="s">
        <v>28</v>
      </c>
      <c r="B51" s="6">
        <v>2999.9</v>
      </c>
    </row>
    <row r="52" spans="1:2" x14ac:dyDescent="0.35">
      <c r="A52" s="57" t="s">
        <v>18</v>
      </c>
      <c r="B52" s="6">
        <v>1809.9230000000002</v>
      </c>
    </row>
    <row r="53" spans="1:2" x14ac:dyDescent="0.35">
      <c r="A53" s="57" t="s">
        <v>42</v>
      </c>
      <c r="B53" s="6">
        <v>0</v>
      </c>
    </row>
    <row r="54" spans="1:2" x14ac:dyDescent="0.35">
      <c r="A54" s="41" t="s">
        <v>31</v>
      </c>
      <c r="B54" s="6">
        <v>1499.95</v>
      </c>
    </row>
    <row r="55" spans="1:2" x14ac:dyDescent="0.35">
      <c r="A55" s="57" t="s">
        <v>28</v>
      </c>
      <c r="B55" s="6">
        <v>1499.95</v>
      </c>
    </row>
    <row r="56" spans="1:2" x14ac:dyDescent="0.35">
      <c r="A56" s="57" t="s">
        <v>36</v>
      </c>
      <c r="B56" s="6">
        <v>0</v>
      </c>
    </row>
    <row r="57" spans="1:2" x14ac:dyDescent="0.35">
      <c r="A57" s="57" t="s">
        <v>42</v>
      </c>
      <c r="B57" s="6">
        <v>0</v>
      </c>
    </row>
    <row r="58" spans="1:2" x14ac:dyDescent="0.35">
      <c r="A58" s="41" t="s">
        <v>72</v>
      </c>
      <c r="B58" s="6">
        <v>23641.9575</v>
      </c>
    </row>
    <row r="60" spans="1:2" x14ac:dyDescent="0.35">
      <c r="A60" s="19" t="s">
        <v>82</v>
      </c>
      <c r="B60" s="16" t="str">
        <f xml:space="preserve"> A45 &amp; " &amp; " &amp; A46 &amp; " region"</f>
        <v>SMB &amp; North region</v>
      </c>
    </row>
    <row r="119" spans="60:61" x14ac:dyDescent="0.35">
      <c r="BH119" s="50" t="s">
        <v>79</v>
      </c>
      <c r="BI119" s="50" t="s">
        <v>93</v>
      </c>
    </row>
    <row r="120" spans="60:61" x14ac:dyDescent="0.35">
      <c r="BH120" s="51" t="s">
        <v>35</v>
      </c>
      <c r="BI120" s="52">
        <v>10154.860500000001</v>
      </c>
    </row>
    <row r="121" spans="60:61" x14ac:dyDescent="0.35">
      <c r="BH121" s="53" t="s">
        <v>17</v>
      </c>
      <c r="BI121" s="54">
        <v>8564.8335000000006</v>
      </c>
    </row>
    <row r="122" spans="60:61" x14ac:dyDescent="0.35">
      <c r="BH122" s="51" t="s">
        <v>25</v>
      </c>
      <c r="BI122" s="52">
        <v>4299.84</v>
      </c>
    </row>
    <row r="123" spans="60:61" x14ac:dyDescent="0.35">
      <c r="BH123" s="51" t="s">
        <v>48</v>
      </c>
      <c r="BI123" s="52">
        <v>479.952</v>
      </c>
    </row>
    <row r="124" spans="60:61" x14ac:dyDescent="0.35">
      <c r="BH124" s="51" t="s">
        <v>41</v>
      </c>
      <c r="BI124" s="52">
        <v>142.47149999999999</v>
      </c>
    </row>
    <row r="125" spans="60:61" x14ac:dyDescent="0.35">
      <c r="BH125" s="53" t="s">
        <v>45</v>
      </c>
      <c r="BI125" s="54">
        <v>0</v>
      </c>
    </row>
    <row r="126" spans="60:61" x14ac:dyDescent="0.35">
      <c r="BH126" s="53" t="s">
        <v>49</v>
      </c>
      <c r="BI126" s="54">
        <v>0</v>
      </c>
    </row>
  </sheetData>
  <pageMargins left="0.7" right="0.7" top="0.75" bottom="0.75" header="0.3" footer="0.3"/>
  <pageSetup orientation="portrait" r:id="rId4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AF32-46E3-4F68-912A-919DE7AEC569}">
  <dimension ref="A1:O20"/>
  <sheetViews>
    <sheetView tabSelected="1" zoomScale="85" workbookViewId="0">
      <selection activeCell="K16" sqref="K16"/>
    </sheetView>
  </sheetViews>
  <sheetFormatPr defaultRowHeight="14.5" x14ac:dyDescent="0.35"/>
  <cols>
    <col min="1" max="1" width="13" bestFit="1" customWidth="1"/>
    <col min="2" max="3" width="13" customWidth="1"/>
    <col min="4" max="4" width="14.54296875" customWidth="1"/>
    <col min="5" max="5" width="13.36328125" customWidth="1"/>
    <col min="6" max="6" width="21.6328125" style="2" customWidth="1"/>
    <col min="7" max="7" width="12.453125" customWidth="1"/>
    <col min="8" max="8" width="13.7265625" bestFit="1" customWidth="1"/>
    <col min="9" max="9" width="17.1796875" bestFit="1" customWidth="1"/>
    <col min="10" max="10" width="15.26953125" bestFit="1" customWidth="1"/>
    <col min="11" max="11" width="12.36328125" bestFit="1" customWidth="1"/>
    <col min="12" max="12" width="16.81640625" bestFit="1" customWidth="1"/>
    <col min="13" max="13" width="15.453125" bestFit="1" customWidth="1"/>
    <col min="14" max="14" width="67.6328125" bestFit="1" customWidth="1"/>
  </cols>
  <sheetData>
    <row r="1" spans="1:15" x14ac:dyDescent="0.35">
      <c r="A1" s="36" t="s">
        <v>2</v>
      </c>
      <c r="B1" s="36" t="s">
        <v>7</v>
      </c>
      <c r="C1" s="37" t="s">
        <v>84</v>
      </c>
      <c r="D1" s="37" t="s">
        <v>85</v>
      </c>
      <c r="E1" s="37" t="s">
        <v>11</v>
      </c>
      <c r="F1" s="37" t="s">
        <v>86</v>
      </c>
      <c r="G1" s="36" t="s">
        <v>83</v>
      </c>
      <c r="H1" s="37" t="s">
        <v>15</v>
      </c>
      <c r="I1" s="37" t="s">
        <v>87</v>
      </c>
    </row>
    <row r="2" spans="1:15" x14ac:dyDescent="0.35">
      <c r="A2" s="30" t="str">
        <f>Table4[[#This Row],[Product]]</f>
        <v>Smartphone</v>
      </c>
      <c r="B2" s="30" t="str">
        <f>Table4[[#This Row],[Category]]</f>
        <v>Electronics</v>
      </c>
      <c r="C2" s="31">
        <f>Table4[[#This Row],[Quantity Ordered]]</f>
        <v>5</v>
      </c>
      <c r="D2" s="31">
        <f>Table4[[#This Row],[Price Each]]</f>
        <v>199.99</v>
      </c>
      <c r="E2" s="31">
        <f>Table4[[#This Row],[Discount (%)]]</f>
        <v>0</v>
      </c>
      <c r="F2" s="31">
        <f>Table4[[#This Row],[Profit Margin (%)]]</f>
        <v>25</v>
      </c>
      <c r="G2" s="34">
        <f>'Profitability Ananlysis'!$C2*'Profitability Ananlysis'!$D2* (1-'Profitability Ananlysis'!$E2/100) *'Profitability Ananlysis'!$F2/100</f>
        <v>249.98750000000001</v>
      </c>
      <c r="H2" s="39" t="str">
        <f>Table4[[#This Row],[Order Status]]</f>
        <v>Cancelled</v>
      </c>
      <c r="I2" s="39">
        <v>0</v>
      </c>
    </row>
    <row r="3" spans="1:15" x14ac:dyDescent="0.35">
      <c r="A3" s="32" t="str">
        <f>Table4[[#This Row],[Product]]</f>
        <v>Printer</v>
      </c>
      <c r="B3" s="32" t="str">
        <f>Table4[[#This Row],[Category]]</f>
        <v>Accessories</v>
      </c>
      <c r="C3" s="33">
        <f>Table4[[#This Row],[Quantity Ordered]]</f>
        <v>2</v>
      </c>
      <c r="D3" s="33">
        <f>Table4[[#This Row],[Price Each]]</f>
        <v>899.99</v>
      </c>
      <c r="E3" s="33">
        <f>Table4[[#This Row],[Discount (%)]]</f>
        <v>0</v>
      </c>
      <c r="F3" s="33">
        <f>Table4[[#This Row],[Profit Margin (%)]]</f>
        <v>30</v>
      </c>
      <c r="G3" s="35">
        <f>'Profitability Ananlysis'!$C3*'Profitability Ananlysis'!$D3* (1-'Profitability Ananlysis'!$E3/100) *'Profitability Ananlysis'!$F3/100</f>
        <v>539.99400000000003</v>
      </c>
      <c r="H3" s="39" t="str">
        <f>Table4[[#This Row],[Order Status]]</f>
        <v>Delivered</v>
      </c>
      <c r="I3" s="39">
        <f>Table3[[#This Row],[Net Income]]</f>
        <v>539.99400000000003</v>
      </c>
      <c r="K3" s="40" t="s">
        <v>7</v>
      </c>
      <c r="L3" s="3" t="s">
        <v>88</v>
      </c>
      <c r="M3" s="3" t="s">
        <v>89</v>
      </c>
    </row>
    <row r="4" spans="1:15" x14ac:dyDescent="0.35">
      <c r="A4" s="30" t="str">
        <f>Table4[[#This Row],[Product]]</f>
        <v>Printer</v>
      </c>
      <c r="B4" s="30" t="str">
        <f>Table4[[#This Row],[Category]]</f>
        <v>Accessories</v>
      </c>
      <c r="C4" s="31">
        <f>Table4[[#This Row],[Quantity Ordered]]</f>
        <v>4</v>
      </c>
      <c r="D4" s="31">
        <f>Table4[[#This Row],[Price Each]]</f>
        <v>299.99</v>
      </c>
      <c r="E4" s="31">
        <f>Table4[[#This Row],[Discount (%)]]</f>
        <v>0</v>
      </c>
      <c r="F4" s="31">
        <f>Table4[[#This Row],[Profit Margin (%)]]</f>
        <v>30</v>
      </c>
      <c r="G4" s="34">
        <f>'Profitability Ananlysis'!$C4*'Profitability Ananlysis'!$D4* (1-'Profitability Ananlysis'!$E4/100) *'Profitability Ananlysis'!$F4/100</f>
        <v>359.98800000000006</v>
      </c>
      <c r="H4" s="39" t="str">
        <f>Table4[[#This Row],[Order Status]]</f>
        <v>Delivered</v>
      </c>
      <c r="I4" s="39">
        <f>Table3[[#This Row],[Net Income]]</f>
        <v>359.98800000000006</v>
      </c>
      <c r="K4" s="42" t="s">
        <v>29</v>
      </c>
      <c r="L4" s="43">
        <v>3740.4955650000006</v>
      </c>
      <c r="M4" s="43">
        <v>3712.8260100000007</v>
      </c>
      <c r="N4" s="38" t="s">
        <v>91</v>
      </c>
    </row>
    <row r="5" spans="1:15" x14ac:dyDescent="0.35">
      <c r="A5" s="32" t="str">
        <f>Table4[[#This Row],[Product]]</f>
        <v>Tablet</v>
      </c>
      <c r="B5" s="32" t="str">
        <f>Table4[[#This Row],[Category]]</f>
        <v>Accessories</v>
      </c>
      <c r="C5" s="33">
        <f>Table4[[#This Row],[Quantity Ordered]]</f>
        <v>5</v>
      </c>
      <c r="D5" s="33">
        <f>Table4[[#This Row],[Price Each]]</f>
        <v>199.99</v>
      </c>
      <c r="E5" s="33">
        <f>Table4[[#This Row],[Discount (%)]]</f>
        <v>0</v>
      </c>
      <c r="F5" s="33">
        <f>Table4[[#This Row],[Profit Margin (%)]]</f>
        <v>25</v>
      </c>
      <c r="G5" s="35">
        <f>'Profitability Ananlysis'!$C5*'Profitability Ananlysis'!$D5* (1-'Profitability Ananlysis'!$E5/100) *'Profitability Ananlysis'!$F5/100</f>
        <v>249.98750000000001</v>
      </c>
      <c r="H5" s="39" t="str">
        <f>Table4[[#This Row],[Order Status]]</f>
        <v>Delivered</v>
      </c>
      <c r="I5" s="39">
        <f>Table3[[#This Row],[Net Income]]</f>
        <v>249.98750000000001</v>
      </c>
      <c r="K5" s="46" t="s">
        <v>19</v>
      </c>
      <c r="L5" s="47">
        <v>3909.3560300000004</v>
      </c>
      <c r="M5" s="47">
        <v>2842.6619050000004</v>
      </c>
      <c r="N5" s="44" t="s">
        <v>90</v>
      </c>
      <c r="O5" s="45">
        <f>GETPIVOTDATA(" Net Income before cancellation/return",$K$3,"Category","Electronics")-GETPIVOTDATA("Final Net Income.",$K$3,"Category","Electronics")</f>
        <v>1066.694125</v>
      </c>
    </row>
    <row r="6" spans="1:15" x14ac:dyDescent="0.35">
      <c r="A6" s="30" t="str">
        <f>Table4[[#This Row],[Product]]</f>
        <v>Printer</v>
      </c>
      <c r="B6" s="30" t="str">
        <f>Table4[[#This Row],[Category]]</f>
        <v>Accessories</v>
      </c>
      <c r="C6" s="31">
        <f>Table4[[#This Row],[Quantity Ordered]]</f>
        <v>1</v>
      </c>
      <c r="D6" s="31">
        <f>Table4[[#This Row],[Price Each]]</f>
        <v>899.99</v>
      </c>
      <c r="E6" s="31">
        <f>Table4[[#This Row],[Discount (%)]]</f>
        <v>5</v>
      </c>
      <c r="F6" s="31">
        <f>Table4[[#This Row],[Profit Margin (%)]]</f>
        <v>30</v>
      </c>
      <c r="G6" s="34">
        <f>'Profitability Ananlysis'!$C6*'Profitability Ananlysis'!$D6* (1-'Profitability Ananlysis'!$E6/100) *'Profitability Ananlysis'!$F6/100</f>
        <v>256.49714999999998</v>
      </c>
      <c r="H6" s="39" t="str">
        <f>Table4[[#This Row],[Order Status]]</f>
        <v>Delivered</v>
      </c>
      <c r="I6" s="39">
        <f>Table3[[#This Row],[Net Income]]</f>
        <v>256.49714999999998</v>
      </c>
      <c r="K6" s="41" t="s">
        <v>72</v>
      </c>
      <c r="L6" s="6">
        <v>7649.851595000001</v>
      </c>
      <c r="M6" s="6">
        <v>6555.4879150000015</v>
      </c>
    </row>
    <row r="7" spans="1:15" x14ac:dyDescent="0.35">
      <c r="A7" s="32" t="str">
        <f>Table4[[#This Row],[Product]]</f>
        <v>Smartphone</v>
      </c>
      <c r="B7" s="32" t="str">
        <f>Table4[[#This Row],[Category]]</f>
        <v>Electronics</v>
      </c>
      <c r="C7" s="33">
        <f>Table4[[#This Row],[Quantity Ordered]]</f>
        <v>7</v>
      </c>
      <c r="D7" s="33">
        <f>Table4[[#This Row],[Price Each]]</f>
        <v>99.99</v>
      </c>
      <c r="E7" s="33">
        <f>Table4[[#This Row],[Discount (%)]]</f>
        <v>5</v>
      </c>
      <c r="F7" s="33">
        <f>Table4[[#This Row],[Profit Margin (%)]]</f>
        <v>15</v>
      </c>
      <c r="G7" s="35">
        <f>'Profitability Ananlysis'!$C7*'Profitability Ananlysis'!$D7* (1-'Profitability Ananlysis'!$E7/100) *'Profitability Ananlysis'!$F7/100</f>
        <v>99.740024999999989</v>
      </c>
      <c r="H7" s="39" t="str">
        <f>Table4[[#This Row],[Order Status]]</f>
        <v>Returned</v>
      </c>
      <c r="I7" s="39">
        <v>0</v>
      </c>
    </row>
    <row r="8" spans="1:15" x14ac:dyDescent="0.35">
      <c r="A8" s="30" t="str">
        <f>Table4[[#This Row],[Product]]</f>
        <v>Printer</v>
      </c>
      <c r="B8" s="30" t="str">
        <f>Table4[[#This Row],[Category]]</f>
        <v>Accessories</v>
      </c>
      <c r="C8" s="31">
        <f>Table4[[#This Row],[Quantity Ordered]]</f>
        <v>7</v>
      </c>
      <c r="D8" s="31">
        <f>Table4[[#This Row],[Price Each]]</f>
        <v>899.99</v>
      </c>
      <c r="E8" s="31">
        <f>Table4[[#This Row],[Discount (%)]]</f>
        <v>0</v>
      </c>
      <c r="F8" s="31">
        <f>Table4[[#This Row],[Profit Margin (%)]]</f>
        <v>30</v>
      </c>
      <c r="G8" s="34">
        <f>'Profitability Ananlysis'!$C8*'Profitability Ananlysis'!$D8* (1-'Profitability Ananlysis'!$E8/100) *'Profitability Ananlysis'!$F8/100</f>
        <v>1889.9790000000003</v>
      </c>
      <c r="H8" s="39" t="str">
        <f>Table4[[#This Row],[Order Status]]</f>
        <v>Delivered</v>
      </c>
      <c r="I8" s="39">
        <f>Table3[[#This Row],[Net Income]]</f>
        <v>1889.9790000000003</v>
      </c>
    </row>
    <row r="9" spans="1:15" x14ac:dyDescent="0.35">
      <c r="A9" s="32" t="str">
        <f>Table4[[#This Row],[Product]]</f>
        <v>Laptop</v>
      </c>
      <c r="B9" s="32" t="str">
        <f>Table4[[#This Row],[Category]]</f>
        <v>Electronics</v>
      </c>
      <c r="C9" s="33">
        <f>Table4[[#This Row],[Quantity Ordered]]</f>
        <v>7</v>
      </c>
      <c r="D9" s="33">
        <f>Table4[[#This Row],[Price Each]]</f>
        <v>899.99</v>
      </c>
      <c r="E9" s="33">
        <f>Table4[[#This Row],[Discount (%)]]</f>
        <v>15</v>
      </c>
      <c r="F9" s="33">
        <f>Table4[[#This Row],[Profit Margin (%)]]</f>
        <v>30</v>
      </c>
      <c r="G9" s="35">
        <f>'Profitability Ananlysis'!$C9*'Profitability Ananlysis'!$D9* (1-'Profitability Ananlysis'!$E9/100) *'Profitability Ananlysis'!$F9/100</f>
        <v>1606.48215</v>
      </c>
      <c r="H9" s="39" t="str">
        <f>Table4[[#This Row],[Order Status]]</f>
        <v>Delivered</v>
      </c>
      <c r="I9" s="39">
        <f>Table3[[#This Row],[Net Income]]</f>
        <v>1606.48215</v>
      </c>
    </row>
    <row r="10" spans="1:15" x14ac:dyDescent="0.35">
      <c r="A10" s="30" t="str">
        <f>Table4[[#This Row],[Product]]</f>
        <v>Smartphone</v>
      </c>
      <c r="B10" s="30" t="str">
        <f>Table4[[#This Row],[Category]]</f>
        <v>Electronics</v>
      </c>
      <c r="C10" s="31">
        <f>Table4[[#This Row],[Quantity Ordered]]</f>
        <v>3</v>
      </c>
      <c r="D10" s="31">
        <f>Table4[[#This Row],[Price Each]]</f>
        <v>49.99</v>
      </c>
      <c r="E10" s="31">
        <f>Table4[[#This Row],[Discount (%)]]</f>
        <v>5</v>
      </c>
      <c r="F10" s="31">
        <f>Table4[[#This Row],[Profit Margin (%)]]</f>
        <v>17</v>
      </c>
      <c r="G10" s="34">
        <f>'Profitability Ananlysis'!$C10*'Profitability Ananlysis'!$D10* (1-'Profitability Ananlysis'!$E10/100) *'Profitability Ananlysis'!$F10/100</f>
        <v>24.220154999999998</v>
      </c>
      <c r="H10" s="39" t="str">
        <f>Table4[[#This Row],[Order Status]]</f>
        <v>Delivered</v>
      </c>
      <c r="I10" s="39">
        <f>Table3[[#This Row],[Net Income]]</f>
        <v>24.220154999999998</v>
      </c>
    </row>
    <row r="11" spans="1:15" x14ac:dyDescent="0.35">
      <c r="A11" s="32" t="str">
        <f>Table4[[#This Row],[Product]]</f>
        <v>Laptop</v>
      </c>
      <c r="B11" s="32" t="str">
        <f>Table4[[#This Row],[Category]]</f>
        <v>Electronics</v>
      </c>
      <c r="C11" s="33">
        <f>Table4[[#This Row],[Quantity Ordered]]</f>
        <v>3</v>
      </c>
      <c r="D11" s="33">
        <f>Table4[[#This Row],[Price Each]]</f>
        <v>299.99</v>
      </c>
      <c r="E11" s="33">
        <f>Table4[[#This Row],[Discount (%)]]</f>
        <v>10</v>
      </c>
      <c r="F11" s="33">
        <f>Table4[[#This Row],[Profit Margin (%)]]</f>
        <v>20</v>
      </c>
      <c r="G11" s="35">
        <f>'Profitability Ananlysis'!$C11*'Profitability Ananlysis'!$D11* (1-'Profitability Ananlysis'!$E11/100) *'Profitability Ananlysis'!$F11/100</f>
        <v>161.99460000000002</v>
      </c>
      <c r="H11" s="39" t="str">
        <f>Table4[[#This Row],[Order Status]]</f>
        <v>Delivered</v>
      </c>
      <c r="I11" s="39">
        <f>Table3[[#This Row],[Net Income]]</f>
        <v>161.99460000000002</v>
      </c>
    </row>
    <row r="12" spans="1:15" x14ac:dyDescent="0.35">
      <c r="A12" s="30" t="str">
        <f>Table4[[#This Row],[Product]]</f>
        <v>Laptop</v>
      </c>
      <c r="B12" s="30" t="str">
        <f>Table4[[#This Row],[Category]]</f>
        <v>Electronics</v>
      </c>
      <c r="C12" s="31">
        <f>Table4[[#This Row],[Quantity Ordered]]</f>
        <v>8</v>
      </c>
      <c r="D12" s="31">
        <f>Table4[[#This Row],[Price Each]]</f>
        <v>299.99</v>
      </c>
      <c r="E12" s="31">
        <f>Table4[[#This Row],[Discount (%)]]</f>
        <v>0</v>
      </c>
      <c r="F12" s="31">
        <f>Table4[[#This Row],[Profit Margin (%)]]</f>
        <v>25</v>
      </c>
      <c r="G12" s="34">
        <f>'Profitability Ananlysis'!$C12*'Profitability Ananlysis'!$D12* (1-'Profitability Ananlysis'!$E12/100) *'Profitability Ananlysis'!$F12/100</f>
        <v>599.98</v>
      </c>
      <c r="H12" s="39" t="str">
        <f>Table4[[#This Row],[Order Status]]</f>
        <v>Delivered</v>
      </c>
      <c r="I12" s="39">
        <f>Table3[[#This Row],[Net Income]]</f>
        <v>599.98</v>
      </c>
    </row>
    <row r="13" spans="1:15" x14ac:dyDescent="0.35">
      <c r="A13" s="32" t="str">
        <f>Table4[[#This Row],[Product]]</f>
        <v>Tablet</v>
      </c>
      <c r="B13" s="32" t="str">
        <f>Table4[[#This Row],[Category]]</f>
        <v>Electronics</v>
      </c>
      <c r="C13" s="33">
        <f>Table4[[#This Row],[Quantity Ordered]]</f>
        <v>6</v>
      </c>
      <c r="D13" s="33">
        <f>Table4[[#This Row],[Price Each]]</f>
        <v>299.99</v>
      </c>
      <c r="E13" s="33">
        <f>Table4[[#This Row],[Discount (%)]]</f>
        <v>0</v>
      </c>
      <c r="F13" s="33">
        <f>Table4[[#This Row],[Profit Margin (%)]]</f>
        <v>25</v>
      </c>
      <c r="G13" s="35">
        <f>'Profitability Ananlysis'!$C13*'Profitability Ananlysis'!$D13* (1-'Profitability Ananlysis'!$E13/100) *'Profitability Ananlysis'!$F13/100</f>
        <v>449.98500000000001</v>
      </c>
      <c r="H13" s="39" t="str">
        <f>Table4[[#This Row],[Order Status]]</f>
        <v>Delivered</v>
      </c>
      <c r="I13" s="39">
        <f>Table3[[#This Row],[Net Income]]</f>
        <v>449.98500000000001</v>
      </c>
    </row>
    <row r="14" spans="1:15" x14ac:dyDescent="0.35">
      <c r="A14" s="30" t="str">
        <f>Table4[[#This Row],[Product]]</f>
        <v>Keyboard</v>
      </c>
      <c r="B14" s="30" t="str">
        <f>Table4[[#This Row],[Category]]</f>
        <v>Accessories</v>
      </c>
      <c r="C14" s="31">
        <f>Table4[[#This Row],[Quantity Ordered]]</f>
        <v>1</v>
      </c>
      <c r="D14" s="31">
        <f>Table4[[#This Row],[Price Each]]</f>
        <v>99.99</v>
      </c>
      <c r="E14" s="31">
        <f>Table4[[#This Row],[Discount (%)]]</f>
        <v>10</v>
      </c>
      <c r="F14" s="31">
        <f>Table4[[#This Row],[Profit Margin (%)]]</f>
        <v>18</v>
      </c>
      <c r="G14" s="34">
        <f>'Profitability Ananlysis'!$C14*'Profitability Ananlysis'!$D14* (1-'Profitability Ananlysis'!$E14/100) *'Profitability Ananlysis'!$F14/100</f>
        <v>16.19838</v>
      </c>
      <c r="H14" s="39" t="str">
        <f>Table4[[#This Row],[Order Status]]</f>
        <v>Returned</v>
      </c>
      <c r="I14" s="39">
        <v>0</v>
      </c>
    </row>
    <row r="15" spans="1:15" x14ac:dyDescent="0.35">
      <c r="A15" s="32" t="str">
        <f>Table4[[#This Row],[Product]]</f>
        <v>Mouse</v>
      </c>
      <c r="B15" s="32" t="str">
        <f>Table4[[#This Row],[Category]]</f>
        <v>Accessories</v>
      </c>
      <c r="C15" s="33">
        <f>Table4[[#This Row],[Quantity Ordered]]</f>
        <v>3</v>
      </c>
      <c r="D15" s="33">
        <f>Table4[[#This Row],[Price Each]]</f>
        <v>29.99</v>
      </c>
      <c r="E15" s="33">
        <f>Table4[[#This Row],[Discount (%)]]</f>
        <v>15</v>
      </c>
      <c r="F15" s="33">
        <f>Table4[[#This Row],[Profit Margin (%)]]</f>
        <v>15</v>
      </c>
      <c r="G15" s="35">
        <f>'Profitability Ananlysis'!$C15*'Profitability Ananlysis'!$D15* (1-'Profitability Ananlysis'!$E15/100) *'Profitability Ananlysis'!$F15/100</f>
        <v>11.471174999999999</v>
      </c>
      <c r="H15" s="39" t="str">
        <f>Table4[[#This Row],[Order Status]]</f>
        <v>Returned</v>
      </c>
      <c r="I15" s="39">
        <v>0</v>
      </c>
    </row>
    <row r="16" spans="1:15" x14ac:dyDescent="0.35">
      <c r="A16" s="30" t="str">
        <f>Table4[[#This Row],[Product]]</f>
        <v>Tablet</v>
      </c>
      <c r="B16" s="30" t="str">
        <f>Table4[[#This Row],[Category]]</f>
        <v>Accessories</v>
      </c>
      <c r="C16" s="31">
        <f>Table4[[#This Row],[Quantity Ordered]]</f>
        <v>5</v>
      </c>
      <c r="D16" s="31">
        <f>Table4[[#This Row],[Price Each]]</f>
        <v>299.99</v>
      </c>
      <c r="E16" s="31">
        <f>Table4[[#This Row],[Discount (%)]]</f>
        <v>0</v>
      </c>
      <c r="F16" s="31">
        <f>Table4[[#This Row],[Profit Margin (%)]]</f>
        <v>22</v>
      </c>
      <c r="G16" s="34">
        <f>'Profitability Ananlysis'!$C16*'Profitability Ananlysis'!$D16* (1-'Profitability Ananlysis'!$E16/100) *'Profitability Ananlysis'!$F16/100</f>
        <v>329.98900000000003</v>
      </c>
      <c r="H16" s="39" t="str">
        <f>Table4[[#This Row],[Order Status]]</f>
        <v>Delivered</v>
      </c>
      <c r="I16" s="39">
        <f>Table3[[#This Row],[Net Income]]</f>
        <v>329.98900000000003</v>
      </c>
    </row>
    <row r="17" spans="1:9" x14ac:dyDescent="0.35">
      <c r="A17" s="32" t="str">
        <f>Table4[[#This Row],[Product]]</f>
        <v>Keyboard</v>
      </c>
      <c r="B17" s="32" t="str">
        <f>Table4[[#This Row],[Category]]</f>
        <v>Accessories</v>
      </c>
      <c r="C17" s="33">
        <f>Table4[[#This Row],[Quantity Ordered]]</f>
        <v>6</v>
      </c>
      <c r="D17" s="33">
        <f>Table4[[#This Row],[Price Each]]</f>
        <v>99.99</v>
      </c>
      <c r="E17" s="33">
        <f>Table4[[#This Row],[Discount (%)]]</f>
        <v>20</v>
      </c>
      <c r="F17" s="33">
        <f>Table4[[#This Row],[Profit Margin (%)]]</f>
        <v>18</v>
      </c>
      <c r="G17" s="35">
        <f>'Profitability Ananlysis'!$C17*'Profitability Ananlysis'!$D17* (1-'Profitability Ananlysis'!$E17/100) *'Profitability Ananlysis'!$F17/100</f>
        <v>86.391360000000006</v>
      </c>
      <c r="H17" s="39" t="str">
        <f>Table4[[#This Row],[Order Status]]</f>
        <v>Delivered</v>
      </c>
      <c r="I17" s="39">
        <f>Table3[[#This Row],[Net Income]]</f>
        <v>86.391360000000006</v>
      </c>
    </row>
    <row r="18" spans="1:9" x14ac:dyDescent="0.35">
      <c r="A18" s="30" t="str">
        <f>Table4[[#This Row],[Product]]</f>
        <v>Laptop</v>
      </c>
      <c r="B18" s="30" t="str">
        <f>Table4[[#This Row],[Category]]</f>
        <v>Electronics</v>
      </c>
      <c r="C18" s="31">
        <f>Table4[[#This Row],[Quantity Ordered]]</f>
        <v>1</v>
      </c>
      <c r="D18" s="31">
        <f>Table4[[#This Row],[Price Each]]</f>
        <v>299.99</v>
      </c>
      <c r="E18" s="31">
        <f>Table4[[#This Row],[Discount (%)]]</f>
        <v>0</v>
      </c>
      <c r="F18" s="31">
        <f>Table4[[#This Row],[Profit Margin (%)]]</f>
        <v>22</v>
      </c>
      <c r="G18" s="34">
        <f>'Profitability Ananlysis'!$C18*'Profitability Ananlysis'!$D18* (1-'Profitability Ananlysis'!$E18/100) *'Profitability Ananlysis'!$F18/100</f>
        <v>65.997800000000012</v>
      </c>
      <c r="H18" s="39" t="str">
        <f>Table4[[#This Row],[Order Status]]</f>
        <v>Cancelled</v>
      </c>
      <c r="I18" s="39">
        <v>0</v>
      </c>
    </row>
    <row r="19" spans="1:9" x14ac:dyDescent="0.35">
      <c r="A19" s="32" t="str">
        <f>Table4[[#This Row],[Product]]</f>
        <v>Laptop</v>
      </c>
      <c r="B19" s="32" t="str">
        <f>Table4[[#This Row],[Category]]</f>
        <v>Electronics</v>
      </c>
      <c r="C19" s="33">
        <f>Table4[[#This Row],[Quantity Ordered]]</f>
        <v>9</v>
      </c>
      <c r="D19" s="33">
        <f>Table4[[#This Row],[Price Each]]</f>
        <v>299.99</v>
      </c>
      <c r="E19" s="33">
        <f>Table4[[#This Row],[Discount (%)]]</f>
        <v>0</v>
      </c>
      <c r="F19" s="33">
        <f>Table4[[#This Row],[Profit Margin (%)]]</f>
        <v>22</v>
      </c>
      <c r="G19" s="35">
        <f>'Profitability Ananlysis'!$C19*'Profitability Ananlysis'!$D19* (1-'Profitability Ananlysis'!$E19/100) *'Profitability Ananlysis'!$F19/100</f>
        <v>593.98019999999997</v>
      </c>
      <c r="H19" s="39" t="str">
        <f>Table4[[#This Row],[Order Status]]</f>
        <v>Cancelled</v>
      </c>
      <c r="I19" s="39">
        <v>0</v>
      </c>
    </row>
    <row r="20" spans="1:9" x14ac:dyDescent="0.35">
      <c r="A20" s="30" t="str">
        <f>Table4[[#This Row],[Product]]</f>
        <v>Monitor</v>
      </c>
      <c r="B20" s="30" t="str">
        <f>Table4[[#This Row],[Category]]</f>
        <v>Electronics</v>
      </c>
      <c r="C20" s="31">
        <f>Table4[[#This Row],[Quantity Ordered]]</f>
        <v>6</v>
      </c>
      <c r="D20" s="31">
        <f>Table4[[#This Row],[Price Each]]</f>
        <v>49.99</v>
      </c>
      <c r="E20" s="31">
        <f>Table4[[#This Row],[Discount (%)]]</f>
        <v>5</v>
      </c>
      <c r="F20" s="31">
        <f>Table4[[#This Row],[Profit Margin (%)]]</f>
        <v>20</v>
      </c>
      <c r="G20" s="34">
        <f>'Profitability Ananlysis'!$C20*'Profitability Ananlysis'!$D20* (1-'Profitability Ananlysis'!$E20/100) *'Profitability Ananlysis'!$F20/100</f>
        <v>56.988599999999998</v>
      </c>
      <c r="H20" s="39" t="str">
        <f>Table4[[#This Row],[Order Status]]</f>
        <v>Cancelled</v>
      </c>
      <c r="I20" s="39">
        <v>0</v>
      </c>
    </row>
  </sheetData>
  <conditionalFormatting sqref="H2:H20">
    <cfRule type="containsText" dxfId="18" priority="1" operator="containsText" text="Returned">
      <formula>NOT(ISERROR(SEARCH("Returned",H2)))</formula>
    </cfRule>
    <cfRule type="containsText" dxfId="17" priority="2" operator="containsText" text="Delivered">
      <formula>NOT(ISERROR(SEARCH("Delivered",H2)))</formula>
    </cfRule>
    <cfRule type="containsText" dxfId="16" priority="3" operator="containsText" text="Cancelled">
      <formula>NOT(ISERROR(SEARCH("Cancelled",H2)))</formula>
    </cfRule>
  </conditionalFormatting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Main data</vt:lpstr>
      <vt:lpstr>Data without missing values</vt:lpstr>
      <vt:lpstr>Sales analysis</vt:lpstr>
      <vt:lpstr>Profitability Ananlysis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Ashirova - GT AZ</dc:creator>
  <cp:lastModifiedBy>Sabina Ashirova</cp:lastModifiedBy>
  <dcterms:created xsi:type="dcterms:W3CDTF">2015-06-05T18:17:20Z</dcterms:created>
  <dcterms:modified xsi:type="dcterms:W3CDTF">2025-08-11T09:01:40Z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8e280d-8d73-4e75-a231-2f07e63f2025_Enabled">
    <vt:lpwstr>true</vt:lpwstr>
  </property>
  <property fmtid="{D5CDD505-2E9C-101B-9397-08002B2CF9AE}" pid="3" name="MSIP_Label_ef8e280d-8d73-4e75-a231-2f07e63f2025_SetDate">
    <vt:lpwstr>2025-08-06T12:47:17Z</vt:lpwstr>
  </property>
  <property fmtid="{D5CDD505-2E9C-101B-9397-08002B2CF9AE}" pid="4" name="MSIP_Label_ef8e280d-8d73-4e75-a231-2f07e63f2025_Method">
    <vt:lpwstr>Standard</vt:lpwstr>
  </property>
  <property fmtid="{D5CDD505-2E9C-101B-9397-08002B2CF9AE}" pid="5" name="MSIP_Label_ef8e280d-8d73-4e75-a231-2f07e63f2025_Name">
    <vt:lpwstr>Controlled</vt:lpwstr>
  </property>
  <property fmtid="{D5CDD505-2E9C-101B-9397-08002B2CF9AE}" pid="6" name="MSIP_Label_ef8e280d-8d73-4e75-a231-2f07e63f2025_SiteId">
    <vt:lpwstr>080926ad-2234-4380-b488-3da6b11ddfc1</vt:lpwstr>
  </property>
  <property fmtid="{D5CDD505-2E9C-101B-9397-08002B2CF9AE}" pid="7" name="MSIP_Label_ef8e280d-8d73-4e75-a231-2f07e63f2025_ActionId">
    <vt:lpwstr>bb766c6f-8b15-4eb8-90fa-7d08f85419ec</vt:lpwstr>
  </property>
  <property fmtid="{D5CDD505-2E9C-101B-9397-08002B2CF9AE}" pid="8" name="MSIP_Label_ef8e280d-8d73-4e75-a231-2f07e63f2025_ContentBits">
    <vt:lpwstr>0</vt:lpwstr>
  </property>
  <property fmtid="{D5CDD505-2E9C-101B-9397-08002B2CF9AE}" pid="9" name="MSIP_Label_ef8e280d-8d73-4e75-a231-2f07e63f2025_Tag">
    <vt:lpwstr>10, 1, 2, 1</vt:lpwstr>
  </property>
</Properties>
</file>