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Сабина\Desktop\forGITHUB\Документация\"/>
    </mc:Choice>
  </mc:AlternateContent>
  <bookViews>
    <workbookView xWindow="0" yWindow="0" windowWidth="24000" windowHeight="9630"/>
  </bookViews>
  <sheets>
    <sheet name="Автоматизированный расчет" sheetId="3" r:id="rId1"/>
    <sheet name="Соответствие профилю" sheetId="2" r:id="rId2"/>
  </sheets>
  <calcPr calcId="162913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0" i="3" l="1"/>
  <c r="J80" i="3" s="1"/>
  <c r="I80" i="3"/>
  <c r="D81" i="3"/>
  <c r="E81" i="3"/>
  <c r="C81" i="3"/>
  <c r="D80" i="3"/>
  <c r="H73" i="3"/>
  <c r="C73" i="3"/>
  <c r="C44" i="3" l="1"/>
  <c r="C45" i="3"/>
  <c r="C46" i="3"/>
  <c r="C47" i="3"/>
  <c r="C48" i="3"/>
  <c r="C49" i="3"/>
  <c r="C43" i="3"/>
  <c r="R12" i="3"/>
  <c r="S28" i="3" s="1"/>
  <c r="T28" i="3" s="1"/>
  <c r="R13" i="3"/>
  <c r="S34" i="3" s="1"/>
  <c r="T34" i="3" s="1"/>
  <c r="R14" i="3"/>
  <c r="S39" i="3" s="1"/>
  <c r="T39" i="3" s="1"/>
  <c r="R15" i="3"/>
  <c r="T15" i="3" s="1"/>
  <c r="R16" i="3"/>
  <c r="S44" i="3" s="1"/>
  <c r="T44" i="3" s="1"/>
  <c r="R11" i="3"/>
  <c r="S46" i="3"/>
  <c r="T46" i="3" s="1"/>
  <c r="S19" i="3"/>
  <c r="T19" i="3" s="1"/>
  <c r="S24" i="3"/>
  <c r="T24" i="3" s="1"/>
  <c r="C39" i="3"/>
  <c r="C50" i="3" s="1"/>
  <c r="S36" i="3"/>
  <c r="T36" i="3" s="1"/>
  <c r="S38" i="3"/>
  <c r="T38" i="3" s="1"/>
  <c r="S40" i="3"/>
  <c r="T40" i="3" s="1"/>
  <c r="S21" i="3"/>
  <c r="T21" i="3" s="1"/>
  <c r="S22" i="3"/>
  <c r="T22" i="3" s="1"/>
  <c r="S23" i="3"/>
  <c r="T23" i="3" s="1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Q16" i="3"/>
  <c r="Q15" i="3"/>
  <c r="Q14" i="3"/>
  <c r="Q13" i="3"/>
  <c r="T12" i="3"/>
  <c r="Q12" i="3"/>
  <c r="T11" i="3"/>
  <c r="Q11" i="3"/>
  <c r="D38" i="3"/>
  <c r="D36" i="3"/>
  <c r="D37" i="3"/>
  <c r="D33" i="3"/>
  <c r="D34" i="3"/>
  <c r="D35" i="3"/>
  <c r="D32" i="3"/>
  <c r="D43" i="3"/>
  <c r="D48" i="3"/>
  <c r="D46" i="3"/>
  <c r="D44" i="3"/>
  <c r="D47" i="3"/>
  <c r="D45" i="3"/>
  <c r="D49" i="3"/>
  <c r="S41" i="3" l="1"/>
  <c r="T41" i="3" s="1"/>
  <c r="S37" i="3"/>
  <c r="T37" i="3" s="1"/>
  <c r="V37" i="3" s="1"/>
  <c r="T14" i="3"/>
  <c r="H79" i="3"/>
  <c r="J79" i="3" s="1"/>
  <c r="H75" i="3"/>
  <c r="J75" i="3" s="1"/>
  <c r="H77" i="3"/>
  <c r="H74" i="3"/>
  <c r="J74" i="3" s="1"/>
  <c r="H76" i="3"/>
  <c r="H78" i="3"/>
  <c r="J78" i="3" s="1"/>
  <c r="J73" i="3"/>
  <c r="J77" i="3"/>
  <c r="J76" i="3"/>
  <c r="S45" i="3"/>
  <c r="T45" i="3" s="1"/>
  <c r="V45" i="3" s="1"/>
  <c r="C66" i="3"/>
  <c r="C75" i="3"/>
  <c r="E75" i="3" s="1"/>
  <c r="C86" i="3"/>
  <c r="C57" i="3"/>
  <c r="E57" i="3" s="1"/>
  <c r="C84" i="3"/>
  <c r="C55" i="3"/>
  <c r="E55" i="3" s="1"/>
  <c r="C64" i="3"/>
  <c r="C77" i="3"/>
  <c r="C88" i="3"/>
  <c r="C59" i="3"/>
  <c r="E59" i="3" s="1"/>
  <c r="C68" i="3"/>
  <c r="C87" i="3"/>
  <c r="C58" i="3"/>
  <c r="E58" i="3" s="1"/>
  <c r="C67" i="3"/>
  <c r="C76" i="3"/>
  <c r="E76" i="3" s="1"/>
  <c r="C78" i="3"/>
  <c r="C89" i="3"/>
  <c r="C60" i="3"/>
  <c r="E60" i="3" s="1"/>
  <c r="C69" i="3"/>
  <c r="C70" i="3"/>
  <c r="C79" i="3"/>
  <c r="C90" i="3"/>
  <c r="C61" i="3"/>
  <c r="E61" i="3" s="1"/>
  <c r="C74" i="3"/>
  <c r="C85" i="3"/>
  <c r="C56" i="3"/>
  <c r="E56" i="3" s="1"/>
  <c r="C65" i="3"/>
  <c r="E46" i="3"/>
  <c r="E49" i="3"/>
  <c r="E45" i="3"/>
  <c r="E47" i="3"/>
  <c r="E48" i="3"/>
  <c r="E44" i="3"/>
  <c r="E43" i="3"/>
  <c r="S31" i="3"/>
  <c r="T31" i="3" s="1"/>
  <c r="V31" i="3" s="1"/>
  <c r="S30" i="3"/>
  <c r="T30" i="3" s="1"/>
  <c r="V30" i="3" s="1"/>
  <c r="S27" i="3"/>
  <c r="T27" i="3" s="1"/>
  <c r="V27" i="3" s="1"/>
  <c r="S26" i="3"/>
  <c r="T26" i="3" s="1"/>
  <c r="S35" i="3"/>
  <c r="T35" i="3" s="1"/>
  <c r="V35" i="3" s="1"/>
  <c r="T13" i="3"/>
  <c r="S33" i="3"/>
  <c r="T33" i="3" s="1"/>
  <c r="V33" i="3" s="1"/>
  <c r="S29" i="3"/>
  <c r="T29" i="3" s="1"/>
  <c r="V29" i="3" s="1"/>
  <c r="T16" i="3"/>
  <c r="S32" i="3"/>
  <c r="T32" i="3" s="1"/>
  <c r="V32" i="3" s="1"/>
  <c r="S25" i="3"/>
  <c r="T25" i="3" s="1"/>
  <c r="V25" i="3" s="1"/>
  <c r="S20" i="3"/>
  <c r="T20" i="3" s="1"/>
  <c r="V20" i="3" s="1"/>
  <c r="S43" i="3"/>
  <c r="T43" i="3" s="1"/>
  <c r="V43" i="3" s="1"/>
  <c r="S42" i="3"/>
  <c r="T42" i="3" s="1"/>
  <c r="V42" i="3" s="1"/>
  <c r="V19" i="3"/>
  <c r="G32" i="3"/>
  <c r="D39" i="3"/>
  <c r="G39" i="3" s="1"/>
  <c r="V21" i="3"/>
  <c r="D50" i="3"/>
  <c r="E50" i="3" s="1"/>
  <c r="V41" i="3"/>
  <c r="V23" i="3"/>
  <c r="V39" i="3"/>
  <c r="V22" i="3"/>
  <c r="V24" i="3"/>
  <c r="V26" i="3"/>
  <c r="V28" i="3"/>
  <c r="V34" i="3"/>
  <c r="V36" i="3"/>
  <c r="V38" i="3"/>
  <c r="V40" i="3"/>
  <c r="V44" i="3"/>
  <c r="V46" i="3"/>
  <c r="C80" i="3" l="1"/>
  <c r="E80" i="3" s="1"/>
  <c r="H39" i="3"/>
  <c r="Y2" i="3" l="1"/>
  <c r="W7" i="3"/>
  <c r="I32" i="3" l="1"/>
  <c r="G33" i="3"/>
  <c r="I33" i="3" s="1"/>
  <c r="F27" i="3"/>
  <c r="G27" i="3" s="1"/>
  <c r="F28" i="3"/>
  <c r="G28" i="3" s="1"/>
  <c r="F29" i="3"/>
  <c r="G29" i="3" s="1"/>
  <c r="T7" i="3"/>
  <c r="Q7" i="3"/>
  <c r="E27" i="3"/>
  <c r="E28" i="3"/>
  <c r="E29" i="3"/>
  <c r="E65" i="3" l="1"/>
  <c r="E85" i="3"/>
  <c r="E74" i="3"/>
  <c r="E84" i="3"/>
  <c r="E73" i="3"/>
  <c r="E64" i="3"/>
  <c r="I28" i="3"/>
  <c r="I27" i="3"/>
  <c r="I29" i="3"/>
  <c r="W3" i="3" l="1"/>
  <c r="W6" i="3" l="1"/>
  <c r="W4" i="3"/>
  <c r="W5" i="3"/>
  <c r="W2" i="3"/>
  <c r="E19" i="3"/>
  <c r="G35" i="3" l="1"/>
  <c r="I35" i="3" s="1"/>
  <c r="G37" i="3"/>
  <c r="I37" i="3" s="1"/>
  <c r="G36" i="3"/>
  <c r="I36" i="3" s="1"/>
  <c r="G38" i="3"/>
  <c r="I38" i="3" s="1"/>
  <c r="G34" i="3"/>
  <c r="I34" i="3" s="1"/>
  <c r="E34" i="3"/>
  <c r="E32" i="3"/>
  <c r="H12" i="2"/>
  <c r="F23" i="3"/>
  <c r="G23" i="3" s="1"/>
  <c r="F24" i="3"/>
  <c r="G24" i="3" s="1"/>
  <c r="F25" i="3"/>
  <c r="G25" i="3" s="1"/>
  <c r="F26" i="3"/>
  <c r="G26" i="3" s="1"/>
  <c r="E23" i="3"/>
  <c r="E24" i="3"/>
  <c r="E25" i="3"/>
  <c r="E26" i="3"/>
  <c r="F3" i="3"/>
  <c r="G3" i="3" s="1"/>
  <c r="F2" i="3"/>
  <c r="G2" i="3" s="1"/>
  <c r="E2" i="3"/>
  <c r="E3" i="3"/>
  <c r="E4" i="3"/>
  <c r="E5" i="3"/>
  <c r="E6" i="3"/>
  <c r="E7" i="3"/>
  <c r="E8" i="3"/>
  <c r="E69" i="3" l="1"/>
  <c r="E89" i="3"/>
  <c r="E78" i="3"/>
  <c r="E70" i="3"/>
  <c r="E90" i="3"/>
  <c r="E79" i="3"/>
  <c r="E66" i="3"/>
  <c r="E86" i="3"/>
  <c r="E88" i="3"/>
  <c r="E77" i="3"/>
  <c r="E68" i="3"/>
  <c r="E87" i="3"/>
  <c r="E67" i="3"/>
  <c r="I2" i="3"/>
  <c r="I3" i="3"/>
  <c r="I25" i="3"/>
  <c r="I23" i="3"/>
  <c r="I24" i="3"/>
  <c r="I26" i="3"/>
  <c r="Q2" i="3" l="1"/>
  <c r="Q3" i="3"/>
  <c r="Q4" i="3"/>
  <c r="Q5" i="3"/>
  <c r="Q6" i="3"/>
  <c r="E15" i="3"/>
  <c r="T2" i="3"/>
  <c r="V2" i="3" s="1"/>
  <c r="T6" i="3"/>
  <c r="V6" i="3" s="1"/>
  <c r="T5" i="3"/>
  <c r="V5" i="3" s="1"/>
  <c r="E16" i="3" s="1"/>
  <c r="T4" i="3"/>
  <c r="V4" i="3" s="1"/>
  <c r="E12" i="3" s="1"/>
  <c r="T3" i="3"/>
  <c r="V3" i="3" s="1"/>
  <c r="E20" i="3" l="1"/>
  <c r="V7" i="3"/>
  <c r="F22" i="3"/>
  <c r="G22" i="3" s="1"/>
  <c r="F18" i="3"/>
  <c r="G18" i="3" s="1"/>
  <c r="F14" i="3"/>
  <c r="G14" i="3" s="1"/>
  <c r="E11" i="3"/>
  <c r="E22" i="3"/>
  <c r="E18" i="3"/>
  <c r="E14" i="3"/>
  <c r="E10" i="3"/>
  <c r="E21" i="3"/>
  <c r="E17" i="3"/>
  <c r="E13" i="3"/>
  <c r="E9" i="3"/>
  <c r="F10" i="3"/>
  <c r="G10" i="3" s="1"/>
  <c r="F6" i="3"/>
  <c r="G6" i="3" s="1"/>
  <c r="I6" i="3" s="1"/>
  <c r="F21" i="3"/>
  <c r="G21" i="3" s="1"/>
  <c r="F17" i="3"/>
  <c r="G17" i="3" s="1"/>
  <c r="F13" i="3"/>
  <c r="G13" i="3" s="1"/>
  <c r="F9" i="3"/>
  <c r="G9" i="3" s="1"/>
  <c r="F5" i="3"/>
  <c r="G5" i="3" s="1"/>
  <c r="I5" i="3" s="1"/>
  <c r="F20" i="3"/>
  <c r="G20" i="3" s="1"/>
  <c r="F16" i="3"/>
  <c r="G16" i="3" s="1"/>
  <c r="I16" i="3" s="1"/>
  <c r="F12" i="3"/>
  <c r="G12" i="3" s="1"/>
  <c r="I12" i="3" s="1"/>
  <c r="F8" i="3"/>
  <c r="G8" i="3" s="1"/>
  <c r="I8" i="3" s="1"/>
  <c r="F4" i="3"/>
  <c r="G4" i="3" s="1"/>
  <c r="I4" i="3" s="1"/>
  <c r="F19" i="3"/>
  <c r="G19" i="3" s="1"/>
  <c r="I19" i="3" s="1"/>
  <c r="F15" i="3"/>
  <c r="G15" i="3" s="1"/>
  <c r="I15" i="3" s="1"/>
  <c r="F11" i="3"/>
  <c r="G11" i="3" s="1"/>
  <c r="F7" i="3"/>
  <c r="G7" i="3" s="1"/>
  <c r="I7" i="3" s="1"/>
  <c r="E35" i="3"/>
  <c r="E36" i="3"/>
  <c r="E33" i="3"/>
  <c r="E38" i="3"/>
  <c r="E37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I12" i="2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E39" i="3" l="1"/>
  <c r="I39" i="3"/>
  <c r="I20" i="3"/>
  <c r="I17" i="3"/>
  <c r="I10" i="3"/>
  <c r="I9" i="3"/>
  <c r="I11" i="3"/>
  <c r="I13" i="3"/>
  <c r="I14" i="3"/>
  <c r="I22" i="3"/>
  <c r="I18" i="3"/>
  <c r="I21" i="3"/>
  <c r="I40" i="2"/>
  <c r="I44" i="2"/>
  <c r="I41" i="2"/>
  <c r="I32" i="2"/>
  <c r="I31" i="2"/>
  <c r="I30" i="2"/>
  <c r="I29" i="2"/>
  <c r="I28" i="2"/>
  <c r="I27" i="2"/>
  <c r="I26" i="2"/>
</calcChain>
</file>

<file path=xl/sharedStrings.xml><?xml version="1.0" encoding="utf-8"?>
<sst xmlns="http://schemas.openxmlformats.org/spreadsheetml/2006/main" count="345" uniqueCount="86">
  <si>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</si>
  <si>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</si>
  <si>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</si>
  <si>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</si>
  <si>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</si>
  <si>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</si>
  <si>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</si>
  <si>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</si>
  <si>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</si>
  <si>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</si>
  <si>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</si>
  <si>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</si>
  <si>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</si>
  <si>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</si>
  <si>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</si>
  <si>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</si>
  <si>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</si>
  <si>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</si>
  <si>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</si>
  <si>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</si>
  <si>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</si>
  <si>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</si>
  <si>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</si>
  <si>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</si>
  <si>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</si>
  <si>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</si>
  <si>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</si>
  <si>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</si>
  <si>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</si>
  <si>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</si>
  <si>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</si>
  <si>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</si>
  <si>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</si>
  <si>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</si>
  <si>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</si>
  <si>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</si>
  <si>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</si>
  <si>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</si>
  <si>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</si>
  <si>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</si>
  <si>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</si>
  <si>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</si>
  <si>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</si>
  <si>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</si>
  <si>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</si>
  <si>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</si>
  <si>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</si>
  <si>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</si>
  <si>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</si>
  <si>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</si>
  <si>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</si>
  <si>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</si>
  <si>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</si>
  <si>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</si>
  <si>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</si>
  <si>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</si>
  <si>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Отмена брони</t>
  </si>
  <si>
    <t>Выбор рейса</t>
  </si>
  <si>
    <t>Вход и выход</t>
  </si>
  <si>
    <t>Отклонение</t>
  </si>
  <si>
    <t>№ скрипта</t>
  </si>
  <si>
    <t>Поиск рейса</t>
  </si>
  <si>
    <t>Запр. / час</t>
  </si>
  <si>
    <t>insert_info_for_ticket_search</t>
  </si>
  <si>
    <t>choose_the_flight</t>
  </si>
  <si>
    <t>insert_payment_info</t>
  </si>
  <si>
    <t>view_itinerary</t>
  </si>
  <si>
    <t>cancel_flight</t>
  </si>
  <si>
    <t>Транзакция</t>
  </si>
  <si>
    <t>Фактич.</t>
  </si>
  <si>
    <t>Вторая ступень (00:25:00 … 00:45:00)</t>
  </si>
  <si>
    <t>Первая ступень (00:01:00 … 00:21:00)</t>
  </si>
  <si>
    <t>Третья ступень (00:47:00 … 1:07:00)</t>
  </si>
  <si>
    <t>Четвертая ступень (001:10:00 … 1:30:00)</t>
  </si>
  <si>
    <t>Соответствие профилю (при отладке)</t>
  </si>
  <si>
    <t>При снижении pacing на 60% для поиска MAX:</t>
  </si>
  <si>
    <t>Соответствие профилю по ступеням при поиске MAX</t>
  </si>
  <si>
    <t>Для сводной таблице при снижении pacing:</t>
  </si>
  <si>
    <t>Запр./ч</t>
  </si>
  <si>
    <t>Запр./20мин по проф.</t>
  </si>
  <si>
    <t>Профиль при снижении рacing на 64%</t>
  </si>
  <si>
    <t>Запр./ч по проф.</t>
  </si>
  <si>
    <t>Снижение pacing на 64% (т.е. 36% первоначального pacing) + снижение think time :</t>
  </si>
  <si>
    <t>Соответствие для подтверждения 90% от MAX(00:06:00 … 01:06:00)</t>
  </si>
  <si>
    <t>ИТОГО:</t>
  </si>
  <si>
    <t>ИТОГО в час: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</si>
</sst>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%"/>
    <numFmt numFmtId="166" formatCode="0.0%"/>
    <numFmt numFmtId="167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medium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/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mediumDashed">
        <color auto="1"/>
      </bottom>
      <diagonal/>
    </border>
    <border>
      <left/>
      <right style="thin">
        <color auto="1"/>
      </right>
      <top style="mediumDashed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8" applyNumberFormat="0" applyAlignment="0" applyProtection="0"/>
    <xf numFmtId="0" fontId="15" fillId="7" borderId="9" applyNumberFormat="0" applyAlignment="0" applyProtection="0"/>
    <xf numFmtId="0" fontId="16" fillId="7" borderId="8" applyNumberFormat="0" applyAlignment="0" applyProtection="0"/>
    <xf numFmtId="0" fontId="17" fillId="0" borderId="10" applyNumberFormat="0" applyFill="0" applyAlignment="0" applyProtection="0"/>
    <xf numFmtId="0" fontId="18" fillId="8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" fillId="0" borderId="13" applyNumberFormat="0" applyFill="0" applyAlignment="0" applyProtection="0"/>
    <xf numFmtId="0" fontId="2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9" fontId="22" fillId="0" borderId="0" applyFont="0" applyFill="0" applyBorder="0" applyAlignment="0" applyProtection="0"/>
  </cellStyleXfs>
  <cellXfs count="189">
    <xf numFmtId="0" fontId="0" fillId="0" borderId="0" xfId="0"/>
    <xf numFmtId="0" fontId="7" fillId="5" borderId="3" xfId="0" applyFont="1" applyFill="1" applyBorder="1" applyAlignment="1">
      <alignment horizontal="center" vertical="top" wrapText="1"/>
    </xf>
    <xf numFmtId="0" fontId="8" fillId="0" borderId="4" xfId="0" applyFont="1" applyBorder="1" applyAlignment="1">
      <alignment horizontal="left" vertical="top" wrapText="1"/>
    </xf>
    <xf numFmtId="0" fontId="6" fillId="0" borderId="4" xfId="4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10" fontId="7" fillId="0" borderId="4" xfId="0" applyNumberFormat="1" applyFont="1" applyBorder="1" applyAlignment="1">
      <alignment horizontal="center" vertical="top"/>
    </xf>
    <xf numFmtId="10" fontId="9" fillId="0" borderId="4" xfId="0" applyNumberFormat="1" applyFont="1" applyBorder="1" applyAlignment="1">
      <alignment horizontal="center" vertical="top"/>
    </xf>
    <xf numFmtId="10" fontId="9" fillId="0" borderId="4" xfId="0" applyNumberFormat="1" applyFont="1" applyBorder="1" applyAlignment="1">
      <alignment horizontal="left" vertical="top"/>
    </xf>
    <xf numFmtId="0" fontId="7" fillId="5" borderId="4" xfId="0" applyFont="1" applyFill="1" applyBorder="1" applyAlignment="1">
      <alignment horizontal="left" vertical="top"/>
    </xf>
    <xf numFmtId="0" fontId="1" fillId="0" borderId="4" xfId="42" applyBorder="1"/>
    <xf numFmtId="0" fontId="7" fillId="0" borderId="4" xfId="0" applyFont="1" applyBorder="1" applyAlignment="1">
      <alignment horizontal="left" vertical="top"/>
    </xf>
    <xf numFmtId="10" fontId="7" fillId="0" borderId="4" xfId="0" applyNumberFormat="1" applyFont="1" applyBorder="1" applyAlignment="1">
      <alignment horizontal="left" vertical="top"/>
    </xf>
    <xf numFmtId="0" fontId="6" fillId="0" borderId="4" xfId="4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applyAlignment="1">
      <alignment horizontal="left"/>
    </xf>
    <xf numFmtId="0" fontId="0" fillId="35" borderId="4" xfId="0" applyFill="1" applyBorder="1"/>
    <xf numFmtId="0" fontId="23" fillId="0" borderId="0" xfId="0" applyFont="1"/>
    <xf numFmtId="1" fontId="23" fillId="0" borderId="0" xfId="0" applyNumberFormat="1" applyFont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0" xfId="0" applyBorder="1"/>
    <xf numFmtId="2" fontId="0" fillId="0" borderId="0" xfId="0" applyNumberFormat="1" applyBorder="1"/>
    <xf numFmtId="1" fontId="0" fillId="0" borderId="20" xfId="0" applyNumberFormat="1" applyBorder="1"/>
    <xf numFmtId="0" fontId="0" fillId="0" borderId="21" xfId="0" applyBorder="1"/>
    <xf numFmtId="0" fontId="0" fillId="0" borderId="22" xfId="0" applyBorder="1"/>
    <xf numFmtId="2" fontId="0" fillId="0" borderId="22" xfId="0" applyNumberFormat="1" applyBorder="1"/>
    <xf numFmtId="1" fontId="0" fillId="0" borderId="2" xfId="0" applyNumberFormat="1" applyBorder="1"/>
    <xf numFmtId="2" fontId="0" fillId="0" borderId="17" xfId="0" applyNumberFormat="1" applyBorder="1"/>
    <xf numFmtId="1" fontId="0" fillId="0" borderId="18" xfId="0" applyNumberFormat="1" applyBorder="1"/>
    <xf numFmtId="0" fontId="0" fillId="0" borderId="14" xfId="0" applyFill="1" applyBorder="1"/>
    <xf numFmtId="0" fontId="0" fillId="0" borderId="15" xfId="0" applyFill="1" applyBorder="1"/>
    <xf numFmtId="0" fontId="0" fillId="0" borderId="1" xfId="0" applyFill="1" applyBorder="1"/>
    <xf numFmtId="0" fontId="24" fillId="0" borderId="16" xfId="0" applyFont="1" applyBorder="1"/>
    <xf numFmtId="0" fontId="24" fillId="0" borderId="17" xfId="0" applyFont="1" applyBorder="1"/>
    <xf numFmtId="0" fontId="24" fillId="0" borderId="18" xfId="0" applyFont="1" applyBorder="1"/>
    <xf numFmtId="0" fontId="0" fillId="0" borderId="0" xfId="0" applyFill="1" applyBorder="1"/>
    <xf numFmtId="0" fontId="0" fillId="0" borderId="26" xfId="0" applyBorder="1" applyAlignment="1">
      <alignment horizontal="center" vertical="center"/>
    </xf>
    <xf numFmtId="0" fontId="0" fillId="0" borderId="0" xfId="0" pivotButton="1"/>
    <xf numFmtId="165" fontId="23" fillId="0" borderId="0" xfId="0" applyNumberFormat="1" applyFont="1"/>
    <xf numFmtId="165" fontId="0" fillId="0" borderId="0" xfId="0" applyNumberFormat="1"/>
    <xf numFmtId="0" fontId="0" fillId="35" borderId="29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2" fontId="0" fillId="0" borderId="17" xfId="0" applyNumberFormat="1" applyFill="1" applyBorder="1"/>
    <xf numFmtId="1" fontId="0" fillId="0" borderId="18" xfId="0" applyNumberFormat="1" applyFill="1" applyBorder="1"/>
    <xf numFmtId="0" fontId="0" fillId="0" borderId="0" xfId="0" applyFill="1"/>
    <xf numFmtId="0" fontId="0" fillId="0" borderId="19" xfId="0" applyFill="1" applyBorder="1"/>
    <xf numFmtId="0" fontId="0" fillId="0" borderId="20" xfId="0" applyFill="1" applyBorder="1"/>
    <xf numFmtId="2" fontId="0" fillId="0" borderId="0" xfId="0" applyNumberFormat="1" applyFill="1" applyBorder="1"/>
    <xf numFmtId="1" fontId="0" fillId="0" borderId="20" xfId="0" applyNumberFormat="1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" xfId="0" applyFill="1" applyBorder="1"/>
    <xf numFmtId="2" fontId="0" fillId="0" borderId="22" xfId="0" applyNumberFormat="1" applyFill="1" applyBorder="1"/>
    <xf numFmtId="1" fontId="0" fillId="0" borderId="2" xfId="0" applyNumberFormat="1" applyFill="1" applyBorder="1"/>
    <xf numFmtId="0" fontId="0" fillId="36" borderId="24" xfId="0" applyFill="1" applyBorder="1" applyAlignment="1">
      <alignment horizontal="center" vertical="center"/>
    </xf>
    <xf numFmtId="10" fontId="0" fillId="38" borderId="28" xfId="44" applyNumberFormat="1" applyFont="1" applyFill="1" applyBorder="1" applyAlignment="1">
      <alignment horizontal="center" vertical="center"/>
    </xf>
    <xf numFmtId="0" fontId="0" fillId="36" borderId="30" xfId="0" applyFill="1" applyBorder="1" applyAlignment="1">
      <alignment vertical="center"/>
    </xf>
    <xf numFmtId="166" fontId="0" fillId="36" borderId="31" xfId="44" applyNumberFormat="1" applyFont="1" applyFill="1" applyBorder="1" applyAlignment="1">
      <alignment horizontal="center"/>
    </xf>
    <xf numFmtId="166" fontId="0" fillId="36" borderId="32" xfId="44" applyNumberFormat="1" applyFont="1" applyFill="1" applyBorder="1" applyAlignment="1">
      <alignment horizontal="center"/>
    </xf>
    <xf numFmtId="0" fontId="27" fillId="0" borderId="35" xfId="0" applyFont="1" applyBorder="1" applyAlignment="1">
      <alignment horizontal="left" vertical="center" wrapText="1"/>
    </xf>
    <xf numFmtId="0" fontId="27" fillId="0" borderId="36" xfId="0" applyFont="1" applyBorder="1" applyAlignment="1">
      <alignment horizontal="left" vertical="center" wrapText="1"/>
    </xf>
    <xf numFmtId="0" fontId="28" fillId="0" borderId="37" xfId="0" applyFont="1" applyBorder="1" applyAlignment="1">
      <alignment horizontal="left" vertical="center" wrapText="1"/>
    </xf>
    <xf numFmtId="0" fontId="27" fillId="0" borderId="39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0" fillId="36" borderId="25" xfId="0" applyFill="1" applyBorder="1" applyAlignment="1">
      <alignment horizontal="center" vertical="center"/>
    </xf>
    <xf numFmtId="1" fontId="0" fillId="36" borderId="33" xfId="0" applyNumberFormat="1" applyFill="1" applyBorder="1" applyAlignment="1">
      <alignment horizontal="center"/>
    </xf>
    <xf numFmtId="1" fontId="0" fillId="36" borderId="34" xfId="0" applyNumberFormat="1" applyFill="1" applyBorder="1" applyAlignment="1">
      <alignment horizontal="center"/>
    </xf>
    <xf numFmtId="0" fontId="0" fillId="0" borderId="4" xfId="0" applyBorder="1"/>
    <xf numFmtId="0" fontId="0" fillId="0" borderId="27" xfId="0" applyBorder="1"/>
    <xf numFmtId="3" fontId="0" fillId="0" borderId="27" xfId="0" applyNumberFormat="1" applyBorder="1"/>
    <xf numFmtId="164" fontId="0" fillId="0" borderId="27" xfId="0" applyNumberFormat="1" applyBorder="1"/>
    <xf numFmtId="0" fontId="0" fillId="0" borderId="29" xfId="0" applyBorder="1"/>
    <xf numFmtId="164" fontId="0" fillId="0" borderId="29" xfId="0" applyNumberFormat="1" applyBorder="1"/>
    <xf numFmtId="1" fontId="0" fillId="36" borderId="34" xfId="0" applyNumberFormat="1" applyFill="1" applyBorder="1" applyAlignment="1">
      <alignment horizontal="center" vertical="center"/>
    </xf>
    <xf numFmtId="166" fontId="0" fillId="36" borderId="32" xfId="44" applyNumberFormat="1" applyFont="1" applyFill="1" applyBorder="1" applyAlignment="1">
      <alignment horizontal="center" vertical="center"/>
    </xf>
    <xf numFmtId="2" fontId="0" fillId="37" borderId="44" xfId="44" applyNumberFormat="1" applyFont="1" applyFill="1" applyBorder="1" applyAlignment="1">
      <alignment horizontal="center" vertical="center"/>
    </xf>
    <xf numFmtId="0" fontId="0" fillId="36" borderId="45" xfId="0" applyFill="1" applyBorder="1" applyAlignment="1">
      <alignment horizontal="center" vertical="center"/>
    </xf>
    <xf numFmtId="10" fontId="0" fillId="38" borderId="46" xfId="44" applyNumberFormat="1" applyFont="1" applyFill="1" applyBorder="1" applyAlignment="1">
      <alignment horizontal="center" vertical="center"/>
    </xf>
    <xf numFmtId="2" fontId="0" fillId="37" borderId="47" xfId="44" applyNumberFormat="1" applyFont="1" applyFill="1" applyBorder="1" applyAlignment="1">
      <alignment horizontal="center" vertical="center"/>
    </xf>
    <xf numFmtId="0" fontId="0" fillId="36" borderId="48" xfId="0" applyFill="1" applyBorder="1" applyAlignment="1">
      <alignment horizontal="center" vertical="center"/>
    </xf>
    <xf numFmtId="10" fontId="0" fillId="38" borderId="49" xfId="44" applyNumberFormat="1" applyFont="1" applyFill="1" applyBorder="1" applyAlignment="1">
      <alignment horizontal="center" vertical="center"/>
    </xf>
    <xf numFmtId="2" fontId="0" fillId="37" borderId="50" xfId="44" applyNumberFormat="1" applyFont="1" applyFill="1" applyBorder="1" applyAlignment="1">
      <alignment horizontal="center" vertical="center"/>
    </xf>
    <xf numFmtId="0" fontId="0" fillId="36" borderId="51" xfId="0" applyFill="1" applyBorder="1" applyAlignment="1">
      <alignment horizontal="center" vertical="center"/>
    </xf>
    <xf numFmtId="10" fontId="0" fillId="38" borderId="52" xfId="44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44" applyNumberFormat="1" applyFont="1"/>
    <xf numFmtId="0" fontId="27" fillId="0" borderId="37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9" fontId="0" fillId="0" borderId="55" xfId="44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9" fontId="0" fillId="0" borderId="57" xfId="44" applyFon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0" borderId="56" xfId="0" applyNumberFormat="1" applyBorder="1" applyAlignment="1">
      <alignment horizontal="center" vertical="center"/>
    </xf>
    <xf numFmtId="0" fontId="6" fillId="0" borderId="58" xfId="0" applyFont="1" applyBorder="1"/>
    <xf numFmtId="0" fontId="6" fillId="0" borderId="29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35" xfId="0" applyFont="1" applyBorder="1"/>
    <xf numFmtId="0" fontId="6" fillId="0" borderId="53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1" fontId="0" fillId="35" borderId="29" xfId="0" applyNumberFormat="1" applyFill="1" applyBorder="1"/>
    <xf numFmtId="1" fontId="0" fillId="35" borderId="4" xfId="0" applyNumberFormat="1" applyFill="1" applyBorder="1"/>
    <xf numFmtId="167" fontId="0" fillId="0" borderId="0" xfId="0" applyNumberFormat="1" applyFill="1"/>
    <xf numFmtId="0" fontId="0" fillId="0" borderId="67" xfId="0" applyFill="1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31" fillId="0" borderId="0" xfId="0" applyFont="1" applyAlignment="1">
      <alignment horizontal="left"/>
    </xf>
    <xf numFmtId="0" fontId="30" fillId="0" borderId="0" xfId="0" applyFont="1"/>
    <xf numFmtId="0" fontId="27" fillId="0" borderId="68" xfId="0" applyFont="1" applyBorder="1" applyAlignment="1">
      <alignment horizontal="left" vertical="center" wrapText="1"/>
    </xf>
    <xf numFmtId="0" fontId="27" fillId="0" borderId="69" xfId="0" applyFont="1" applyBorder="1" applyAlignment="1">
      <alignment horizontal="center" vertical="center" wrapText="1"/>
    </xf>
    <xf numFmtId="1" fontId="0" fillId="36" borderId="64" xfId="0" applyNumberFormat="1" applyFill="1" applyBorder="1" applyAlignment="1">
      <alignment horizontal="center"/>
    </xf>
    <xf numFmtId="166" fontId="0" fillId="36" borderId="66" xfId="44" applyNumberFormat="1" applyFont="1" applyFill="1" applyBorder="1" applyAlignment="1">
      <alignment horizontal="center"/>
    </xf>
    <xf numFmtId="0" fontId="28" fillId="0" borderId="70" xfId="0" applyFont="1" applyBorder="1" applyAlignment="1">
      <alignment horizontal="left" vertical="center" wrapText="1"/>
    </xf>
    <xf numFmtId="0" fontId="28" fillId="0" borderId="71" xfId="0" applyFont="1" applyBorder="1" applyAlignment="1">
      <alignment horizontal="center" vertical="center" wrapText="1"/>
    </xf>
    <xf numFmtId="1" fontId="8" fillId="36" borderId="65" xfId="0" applyNumberFormat="1" applyFont="1" applyFill="1" applyBorder="1" applyAlignment="1">
      <alignment horizontal="center" vertical="center" wrapText="1"/>
    </xf>
    <xf numFmtId="165" fontId="26" fillId="36" borderId="72" xfId="44" applyNumberFormat="1" applyFont="1" applyFill="1" applyBorder="1" applyAlignment="1">
      <alignment horizontal="center" vertical="center"/>
    </xf>
    <xf numFmtId="0" fontId="27" fillId="0" borderId="58" xfId="0" applyFont="1" applyBorder="1" applyAlignment="1">
      <alignment horizontal="left" vertical="center" wrapText="1"/>
    </xf>
    <xf numFmtId="0" fontId="0" fillId="0" borderId="26" xfId="0" applyFill="1" applyBorder="1" applyAlignment="1">
      <alignment horizontal="center" vertical="center"/>
    </xf>
    <xf numFmtId="0" fontId="0" fillId="0" borderId="26" xfId="0" applyFill="1" applyBorder="1" applyAlignment="1">
      <alignment vertical="center"/>
    </xf>
    <xf numFmtId="1" fontId="27" fillId="0" borderId="53" xfId="0" applyNumberFormat="1" applyFont="1" applyBorder="1" applyAlignment="1">
      <alignment horizontal="center" vertical="center" wrapText="1"/>
    </xf>
    <xf numFmtId="166" fontId="0" fillId="0" borderId="54" xfId="44" applyNumberFormat="1" applyFont="1" applyFill="1" applyBorder="1" applyAlignment="1">
      <alignment horizontal="center"/>
    </xf>
    <xf numFmtId="1" fontId="27" fillId="0" borderId="4" xfId="0" applyNumberFormat="1" applyFont="1" applyBorder="1" applyAlignment="1">
      <alignment horizontal="center" vertical="center" wrapText="1"/>
    </xf>
    <xf numFmtId="166" fontId="0" fillId="0" borderId="55" xfId="44" applyNumberFormat="1" applyFont="1" applyFill="1" applyBorder="1" applyAlignment="1">
      <alignment horizontal="center"/>
    </xf>
    <xf numFmtId="1" fontId="28" fillId="0" borderId="56" xfId="0" applyNumberFormat="1" applyFont="1" applyBorder="1" applyAlignment="1">
      <alignment horizontal="center" vertical="center" wrapText="1"/>
    </xf>
    <xf numFmtId="165" fontId="26" fillId="0" borderId="57" xfId="44" applyNumberFormat="1" applyFont="1" applyFill="1" applyBorder="1" applyAlignment="1">
      <alignment horizontal="center" vertical="center"/>
    </xf>
    <xf numFmtId="3" fontId="0" fillId="0" borderId="0" xfId="0" applyNumberFormat="1"/>
    <xf numFmtId="1" fontId="27" fillId="0" borderId="56" xfId="0" applyNumberFormat="1" applyFont="1" applyBorder="1" applyAlignment="1">
      <alignment horizontal="center" vertical="center" wrapText="1"/>
    </xf>
    <xf numFmtId="166" fontId="0" fillId="0" borderId="55" xfId="44" applyNumberFormat="1" applyFont="1" applyBorder="1" applyAlignment="1">
      <alignment horizontal="center" vertical="center"/>
    </xf>
    <xf numFmtId="166" fontId="0" fillId="0" borderId="57" xfId="44" applyNumberFormat="1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167" fontId="0" fillId="0" borderId="36" xfId="0" applyNumberFormat="1" applyBorder="1" applyAlignment="1">
      <alignment horizontal="center" vertical="center"/>
    </xf>
    <xf numFmtId="0" fontId="0" fillId="0" borderId="73" xfId="0" applyBorder="1"/>
    <xf numFmtId="0" fontId="0" fillId="0" borderId="74" xfId="0" applyBorder="1"/>
    <xf numFmtId="3" fontId="0" fillId="0" borderId="73" xfId="0" applyNumberFormat="1" applyBorder="1"/>
    <xf numFmtId="3" fontId="0" fillId="0" borderId="74" xfId="0" applyNumberFormat="1" applyBorder="1"/>
    <xf numFmtId="0" fontId="29" fillId="0" borderId="22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39" borderId="41" xfId="0" applyFont="1" applyFill="1" applyBorder="1" applyAlignment="1">
      <alignment horizontal="center" vertical="center"/>
    </xf>
    <xf numFmtId="0" fontId="6" fillId="39" borderId="42" xfId="0" applyFont="1" applyFill="1" applyBorder="1" applyAlignment="1">
      <alignment horizontal="center" vertical="center"/>
    </xf>
    <xf numFmtId="0" fontId="6" fillId="39" borderId="43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0" fillId="34" borderId="0" xfId="0" applyFill="1" applyAlignment="1">
      <alignment horizontal="center"/>
    </xf>
    <xf numFmtId="0" fontId="29" fillId="0" borderId="23" xfId="0" applyFont="1" applyBorder="1" applyAlignment="1">
      <alignment horizontal="center" vertical="center"/>
    </xf>
    <xf numFmtId="0" fontId="29" fillId="0" borderId="60" xfId="0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10" fontId="0" fillId="0" borderId="55" xfId="44" applyNumberFormat="1" applyFon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0" fillId="0" borderId="75" xfId="44" applyNumberFormat="1" applyFont="1" applyBorder="1" applyAlignment="1">
      <alignment horizontal="center" vertical="center"/>
    </xf>
    <xf numFmtId="0" fontId="27" fillId="0" borderId="77" xfId="0" applyFont="1" applyBorder="1" applyAlignment="1">
      <alignment horizontal="left" vertical="center" wrapText="1"/>
    </xf>
    <xf numFmtId="167" fontId="0" fillId="0" borderId="78" xfId="0" applyNumberForma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166" fontId="0" fillId="0" borderId="79" xfId="44" applyNumberFormat="1" applyFont="1" applyBorder="1" applyAlignment="1">
      <alignment horizontal="center" vertical="center"/>
    </xf>
    <xf numFmtId="0" fontId="27" fillId="0" borderId="80" xfId="0" applyFont="1" applyBorder="1" applyAlignment="1">
      <alignment horizontal="left" vertical="center" wrapText="1"/>
    </xf>
    <xf numFmtId="167" fontId="0" fillId="0" borderId="81" xfId="0" applyNumberForma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166" fontId="0" fillId="0" borderId="82" xfId="44" applyNumberFormat="1" applyFont="1" applyBorder="1" applyAlignment="1">
      <alignment horizontal="center" vertical="center"/>
    </xf>
    <xf numFmtId="167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6" fontId="0" fillId="0" borderId="17" xfId="44" applyNumberFormat="1" applyFont="1" applyBorder="1" applyAlignment="1">
      <alignment horizontal="center" vertical="center"/>
    </xf>
    <xf numFmtId="167" fontId="0" fillId="0" borderId="68" xfId="0" applyNumberFormat="1" applyBorder="1" applyAlignment="1">
      <alignment horizontal="center" vertical="center"/>
    </xf>
    <xf numFmtId="10" fontId="0" fillId="0" borderId="75" xfId="44" applyNumberFormat="1" applyFont="1" applyBorder="1" applyAlignment="1">
      <alignment horizontal="center" vertical="center"/>
    </xf>
    <xf numFmtId="167" fontId="0" fillId="0" borderId="76" xfId="0" applyNumberFormat="1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30" fillId="0" borderId="84" xfId="0" applyFont="1" applyFill="1" applyBorder="1"/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абина" refreshedDate="44100.471914699076" createdVersion="6" refreshedVersion="6" minRefreshableVersion="3" recordCount="28">
  <cacheSource type="worksheet">
    <worksheetSource ref="B1:I29" sheet="Автоматизированный расчет"/>
  </cacheSource>
  <cacheFields count="8">
    <cacheField name="Script name" numFmtId="0">
      <sharedItems count="6">
        <s v="Отмена брони"/>
        <s v="Покупка билета"/>
        <s v="Выбор рейса"/>
        <s v="Просмотр квитанций"/>
        <s v="Вход и выход"/>
        <s v="Поиск рейса"/>
      </sharedItems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4"/>
    </cacheField>
    <cacheField name="pacing" numFmtId="0">
      <sharedItems containsSemiMixedTypes="0" containsString="0" containsNumber="1" containsInteger="1" minValue="51" maxValue="197"/>
    </cacheField>
    <cacheField name="одним пользователем в минуту" numFmtId="2">
      <sharedItems containsSemiMixedTypes="0" containsString="0" containsNumber="1" minValue="0.30456852791878175" maxValue="1.1764705882352942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20" maxValue="141.17647058823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Сабина" refreshedDate="44100.636808680552" createdVersion="6" refreshedVersion="6" minRefreshableVersion="3" recordCount="28">
  <cacheSource type="worksheet">
    <worksheetSource ref="O18:V46" sheet="Автоматизированный расчет"/>
  </cacheSource>
  <cacheFields count="8">
    <cacheField name="Script name" numFmtId="0">
      <sharedItems count="6">
        <s v="Отмена брони"/>
        <s v="Покупка билета"/>
        <s v="Выбор рейса"/>
        <s v="Просмотр квитанций"/>
        <s v="Вход и выход"/>
        <s v="Поиск рейса"/>
      </sharedItems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4"/>
    </cacheField>
    <cacheField name="pacing" numFmtId="0">
      <sharedItems containsSemiMixedTypes="0" containsString="0" containsNumber="1" minValue="18.36" maxValue="70.92"/>
    </cacheField>
    <cacheField name="одним пользователем в минуту" numFmtId="2">
      <sharedItems containsSemiMixedTypes="0" containsString="0" containsNumber="1" minValue="0.84602368866328259" maxValue="3.2679738562091503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55.555555555555557" maxValue="392.15686274509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n v="1"/>
    <n v="4"/>
    <n v="197"/>
    <n v="0.30456852791878175"/>
    <n v="60"/>
    <n v="73.096446700507613"/>
  </r>
  <r>
    <x v="0"/>
    <x v="1"/>
    <n v="1"/>
    <n v="4"/>
    <n v="197"/>
    <n v="0.30456852791878175"/>
    <n v="60"/>
    <n v="73.096446700507613"/>
  </r>
  <r>
    <x v="0"/>
    <x v="2"/>
    <n v="1"/>
    <n v="4"/>
    <n v="197"/>
    <n v="0.30456852791878175"/>
    <n v="60"/>
    <n v="73.096446700507613"/>
  </r>
  <r>
    <x v="0"/>
    <x v="3"/>
    <n v="1"/>
    <n v="4"/>
    <n v="197"/>
    <n v="0.30456852791878175"/>
    <n v="60"/>
    <n v="73.096446700507613"/>
  </r>
  <r>
    <x v="0"/>
    <x v="4"/>
    <n v="1"/>
    <n v="4"/>
    <n v="197"/>
    <n v="0.30456852791878175"/>
    <n v="60"/>
    <n v="73.096446700507613"/>
  </r>
  <r>
    <x v="0"/>
    <x v="5"/>
    <n v="1"/>
    <n v="4"/>
    <n v="197"/>
    <n v="0.30456852791878175"/>
    <n v="60"/>
    <n v="73.096446700507613"/>
  </r>
  <r>
    <x v="0"/>
    <x v="6"/>
    <n v="1"/>
    <n v="4"/>
    <n v="197"/>
    <n v="0.30456852791878175"/>
    <n v="60"/>
    <n v="73.096446700507613"/>
  </r>
  <r>
    <x v="1"/>
    <x v="0"/>
    <n v="1"/>
    <n v="2"/>
    <n v="90"/>
    <n v="0.66666666666666663"/>
    <n v="60"/>
    <n v="80"/>
  </r>
  <r>
    <x v="1"/>
    <x v="1"/>
    <n v="1"/>
    <n v="2"/>
    <n v="90"/>
    <n v="0.66666666666666663"/>
    <n v="60"/>
    <n v="80"/>
  </r>
  <r>
    <x v="1"/>
    <x v="2"/>
    <n v="1"/>
    <n v="2"/>
    <n v="90"/>
    <n v="0.66666666666666663"/>
    <n v="60"/>
    <n v="80"/>
  </r>
  <r>
    <x v="1"/>
    <x v="3"/>
    <n v="1"/>
    <n v="2"/>
    <n v="90"/>
    <n v="0.66666666666666663"/>
    <n v="60"/>
    <n v="80"/>
  </r>
  <r>
    <x v="1"/>
    <x v="6"/>
    <n v="1"/>
    <n v="2"/>
    <n v="90"/>
    <n v="0.66666666666666663"/>
    <n v="60"/>
    <n v="80"/>
  </r>
  <r>
    <x v="2"/>
    <x v="0"/>
    <n v="1"/>
    <n v="2"/>
    <n v="101"/>
    <n v="0.59405940594059403"/>
    <n v="60"/>
    <n v="71.287128712871279"/>
  </r>
  <r>
    <x v="2"/>
    <x v="1"/>
    <n v="1"/>
    <n v="2"/>
    <n v="101"/>
    <n v="0.59405940594059403"/>
    <n v="60"/>
    <n v="71.287128712871279"/>
  </r>
  <r>
    <x v="2"/>
    <x v="2"/>
    <n v="1"/>
    <n v="2"/>
    <n v="101"/>
    <n v="0.59405940594059403"/>
    <n v="60"/>
    <n v="71.287128712871279"/>
  </r>
  <r>
    <x v="2"/>
    <x v="4"/>
    <n v="1"/>
    <n v="2"/>
    <n v="101"/>
    <n v="0.59405940594059403"/>
    <n v="60"/>
    <n v="71.287128712871279"/>
  </r>
  <r>
    <x v="2"/>
    <x v="6"/>
    <n v="1"/>
    <n v="2"/>
    <n v="101"/>
    <n v="0.59405940594059403"/>
    <n v="60"/>
    <n v="71.287128712871279"/>
  </r>
  <r>
    <x v="3"/>
    <x v="0"/>
    <n v="1"/>
    <n v="1"/>
    <n v="180"/>
    <n v="0.33333333333333331"/>
    <n v="60"/>
    <n v="20"/>
  </r>
  <r>
    <x v="3"/>
    <x v="1"/>
    <n v="1"/>
    <n v="1"/>
    <n v="180"/>
    <n v="0.33333333333333331"/>
    <n v="60"/>
    <n v="20"/>
  </r>
  <r>
    <x v="3"/>
    <x v="2"/>
    <n v="1"/>
    <n v="1"/>
    <n v="180"/>
    <n v="0.33333333333333331"/>
    <n v="60"/>
    <n v="20"/>
  </r>
  <r>
    <x v="3"/>
    <x v="3"/>
    <n v="1"/>
    <n v="1"/>
    <n v="180"/>
    <n v="0.33333333333333331"/>
    <n v="60"/>
    <n v="20"/>
  </r>
  <r>
    <x v="3"/>
    <x v="4"/>
    <n v="1"/>
    <n v="1"/>
    <n v="180"/>
    <n v="0.33333333333333331"/>
    <n v="60"/>
    <n v="20"/>
  </r>
  <r>
    <x v="3"/>
    <x v="6"/>
    <n v="1"/>
    <n v="1"/>
    <n v="180"/>
    <n v="0.33333333333333331"/>
    <n v="60"/>
    <n v="20"/>
  </r>
  <r>
    <x v="4"/>
    <x v="0"/>
    <n v="1"/>
    <n v="2"/>
    <n v="51"/>
    <n v="1.1764705882352942"/>
    <n v="60"/>
    <n v="141.1764705882353"/>
  </r>
  <r>
    <x v="4"/>
    <x v="6"/>
    <n v="1"/>
    <n v="2"/>
    <n v="51"/>
    <n v="1.1764705882352942"/>
    <n v="60"/>
    <n v="141.1764705882353"/>
  </r>
  <r>
    <x v="5"/>
    <x v="0"/>
    <n v="1"/>
    <n v="1"/>
    <n v="99"/>
    <n v="0.60606060606060608"/>
    <n v="60"/>
    <n v="36.363636363636367"/>
  </r>
  <r>
    <x v="5"/>
    <x v="1"/>
    <n v="1"/>
    <n v="1"/>
    <n v="99"/>
    <n v="0.60606060606060608"/>
    <n v="60"/>
    <n v="36.363636363636367"/>
  </r>
  <r>
    <x v="5"/>
    <x v="6"/>
    <n v="1"/>
    <n v="1"/>
    <n v="99"/>
    <n v="0.60606060606060608"/>
    <n v="60"/>
    <n v="36.3636363636363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x v="0"/>
    <x v="0"/>
    <n v="1"/>
    <n v="4"/>
    <n v="70.92"/>
    <n v="0.84602368866328259"/>
    <n v="60"/>
    <n v="203.04568527918781"/>
  </r>
  <r>
    <x v="0"/>
    <x v="1"/>
    <n v="1"/>
    <n v="4"/>
    <n v="70.92"/>
    <n v="0.84602368866328259"/>
    <n v="60"/>
    <n v="203.04568527918781"/>
  </r>
  <r>
    <x v="0"/>
    <x v="2"/>
    <n v="1"/>
    <n v="4"/>
    <n v="70.92"/>
    <n v="0.84602368866328259"/>
    <n v="60"/>
    <n v="203.04568527918781"/>
  </r>
  <r>
    <x v="0"/>
    <x v="3"/>
    <n v="1"/>
    <n v="4"/>
    <n v="70.92"/>
    <n v="0.84602368866328259"/>
    <n v="60"/>
    <n v="203.04568527918781"/>
  </r>
  <r>
    <x v="0"/>
    <x v="4"/>
    <n v="1"/>
    <n v="4"/>
    <n v="70.92"/>
    <n v="0.84602368866328259"/>
    <n v="60"/>
    <n v="203.04568527918781"/>
  </r>
  <r>
    <x v="0"/>
    <x v="5"/>
    <n v="1"/>
    <n v="4"/>
    <n v="70.92"/>
    <n v="0.84602368866328259"/>
    <n v="60"/>
    <n v="203.04568527918781"/>
  </r>
  <r>
    <x v="0"/>
    <x v="6"/>
    <n v="1"/>
    <n v="4"/>
    <n v="70.92"/>
    <n v="0.84602368866328259"/>
    <n v="60"/>
    <n v="203.04568527918781"/>
  </r>
  <r>
    <x v="1"/>
    <x v="0"/>
    <n v="1"/>
    <n v="2"/>
    <n v="32.4"/>
    <n v="1.8518518518518519"/>
    <n v="60"/>
    <n v="222.22222222222223"/>
  </r>
  <r>
    <x v="1"/>
    <x v="1"/>
    <n v="1"/>
    <n v="2"/>
    <n v="32.4"/>
    <n v="1.8518518518518519"/>
    <n v="60"/>
    <n v="222.22222222222223"/>
  </r>
  <r>
    <x v="1"/>
    <x v="2"/>
    <n v="1"/>
    <n v="2"/>
    <n v="32.4"/>
    <n v="1.8518518518518519"/>
    <n v="60"/>
    <n v="222.22222222222223"/>
  </r>
  <r>
    <x v="1"/>
    <x v="3"/>
    <n v="1"/>
    <n v="2"/>
    <n v="32.4"/>
    <n v="1.8518518518518519"/>
    <n v="60"/>
    <n v="222.22222222222223"/>
  </r>
  <r>
    <x v="1"/>
    <x v="6"/>
    <n v="1"/>
    <n v="2"/>
    <n v="32.4"/>
    <n v="1.8518518518518519"/>
    <n v="60"/>
    <n v="222.22222222222223"/>
  </r>
  <r>
    <x v="2"/>
    <x v="0"/>
    <n v="1"/>
    <n v="2"/>
    <n v="36.36"/>
    <n v="1.6501650165016502"/>
    <n v="60"/>
    <n v="198.01980198019803"/>
  </r>
  <r>
    <x v="2"/>
    <x v="1"/>
    <n v="1"/>
    <n v="2"/>
    <n v="36.36"/>
    <n v="1.6501650165016502"/>
    <n v="60"/>
    <n v="198.01980198019803"/>
  </r>
  <r>
    <x v="2"/>
    <x v="2"/>
    <n v="1"/>
    <n v="2"/>
    <n v="36.36"/>
    <n v="1.6501650165016502"/>
    <n v="60"/>
    <n v="198.01980198019803"/>
  </r>
  <r>
    <x v="2"/>
    <x v="4"/>
    <n v="1"/>
    <n v="2"/>
    <n v="36.36"/>
    <n v="1.6501650165016502"/>
    <n v="60"/>
    <n v="198.01980198019803"/>
  </r>
  <r>
    <x v="2"/>
    <x v="6"/>
    <n v="1"/>
    <n v="2"/>
    <n v="36.36"/>
    <n v="1.6501650165016502"/>
    <n v="60"/>
    <n v="198.01980198019803"/>
  </r>
  <r>
    <x v="3"/>
    <x v="0"/>
    <n v="1"/>
    <n v="1"/>
    <n v="64.8"/>
    <n v="0.92592592592592593"/>
    <n v="60"/>
    <n v="55.555555555555557"/>
  </r>
  <r>
    <x v="3"/>
    <x v="1"/>
    <n v="1"/>
    <n v="1"/>
    <n v="64.8"/>
    <n v="0.92592592592592593"/>
    <n v="60"/>
    <n v="55.555555555555557"/>
  </r>
  <r>
    <x v="3"/>
    <x v="2"/>
    <n v="1"/>
    <n v="1"/>
    <n v="64.8"/>
    <n v="0.92592592592592593"/>
    <n v="60"/>
    <n v="55.555555555555557"/>
  </r>
  <r>
    <x v="3"/>
    <x v="3"/>
    <n v="1"/>
    <n v="1"/>
    <n v="64.8"/>
    <n v="0.92592592592592593"/>
    <n v="60"/>
    <n v="55.555555555555557"/>
  </r>
  <r>
    <x v="3"/>
    <x v="4"/>
    <n v="1"/>
    <n v="1"/>
    <n v="64.8"/>
    <n v="0.92592592592592593"/>
    <n v="60"/>
    <n v="55.555555555555557"/>
  </r>
  <r>
    <x v="3"/>
    <x v="6"/>
    <n v="1"/>
    <n v="1"/>
    <n v="64.8"/>
    <n v="0.92592592592592593"/>
    <n v="60"/>
    <n v="55.555555555555557"/>
  </r>
  <r>
    <x v="4"/>
    <x v="0"/>
    <n v="1"/>
    <n v="2"/>
    <n v="18.36"/>
    <n v="3.2679738562091503"/>
    <n v="60"/>
    <n v="392.15686274509801"/>
  </r>
  <r>
    <x v="4"/>
    <x v="6"/>
    <n v="1"/>
    <n v="2"/>
    <n v="18.36"/>
    <n v="3.2679738562091503"/>
    <n v="60"/>
    <n v="392.15686274509801"/>
  </r>
  <r>
    <x v="5"/>
    <x v="0"/>
    <n v="1"/>
    <n v="1"/>
    <n v="35.64"/>
    <n v="1.6835016835016834"/>
    <n v="60"/>
    <n v="101.01010101010101"/>
  </r>
  <r>
    <x v="5"/>
    <x v="1"/>
    <n v="1"/>
    <n v="1"/>
    <n v="35.64"/>
    <n v="1.6835016835016834"/>
    <n v="60"/>
    <n v="101.01010101010101"/>
  </r>
  <r>
    <x v="5"/>
    <x v="6"/>
    <n v="1"/>
    <n v="1"/>
    <n v="35.64"/>
    <n v="1.6835016835016834"/>
    <n v="60"/>
    <n v="101.01010101010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J1:K9" firstHeaderRow="1" firstDataRow="1" firstDataCol="1"/>
  <pivotFields count="8">
    <pivotField axis="axisRow" showAll="0">
      <items count="7">
        <item x="4"/>
        <item x="2"/>
        <item x="0"/>
        <item x="5"/>
        <item x="1"/>
        <item x="3"/>
        <item t="default"/>
      </items>
    </pivotField>
    <pivotField axis="axisRow" showAll="0">
      <items count="8">
        <item sd="0" x="0"/>
        <item sd="0" x="2"/>
        <item sd="0" x="6"/>
        <item sd="0" x="1"/>
        <item sd="0" x="3"/>
        <item sd="0" x="5"/>
        <item sd="0" x="4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 defaultSubtotal="0"/>
  </pivotFields>
  <rowFields count="2">
    <field x="1"/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3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J11:K19" firstHeaderRow="1" firstDataRow="1" firstDataCol="1"/>
  <pivotFields count="8">
    <pivotField axis="axisRow" showAll="0">
      <items count="7">
        <item x="4"/>
        <item x="2"/>
        <item x="0"/>
        <item x="5"/>
        <item x="1"/>
        <item x="3"/>
        <item t="default"/>
      </items>
    </pivotField>
    <pivotField axis="axisRow" showAll="0">
      <items count="8">
        <item sd="0" x="0"/>
        <item sd="0" x="2"/>
        <item sd="0" x="6"/>
        <item sd="0" x="1"/>
        <item sd="0" x="3"/>
        <item sd="0" x="5"/>
        <item sd="0" x="4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2">
    <field x="1"/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tabSelected="1" topLeftCell="A22" zoomScaleNormal="100" workbookViewId="0">
      <selection activeCell="C43" sqref="C43"/>
    </sheetView>
  </sheetViews>
  <sheetFormatPr defaultColWidth="11.42578125" defaultRowHeight="15" x14ac:dyDescent="0.25"/>
  <cols>
    <col min="1" max="1" width="13.140625" customWidth="1"/>
    <col min="2" max="2" width="28.140625" bestFit="1" customWidth="1"/>
    <col min="3" max="3" width="20.7109375" customWidth="1"/>
    <col min="4" max="4" width="11.42578125" customWidth="1"/>
    <col min="5" max="5" width="12.28515625" bestFit="1" customWidth="1"/>
    <col min="8" max="8" width="15.85546875" customWidth="1"/>
    <col min="9" max="9" width="12.28515625" bestFit="1" customWidth="1"/>
    <col min="10" max="10" width="38.85546875" customWidth="1"/>
    <col min="11" max="11" width="21.5703125" customWidth="1"/>
    <col min="12" max="12" width="11.28515625" customWidth="1"/>
    <col min="13" max="13" width="9.140625" customWidth="1"/>
    <col min="14" max="14" width="26.7109375" bestFit="1" customWidth="1"/>
    <col min="15" max="15" width="8.7109375" bestFit="1" customWidth="1"/>
    <col min="16" max="16" width="11" bestFit="1" customWidth="1"/>
    <col min="18" max="18" width="8.42578125" customWidth="1"/>
    <col min="19" max="19" width="7.42578125" customWidth="1"/>
    <col min="20" max="20" width="23" customWidth="1"/>
    <col min="23" max="23" width="14.140625" customWidth="1"/>
  </cols>
  <sheetData>
    <row r="1" spans="1:25" ht="16.5" thickBot="1" x14ac:dyDescent="0.3">
      <c r="A1" s="39" t="s">
        <v>60</v>
      </c>
      <c r="B1" s="35" t="s">
        <v>35</v>
      </c>
      <c r="C1" s="36" t="s">
        <v>36</v>
      </c>
      <c r="D1" s="36" t="s">
        <v>37</v>
      </c>
      <c r="E1" s="36" t="s">
        <v>42</v>
      </c>
      <c r="F1" s="36" t="s">
        <v>52</v>
      </c>
      <c r="G1" s="36" t="s">
        <v>53</v>
      </c>
      <c r="H1" s="36" t="s">
        <v>54</v>
      </c>
      <c r="I1" s="37" t="s">
        <v>7</v>
      </c>
      <c r="J1" s="40" t="s">
        <v>38</v>
      </c>
      <c r="K1" t="s">
        <v>51</v>
      </c>
      <c r="N1" s="72" t="s">
        <v>41</v>
      </c>
      <c r="O1" s="72" t="s">
        <v>43</v>
      </c>
      <c r="P1" s="72" t="s">
        <v>44</v>
      </c>
      <c r="Q1" s="72" t="s">
        <v>55</v>
      </c>
      <c r="R1" s="72" t="s">
        <v>45</v>
      </c>
      <c r="S1" s="72" t="s">
        <v>42</v>
      </c>
      <c r="T1" s="72" t="s">
        <v>46</v>
      </c>
      <c r="U1" s="18" t="s">
        <v>47</v>
      </c>
      <c r="V1" s="18" t="s">
        <v>48</v>
      </c>
      <c r="W1" s="18" t="s">
        <v>49</v>
      </c>
      <c r="Y1" t="s">
        <v>50</v>
      </c>
    </row>
    <row r="2" spans="1:25" ht="15.75" thickBot="1" x14ac:dyDescent="0.3">
      <c r="A2" s="148">
        <v>1</v>
      </c>
      <c r="B2" s="20" t="s">
        <v>56</v>
      </c>
      <c r="C2" s="21" t="s">
        <v>0</v>
      </c>
      <c r="D2" s="21">
        <v>1</v>
      </c>
      <c r="E2" s="32">
        <f>VLOOKUP(B2,$N$1:$X$8,6,FALSE)</f>
        <v>4</v>
      </c>
      <c r="F2" s="21">
        <f>VLOOKUP(B2,$N$1:$X$8,5,FALSE)</f>
        <v>197</v>
      </c>
      <c r="G2" s="30">
        <f>60/F2</f>
        <v>0.30456852791878175</v>
      </c>
      <c r="H2" s="21">
        <v>60</v>
      </c>
      <c r="I2" s="31">
        <f>E2*G2*H2</f>
        <v>73.096446700507613</v>
      </c>
      <c r="J2" s="16" t="s">
        <v>0</v>
      </c>
      <c r="K2" s="15">
        <v>421.92368236525056</v>
      </c>
      <c r="N2" s="73" t="s">
        <v>56</v>
      </c>
      <c r="O2" s="74">
        <v>39</v>
      </c>
      <c r="P2" s="73">
        <v>35</v>
      </c>
      <c r="Q2" s="73">
        <f>O2+P2</f>
        <v>74</v>
      </c>
      <c r="R2" s="43">
        <v>197</v>
      </c>
      <c r="S2" s="43">
        <v>4</v>
      </c>
      <c r="T2" s="75">
        <f>60/(R2)</f>
        <v>0.30456852791878175</v>
      </c>
      <c r="U2" s="18">
        <v>20</v>
      </c>
      <c r="V2" s="19">
        <f>ROUND(S2*T2*U2,0)</f>
        <v>24</v>
      </c>
      <c r="W2" s="41">
        <f>S2/Y$2</f>
        <v>0.33333333333333331</v>
      </c>
      <c r="Y2">
        <f>SUM(S2:S7)</f>
        <v>12</v>
      </c>
    </row>
    <row r="3" spans="1:25" ht="15.75" thickBot="1" x14ac:dyDescent="0.3">
      <c r="A3" s="148"/>
      <c r="B3" s="22" t="s">
        <v>56</v>
      </c>
      <c r="C3" s="23" t="s">
        <v>9</v>
      </c>
      <c r="D3" s="23">
        <v>1</v>
      </c>
      <c r="E3" s="33">
        <f t="shared" ref="E3:E29" si="0">VLOOKUP(B3,$N$1:$X$8,6,FALSE)</f>
        <v>4</v>
      </c>
      <c r="F3" s="23">
        <f>VLOOKUP(B3,$N$1:$X$8,5,FALSE)</f>
        <v>197</v>
      </c>
      <c r="G3" s="24">
        <f t="shared" ref="G3:G29" si="1">60/F3</f>
        <v>0.30456852791878175</v>
      </c>
      <c r="H3" s="23">
        <v>60</v>
      </c>
      <c r="I3" s="25">
        <f t="shared" ref="I3:I29" si="2">E3*G3*H3</f>
        <v>73.096446700507613</v>
      </c>
      <c r="J3" s="16" t="s">
        <v>10</v>
      </c>
      <c r="K3" s="15">
        <v>244.38357541337888</v>
      </c>
      <c r="N3" s="73" t="s">
        <v>8</v>
      </c>
      <c r="O3" s="73">
        <v>25</v>
      </c>
      <c r="P3" s="73">
        <v>20</v>
      </c>
      <c r="Q3" s="73">
        <f t="shared" ref="Q3:Q7" si="3">O3+P3</f>
        <v>45</v>
      </c>
      <c r="R3" s="17">
        <v>90</v>
      </c>
      <c r="S3" s="17">
        <v>2</v>
      </c>
      <c r="T3" s="75">
        <f t="shared" ref="T3:T7" si="4">60/(R3)</f>
        <v>0.66666666666666663</v>
      </c>
      <c r="U3" s="18">
        <v>20</v>
      </c>
      <c r="V3" s="19">
        <f t="shared" ref="V3:V6" si="5">ROUND(S3*T3*U3,0)</f>
        <v>27</v>
      </c>
      <c r="W3" s="41">
        <f t="shared" ref="W3:W6" si="6">S3/Y$2</f>
        <v>0.16666666666666666</v>
      </c>
    </row>
    <row r="4" spans="1:25" ht="15.75" thickBot="1" x14ac:dyDescent="0.3">
      <c r="A4" s="148"/>
      <c r="B4" s="22" t="s">
        <v>56</v>
      </c>
      <c r="C4" s="23" t="s">
        <v>10</v>
      </c>
      <c r="D4" s="23">
        <v>1</v>
      </c>
      <c r="E4" s="33">
        <f t="shared" si="0"/>
        <v>4</v>
      </c>
      <c r="F4" s="23">
        <f t="shared" ref="F4:F29" si="7">VLOOKUP(B4,$N$1:$X$8,5,FALSE)</f>
        <v>197</v>
      </c>
      <c r="G4" s="24">
        <f t="shared" si="1"/>
        <v>0.30456852791878175</v>
      </c>
      <c r="H4" s="23">
        <v>60</v>
      </c>
      <c r="I4" s="25">
        <f t="shared" si="2"/>
        <v>73.096446700507613</v>
      </c>
      <c r="J4" s="16" t="s">
        <v>6</v>
      </c>
      <c r="K4" s="15">
        <v>421.92368236525056</v>
      </c>
      <c r="N4" s="73" t="s">
        <v>57</v>
      </c>
      <c r="O4" s="73">
        <v>29</v>
      </c>
      <c r="P4" s="73">
        <v>25</v>
      </c>
      <c r="Q4" s="73">
        <f t="shared" si="3"/>
        <v>54</v>
      </c>
      <c r="R4" s="17">
        <v>101</v>
      </c>
      <c r="S4" s="17">
        <v>2</v>
      </c>
      <c r="T4" s="75">
        <f t="shared" si="4"/>
        <v>0.59405940594059403</v>
      </c>
      <c r="U4" s="18">
        <v>20</v>
      </c>
      <c r="V4" s="19">
        <f t="shared" si="5"/>
        <v>24</v>
      </c>
      <c r="W4" s="41">
        <f t="shared" si="6"/>
        <v>0.16666666666666666</v>
      </c>
    </row>
    <row r="5" spans="1:25" ht="15.75" thickBot="1" x14ac:dyDescent="0.3">
      <c r="A5" s="148"/>
      <c r="B5" s="22" t="s">
        <v>56</v>
      </c>
      <c r="C5" s="23" t="s">
        <v>3</v>
      </c>
      <c r="D5" s="23">
        <v>1</v>
      </c>
      <c r="E5" s="33">
        <f t="shared" si="0"/>
        <v>4</v>
      </c>
      <c r="F5" s="23">
        <f t="shared" si="7"/>
        <v>197</v>
      </c>
      <c r="G5" s="24">
        <f t="shared" si="1"/>
        <v>0.30456852791878175</v>
      </c>
      <c r="H5" s="23">
        <v>60</v>
      </c>
      <c r="I5" s="25">
        <f t="shared" si="2"/>
        <v>73.096446700507613</v>
      </c>
      <c r="J5" s="16" t="s">
        <v>9</v>
      </c>
      <c r="K5" s="15">
        <v>280.74721177701525</v>
      </c>
      <c r="N5" s="73" t="s">
        <v>4</v>
      </c>
      <c r="O5" s="73">
        <v>40</v>
      </c>
      <c r="P5" s="73">
        <v>35</v>
      </c>
      <c r="Q5" s="73">
        <f t="shared" si="3"/>
        <v>75</v>
      </c>
      <c r="R5" s="17">
        <v>180</v>
      </c>
      <c r="S5" s="17">
        <v>1</v>
      </c>
      <c r="T5" s="75">
        <f t="shared" si="4"/>
        <v>0.33333333333333331</v>
      </c>
      <c r="U5" s="18">
        <v>20</v>
      </c>
      <c r="V5" s="19">
        <f t="shared" si="5"/>
        <v>7</v>
      </c>
      <c r="W5" s="41">
        <f t="shared" si="6"/>
        <v>8.3333333333333329E-2</v>
      </c>
    </row>
    <row r="6" spans="1:25" ht="15.75" thickBot="1" x14ac:dyDescent="0.3">
      <c r="A6" s="148"/>
      <c r="B6" s="22" t="s">
        <v>56</v>
      </c>
      <c r="C6" s="23" t="s">
        <v>4</v>
      </c>
      <c r="D6" s="23">
        <v>1</v>
      </c>
      <c r="E6" s="33">
        <f t="shared" si="0"/>
        <v>4</v>
      </c>
      <c r="F6" s="23">
        <f t="shared" si="7"/>
        <v>197</v>
      </c>
      <c r="G6" s="24">
        <f t="shared" si="1"/>
        <v>0.30456852791878175</v>
      </c>
      <c r="H6" s="23">
        <v>60</v>
      </c>
      <c r="I6" s="25">
        <f t="shared" si="2"/>
        <v>73.096446700507613</v>
      </c>
      <c r="J6" s="16" t="s">
        <v>3</v>
      </c>
      <c r="K6" s="15">
        <v>173.09644670050761</v>
      </c>
      <c r="N6" s="73" t="s">
        <v>58</v>
      </c>
      <c r="O6" s="73">
        <v>8</v>
      </c>
      <c r="P6" s="73">
        <v>5</v>
      </c>
      <c r="Q6" s="73">
        <f t="shared" si="3"/>
        <v>13</v>
      </c>
      <c r="R6" s="17">
        <v>51</v>
      </c>
      <c r="S6" s="17">
        <v>2</v>
      </c>
      <c r="T6" s="75">
        <f t="shared" si="4"/>
        <v>1.1764705882352942</v>
      </c>
      <c r="U6" s="18">
        <v>20</v>
      </c>
      <c r="V6" s="19">
        <f t="shared" si="5"/>
        <v>47</v>
      </c>
      <c r="W6" s="41">
        <f t="shared" si="6"/>
        <v>0.16666666666666666</v>
      </c>
    </row>
    <row r="7" spans="1:25" ht="15.75" thickBot="1" x14ac:dyDescent="0.3">
      <c r="A7" s="148"/>
      <c r="B7" s="22" t="s">
        <v>56</v>
      </c>
      <c r="C7" s="23" t="s">
        <v>11</v>
      </c>
      <c r="D7" s="23">
        <v>1</v>
      </c>
      <c r="E7" s="33">
        <f t="shared" si="0"/>
        <v>4</v>
      </c>
      <c r="F7" s="23">
        <f t="shared" si="7"/>
        <v>197</v>
      </c>
      <c r="G7" s="24">
        <f t="shared" si="1"/>
        <v>0.30456852791878175</v>
      </c>
      <c r="H7" s="23">
        <v>60</v>
      </c>
      <c r="I7" s="25">
        <f t="shared" si="2"/>
        <v>73.096446700507613</v>
      </c>
      <c r="J7" s="16" t="s">
        <v>11</v>
      </c>
      <c r="K7" s="15">
        <v>73.096446700507613</v>
      </c>
      <c r="N7" s="76" t="s">
        <v>61</v>
      </c>
      <c r="O7" s="76">
        <v>23</v>
      </c>
      <c r="P7" s="76">
        <v>15</v>
      </c>
      <c r="Q7" s="76">
        <f t="shared" si="3"/>
        <v>38</v>
      </c>
      <c r="R7" s="43">
        <v>99</v>
      </c>
      <c r="S7" s="43">
        <v>1</v>
      </c>
      <c r="T7" s="77">
        <f t="shared" si="4"/>
        <v>0.60606060606060608</v>
      </c>
      <c r="U7" s="18">
        <v>20</v>
      </c>
      <c r="V7" s="19">
        <f>SUM(V2:V6)</f>
        <v>129</v>
      </c>
      <c r="W7" s="41">
        <f>S7/Y$2</f>
        <v>8.3333333333333329E-2</v>
      </c>
    </row>
    <row r="8" spans="1:25" ht="15.75" thickBot="1" x14ac:dyDescent="0.3">
      <c r="A8" s="148"/>
      <c r="B8" s="26" t="s">
        <v>56</v>
      </c>
      <c r="C8" s="27" t="s">
        <v>6</v>
      </c>
      <c r="D8" s="27">
        <v>1</v>
      </c>
      <c r="E8" s="34">
        <f t="shared" si="0"/>
        <v>4</v>
      </c>
      <c r="F8" s="27">
        <f t="shared" si="7"/>
        <v>197</v>
      </c>
      <c r="G8" s="28">
        <f t="shared" si="1"/>
        <v>0.30456852791878175</v>
      </c>
      <c r="H8" s="27">
        <v>60</v>
      </c>
      <c r="I8" s="29">
        <f t="shared" si="2"/>
        <v>73.096446700507613</v>
      </c>
      <c r="J8" s="16" t="s">
        <v>4</v>
      </c>
      <c r="K8" s="15">
        <v>164.38357541337888</v>
      </c>
      <c r="O8" s="49"/>
      <c r="P8" s="49"/>
      <c r="Q8" s="49"/>
      <c r="R8" s="109"/>
      <c r="S8" s="108"/>
      <c r="T8" s="49"/>
      <c r="W8" s="42"/>
    </row>
    <row r="9" spans="1:25" ht="15.75" thickBot="1" x14ac:dyDescent="0.3">
      <c r="A9" s="148">
        <v>2</v>
      </c>
      <c r="B9" s="20" t="s">
        <v>8</v>
      </c>
      <c r="C9" s="21" t="s">
        <v>0</v>
      </c>
      <c r="D9" s="21">
        <v>1</v>
      </c>
      <c r="E9" s="32">
        <f t="shared" si="0"/>
        <v>2</v>
      </c>
      <c r="F9" s="21">
        <f t="shared" si="7"/>
        <v>90</v>
      </c>
      <c r="G9" s="30">
        <f t="shared" si="1"/>
        <v>0.66666666666666663</v>
      </c>
      <c r="H9" s="21">
        <v>60</v>
      </c>
      <c r="I9" s="31">
        <f t="shared" si="2"/>
        <v>80</v>
      </c>
      <c r="J9" s="16" t="s">
        <v>39</v>
      </c>
      <c r="K9" s="15">
        <v>1779.5546207352895</v>
      </c>
      <c r="N9" s="114" t="s">
        <v>82</v>
      </c>
    </row>
    <row r="10" spans="1:25" ht="18.75" customHeight="1" thickBot="1" x14ac:dyDescent="0.3">
      <c r="A10" s="148"/>
      <c r="B10" s="22" t="s">
        <v>8</v>
      </c>
      <c r="C10" s="23" t="s">
        <v>9</v>
      </c>
      <c r="D10" s="23">
        <v>1</v>
      </c>
      <c r="E10" s="33">
        <f t="shared" si="0"/>
        <v>2</v>
      </c>
      <c r="F10" s="23">
        <f t="shared" si="7"/>
        <v>90</v>
      </c>
      <c r="G10" s="24">
        <f t="shared" si="1"/>
        <v>0.66666666666666663</v>
      </c>
      <c r="H10" s="23">
        <v>60</v>
      </c>
      <c r="I10" s="25">
        <f t="shared" si="2"/>
        <v>80</v>
      </c>
      <c r="J10" s="113" t="s">
        <v>75</v>
      </c>
      <c r="N10" s="72" t="s">
        <v>41</v>
      </c>
      <c r="O10" s="72" t="s">
        <v>43</v>
      </c>
      <c r="P10" s="72" t="s">
        <v>44</v>
      </c>
      <c r="Q10" s="72" t="s">
        <v>55</v>
      </c>
      <c r="R10" s="72" t="s">
        <v>45</v>
      </c>
      <c r="S10" s="72" t="s">
        <v>42</v>
      </c>
      <c r="T10" s="72" t="s">
        <v>46</v>
      </c>
    </row>
    <row r="11" spans="1:25" ht="15.75" thickBot="1" x14ac:dyDescent="0.3">
      <c r="A11" s="148"/>
      <c r="B11" s="22" t="s">
        <v>8</v>
      </c>
      <c r="C11" s="23" t="s">
        <v>10</v>
      </c>
      <c r="D11" s="23">
        <v>1</v>
      </c>
      <c r="E11" s="33">
        <f t="shared" si="0"/>
        <v>2</v>
      </c>
      <c r="F11" s="23">
        <f t="shared" si="7"/>
        <v>90</v>
      </c>
      <c r="G11" s="24">
        <f t="shared" si="1"/>
        <v>0.66666666666666663</v>
      </c>
      <c r="H11" s="23">
        <v>60</v>
      </c>
      <c r="I11" s="25">
        <f t="shared" si="2"/>
        <v>80</v>
      </c>
      <c r="J11" s="40" t="s">
        <v>38</v>
      </c>
      <c r="K11" t="s">
        <v>51</v>
      </c>
      <c r="N11" s="73" t="s">
        <v>56</v>
      </c>
      <c r="O11" s="74">
        <v>39</v>
      </c>
      <c r="P11" s="73">
        <v>7</v>
      </c>
      <c r="Q11" s="73">
        <f>O11+P11</f>
        <v>46</v>
      </c>
      <c r="R11" s="106">
        <f>R2*0.36</f>
        <v>70.92</v>
      </c>
      <c r="S11" s="43">
        <v>4</v>
      </c>
      <c r="T11" s="75">
        <f>60/(R11)</f>
        <v>0.84602368866328259</v>
      </c>
      <c r="X11" s="106">
        <v>78.800000000000011</v>
      </c>
    </row>
    <row r="12" spans="1:25" ht="15.75" thickBot="1" x14ac:dyDescent="0.3">
      <c r="A12" s="148"/>
      <c r="B12" s="22" t="s">
        <v>8</v>
      </c>
      <c r="C12" s="23" t="s">
        <v>3</v>
      </c>
      <c r="D12" s="23">
        <v>1</v>
      </c>
      <c r="E12" s="33">
        <f t="shared" si="0"/>
        <v>2</v>
      </c>
      <c r="F12" s="23">
        <f t="shared" si="7"/>
        <v>90</v>
      </c>
      <c r="G12" s="24">
        <f t="shared" si="1"/>
        <v>0.66666666666666663</v>
      </c>
      <c r="H12" s="23">
        <v>60</v>
      </c>
      <c r="I12" s="25">
        <f t="shared" si="2"/>
        <v>80</v>
      </c>
      <c r="J12" s="16" t="s">
        <v>0</v>
      </c>
      <c r="K12" s="15">
        <v>1172.0102287923626</v>
      </c>
      <c r="N12" s="73" t="s">
        <v>8</v>
      </c>
      <c r="O12" s="73">
        <v>25</v>
      </c>
      <c r="P12" s="73">
        <v>4</v>
      </c>
      <c r="Q12" s="73">
        <f t="shared" ref="Q12:Q16" si="8">O12+P12</f>
        <v>29</v>
      </c>
      <c r="R12" s="106">
        <f t="shared" ref="R12:R16" si="9">R3*0.36</f>
        <v>32.4</v>
      </c>
      <c r="S12" s="17">
        <v>2</v>
      </c>
      <c r="T12" s="75">
        <f t="shared" ref="T12:T16" si="10">60/(R12)</f>
        <v>1.8518518518518519</v>
      </c>
      <c r="X12" s="107">
        <v>36</v>
      </c>
    </row>
    <row r="13" spans="1:25" ht="15.75" thickBot="1" x14ac:dyDescent="0.3">
      <c r="A13" s="148"/>
      <c r="B13" s="26" t="s">
        <v>8</v>
      </c>
      <c r="C13" s="27" t="s">
        <v>6</v>
      </c>
      <c r="D13" s="27">
        <v>1</v>
      </c>
      <c r="E13" s="34">
        <f t="shared" si="0"/>
        <v>2</v>
      </c>
      <c r="F13" s="27">
        <f t="shared" si="7"/>
        <v>90</v>
      </c>
      <c r="G13" s="28">
        <f t="shared" si="1"/>
        <v>0.66666666666666663</v>
      </c>
      <c r="H13" s="27">
        <v>60</v>
      </c>
      <c r="I13" s="29">
        <f t="shared" si="2"/>
        <v>80</v>
      </c>
      <c r="J13" s="16" t="s">
        <v>10</v>
      </c>
      <c r="K13" s="15">
        <v>678.84326503716363</v>
      </c>
      <c r="N13" s="73" t="s">
        <v>57</v>
      </c>
      <c r="O13" s="73">
        <v>29</v>
      </c>
      <c r="P13" s="73">
        <v>5</v>
      </c>
      <c r="Q13" s="73">
        <f t="shared" si="8"/>
        <v>34</v>
      </c>
      <c r="R13" s="106">
        <f t="shared" si="9"/>
        <v>36.36</v>
      </c>
      <c r="S13" s="17">
        <v>2</v>
      </c>
      <c r="T13" s="75">
        <f t="shared" si="10"/>
        <v>1.6501650165016502</v>
      </c>
      <c r="X13" s="107">
        <v>40.400000000000006</v>
      </c>
    </row>
    <row r="14" spans="1:25" ht="15.75" thickBot="1" x14ac:dyDescent="0.3">
      <c r="A14" s="148">
        <v>3</v>
      </c>
      <c r="B14" s="20" t="s">
        <v>57</v>
      </c>
      <c r="C14" s="21" t="s">
        <v>0</v>
      </c>
      <c r="D14" s="21">
        <v>1</v>
      </c>
      <c r="E14" s="32">
        <f t="shared" si="0"/>
        <v>2</v>
      </c>
      <c r="F14" s="21">
        <f t="shared" si="7"/>
        <v>101</v>
      </c>
      <c r="G14" s="30">
        <f t="shared" si="1"/>
        <v>0.59405940594059403</v>
      </c>
      <c r="H14" s="21">
        <v>60</v>
      </c>
      <c r="I14" s="31">
        <f t="shared" si="2"/>
        <v>71.287128712871279</v>
      </c>
      <c r="J14" s="16" t="s">
        <v>6</v>
      </c>
      <c r="K14" s="15">
        <v>1172.0102287923626</v>
      </c>
      <c r="N14" s="73" t="s">
        <v>4</v>
      </c>
      <c r="O14" s="73">
        <v>40</v>
      </c>
      <c r="P14" s="73">
        <v>7</v>
      </c>
      <c r="Q14" s="73">
        <f t="shared" si="8"/>
        <v>47</v>
      </c>
      <c r="R14" s="106">
        <f t="shared" si="9"/>
        <v>64.8</v>
      </c>
      <c r="S14" s="17">
        <v>1</v>
      </c>
      <c r="T14" s="75">
        <f t="shared" si="10"/>
        <v>0.92592592592592593</v>
      </c>
      <c r="X14" s="107">
        <v>72</v>
      </c>
    </row>
    <row r="15" spans="1:25" ht="15.75" thickBot="1" x14ac:dyDescent="0.3">
      <c r="A15" s="148"/>
      <c r="B15" s="22" t="s">
        <v>57</v>
      </c>
      <c r="C15" s="23" t="s">
        <v>9</v>
      </c>
      <c r="D15" s="23">
        <v>1</v>
      </c>
      <c r="E15" s="33">
        <f t="shared" si="0"/>
        <v>2</v>
      </c>
      <c r="F15" s="23">
        <f t="shared" si="7"/>
        <v>101</v>
      </c>
      <c r="G15" s="24">
        <f t="shared" si="1"/>
        <v>0.59405940594059403</v>
      </c>
      <c r="H15" s="23">
        <v>60</v>
      </c>
      <c r="I15" s="25">
        <f t="shared" si="2"/>
        <v>71.287128712871279</v>
      </c>
      <c r="J15" s="16" t="s">
        <v>9</v>
      </c>
      <c r="K15" s="15">
        <v>779.85336604726467</v>
      </c>
      <c r="N15" s="73" t="s">
        <v>58</v>
      </c>
      <c r="O15" s="73">
        <v>8</v>
      </c>
      <c r="P15" s="73">
        <v>1</v>
      </c>
      <c r="Q15" s="73">
        <f t="shared" si="8"/>
        <v>9</v>
      </c>
      <c r="R15" s="106">
        <f t="shared" si="9"/>
        <v>18.36</v>
      </c>
      <c r="S15" s="17">
        <v>2</v>
      </c>
      <c r="T15" s="75">
        <f t="shared" si="10"/>
        <v>3.2679738562091503</v>
      </c>
      <c r="X15" s="107">
        <v>20.400000000000002</v>
      </c>
    </row>
    <row r="16" spans="1:25" ht="15.75" thickBot="1" x14ac:dyDescent="0.3">
      <c r="A16" s="148"/>
      <c r="B16" s="22" t="s">
        <v>57</v>
      </c>
      <c r="C16" s="23" t="s">
        <v>10</v>
      </c>
      <c r="D16" s="23">
        <v>1</v>
      </c>
      <c r="E16" s="33">
        <f t="shared" si="0"/>
        <v>2</v>
      </c>
      <c r="F16" s="23">
        <f t="shared" si="7"/>
        <v>101</v>
      </c>
      <c r="G16" s="24">
        <f t="shared" si="1"/>
        <v>0.59405940594059403</v>
      </c>
      <c r="H16" s="23">
        <v>60</v>
      </c>
      <c r="I16" s="25">
        <f t="shared" si="2"/>
        <v>71.287128712871279</v>
      </c>
      <c r="J16" s="16" t="s">
        <v>3</v>
      </c>
      <c r="K16" s="15">
        <v>480.82346305696558</v>
      </c>
      <c r="N16" s="76" t="s">
        <v>61</v>
      </c>
      <c r="O16" s="76">
        <v>23</v>
      </c>
      <c r="P16" s="76">
        <v>3</v>
      </c>
      <c r="Q16" s="76">
        <f t="shared" si="8"/>
        <v>26</v>
      </c>
      <c r="R16" s="106">
        <f t="shared" si="9"/>
        <v>35.64</v>
      </c>
      <c r="S16" s="43">
        <v>1</v>
      </c>
      <c r="T16" s="77">
        <f t="shared" si="10"/>
        <v>1.6835016835016834</v>
      </c>
      <c r="X16" s="106">
        <v>39.6</v>
      </c>
    </row>
    <row r="17" spans="1:22" ht="15.75" thickBot="1" x14ac:dyDescent="0.3">
      <c r="A17" s="148"/>
      <c r="B17" s="22" t="s">
        <v>57</v>
      </c>
      <c r="C17" s="23" t="s">
        <v>4</v>
      </c>
      <c r="D17" s="23">
        <v>1</v>
      </c>
      <c r="E17" s="33">
        <f t="shared" si="0"/>
        <v>2</v>
      </c>
      <c r="F17" s="23">
        <f t="shared" si="7"/>
        <v>101</v>
      </c>
      <c r="G17" s="24">
        <f t="shared" si="1"/>
        <v>0.59405940594059403</v>
      </c>
      <c r="H17" s="23">
        <v>60</v>
      </c>
      <c r="I17" s="25">
        <f t="shared" si="2"/>
        <v>71.287128712871279</v>
      </c>
      <c r="J17" s="16" t="s">
        <v>11</v>
      </c>
      <c r="K17" s="15">
        <v>203.04568527918781</v>
      </c>
      <c r="N17" s="188" t="s">
        <v>77</v>
      </c>
    </row>
    <row r="18" spans="1:22" ht="16.5" thickBot="1" x14ac:dyDescent="0.3">
      <c r="A18" s="148"/>
      <c r="B18" s="26" t="s">
        <v>57</v>
      </c>
      <c r="C18" s="27" t="s">
        <v>6</v>
      </c>
      <c r="D18" s="27">
        <v>1</v>
      </c>
      <c r="E18" s="34">
        <f t="shared" si="0"/>
        <v>2</v>
      </c>
      <c r="F18" s="27">
        <f t="shared" si="7"/>
        <v>101</v>
      </c>
      <c r="G18" s="28">
        <f t="shared" si="1"/>
        <v>0.59405940594059403</v>
      </c>
      <c r="H18" s="27">
        <v>60</v>
      </c>
      <c r="I18" s="29">
        <f t="shared" si="2"/>
        <v>71.287128712871279</v>
      </c>
      <c r="J18" s="16" t="s">
        <v>4</v>
      </c>
      <c r="K18" s="15">
        <v>456.62104281494135</v>
      </c>
      <c r="N18" s="89" t="s">
        <v>60</v>
      </c>
      <c r="O18" s="35" t="s">
        <v>35</v>
      </c>
      <c r="P18" s="36" t="s">
        <v>36</v>
      </c>
      <c r="Q18" s="36" t="s">
        <v>37</v>
      </c>
      <c r="R18" s="36" t="s">
        <v>42</v>
      </c>
      <c r="S18" s="36" t="s">
        <v>52</v>
      </c>
      <c r="T18" s="36" t="s">
        <v>53</v>
      </c>
      <c r="U18" s="36" t="s">
        <v>54</v>
      </c>
      <c r="V18" s="37" t="s">
        <v>7</v>
      </c>
    </row>
    <row r="19" spans="1:22" ht="15.75" thickBot="1" x14ac:dyDescent="0.3">
      <c r="A19" s="148">
        <v>4</v>
      </c>
      <c r="B19" s="20" t="s">
        <v>4</v>
      </c>
      <c r="C19" s="21" t="s">
        <v>0</v>
      </c>
      <c r="D19" s="21">
        <v>1</v>
      </c>
      <c r="E19" s="32">
        <f>VLOOKUP(B19,$N$1:$X$8,6,FALSE)</f>
        <v>1</v>
      </c>
      <c r="F19" s="21">
        <f t="shared" si="7"/>
        <v>180</v>
      </c>
      <c r="G19" s="30">
        <f t="shared" si="1"/>
        <v>0.33333333333333331</v>
      </c>
      <c r="H19" s="21">
        <v>60</v>
      </c>
      <c r="I19" s="31">
        <f t="shared" si="2"/>
        <v>20</v>
      </c>
      <c r="J19" s="16" t="s">
        <v>39</v>
      </c>
      <c r="K19" s="15">
        <v>4943.2072798202489</v>
      </c>
      <c r="N19" s="148">
        <v>1</v>
      </c>
      <c r="O19" s="20" t="s">
        <v>56</v>
      </c>
      <c r="P19" s="21" t="s">
        <v>0</v>
      </c>
      <c r="Q19" s="21">
        <v>1</v>
      </c>
      <c r="R19" s="32">
        <f>VLOOKUP(O19,$N$1:$X$8,6,FALSE)</f>
        <v>4</v>
      </c>
      <c r="S19" s="110">
        <f>VLOOKUP(O19,$N$10:$X$16,5,FALSE)</f>
        <v>70.92</v>
      </c>
      <c r="T19" s="30">
        <f>60/S19</f>
        <v>0.84602368866328259</v>
      </c>
      <c r="U19" s="21">
        <v>60</v>
      </c>
      <c r="V19" s="31">
        <f>R19*T19*U19</f>
        <v>203.04568527918781</v>
      </c>
    </row>
    <row r="20" spans="1:22" ht="15.75" thickBot="1" x14ac:dyDescent="0.3">
      <c r="A20" s="148"/>
      <c r="B20" s="22" t="s">
        <v>4</v>
      </c>
      <c r="C20" s="23" t="s">
        <v>9</v>
      </c>
      <c r="D20" s="23">
        <v>1</v>
      </c>
      <c r="E20" s="33">
        <f t="shared" si="0"/>
        <v>1</v>
      </c>
      <c r="F20" s="23">
        <f t="shared" si="7"/>
        <v>180</v>
      </c>
      <c r="G20" s="24">
        <f t="shared" si="1"/>
        <v>0.33333333333333331</v>
      </c>
      <c r="H20" s="23">
        <v>60</v>
      </c>
      <c r="I20" s="25">
        <f t="shared" si="2"/>
        <v>20</v>
      </c>
      <c r="N20" s="148"/>
      <c r="O20" s="22" t="s">
        <v>56</v>
      </c>
      <c r="P20" s="23" t="s">
        <v>9</v>
      </c>
      <c r="Q20" s="23">
        <v>1</v>
      </c>
      <c r="R20" s="33">
        <f t="shared" ref="R20:R35" si="11">VLOOKUP(O20,$N$1:$X$8,6,FALSE)</f>
        <v>4</v>
      </c>
      <c r="S20" s="111">
        <f t="shared" ref="S20:S46" si="12">VLOOKUP(O20,$N$10:$X$16,5,FALSE)</f>
        <v>70.92</v>
      </c>
      <c r="T20" s="24">
        <f t="shared" ref="T20:T46" si="13">60/S20</f>
        <v>0.84602368866328259</v>
      </c>
      <c r="U20" s="23">
        <v>60</v>
      </c>
      <c r="V20" s="25">
        <f t="shared" ref="V20:V46" si="14">R20*T20*U20</f>
        <v>203.04568527918781</v>
      </c>
    </row>
    <row r="21" spans="1:22" ht="15.75" thickBot="1" x14ac:dyDescent="0.3">
      <c r="A21" s="148"/>
      <c r="B21" s="22" t="s">
        <v>4</v>
      </c>
      <c r="C21" s="23" t="s">
        <v>10</v>
      </c>
      <c r="D21" s="23">
        <v>1</v>
      </c>
      <c r="E21" s="33">
        <f t="shared" si="0"/>
        <v>1</v>
      </c>
      <c r="F21" s="23">
        <f t="shared" si="7"/>
        <v>180</v>
      </c>
      <c r="G21" s="24">
        <f t="shared" si="1"/>
        <v>0.33333333333333331</v>
      </c>
      <c r="H21" s="23">
        <v>60</v>
      </c>
      <c r="I21" s="25">
        <f t="shared" si="2"/>
        <v>20</v>
      </c>
      <c r="N21" s="148"/>
      <c r="O21" s="22" t="s">
        <v>56</v>
      </c>
      <c r="P21" s="23" t="s">
        <v>10</v>
      </c>
      <c r="Q21" s="23">
        <v>1</v>
      </c>
      <c r="R21" s="33">
        <f t="shared" si="11"/>
        <v>4</v>
      </c>
      <c r="S21" s="111">
        <f t="shared" si="12"/>
        <v>70.92</v>
      </c>
      <c r="T21" s="24">
        <f t="shared" si="13"/>
        <v>0.84602368866328259</v>
      </c>
      <c r="U21" s="23">
        <v>60</v>
      </c>
      <c r="V21" s="25">
        <f t="shared" si="14"/>
        <v>203.04568527918781</v>
      </c>
    </row>
    <row r="22" spans="1:22" ht="15.75" thickBot="1" x14ac:dyDescent="0.3">
      <c r="A22" s="148"/>
      <c r="B22" s="22" t="s">
        <v>4</v>
      </c>
      <c r="C22" s="23" t="s">
        <v>3</v>
      </c>
      <c r="D22" s="23">
        <v>1</v>
      </c>
      <c r="E22" s="33">
        <f t="shared" si="0"/>
        <v>1</v>
      </c>
      <c r="F22" s="23">
        <f t="shared" si="7"/>
        <v>180</v>
      </c>
      <c r="G22" s="24">
        <f t="shared" si="1"/>
        <v>0.33333333333333331</v>
      </c>
      <c r="H22" s="23">
        <v>60</v>
      </c>
      <c r="I22" s="25">
        <f t="shared" si="2"/>
        <v>20</v>
      </c>
      <c r="N22" s="148"/>
      <c r="O22" s="22" t="s">
        <v>56</v>
      </c>
      <c r="P22" s="23" t="s">
        <v>3</v>
      </c>
      <c r="Q22" s="23">
        <v>1</v>
      </c>
      <c r="R22" s="33">
        <f t="shared" si="11"/>
        <v>4</v>
      </c>
      <c r="S22" s="111">
        <f t="shared" si="12"/>
        <v>70.92</v>
      </c>
      <c r="T22" s="24">
        <f t="shared" si="13"/>
        <v>0.84602368866328259</v>
      </c>
      <c r="U22" s="23">
        <v>60</v>
      </c>
      <c r="V22" s="25">
        <f t="shared" si="14"/>
        <v>203.04568527918781</v>
      </c>
    </row>
    <row r="23" spans="1:22" ht="15.75" thickBot="1" x14ac:dyDescent="0.3">
      <c r="A23" s="148"/>
      <c r="B23" s="22" t="s">
        <v>4</v>
      </c>
      <c r="C23" s="23" t="s">
        <v>4</v>
      </c>
      <c r="D23" s="23">
        <v>1</v>
      </c>
      <c r="E23" s="33">
        <f t="shared" si="0"/>
        <v>1</v>
      </c>
      <c r="F23" s="23">
        <f t="shared" si="7"/>
        <v>180</v>
      </c>
      <c r="G23" s="24">
        <f t="shared" si="1"/>
        <v>0.33333333333333331</v>
      </c>
      <c r="H23" s="23">
        <v>60</v>
      </c>
      <c r="I23" s="25">
        <f t="shared" si="2"/>
        <v>20</v>
      </c>
      <c r="N23" s="148"/>
      <c r="O23" s="22" t="s">
        <v>56</v>
      </c>
      <c r="P23" s="23" t="s">
        <v>4</v>
      </c>
      <c r="Q23" s="23">
        <v>1</v>
      </c>
      <c r="R23" s="33">
        <f t="shared" si="11"/>
        <v>4</v>
      </c>
      <c r="S23" s="111">
        <f t="shared" si="12"/>
        <v>70.92</v>
      </c>
      <c r="T23" s="24">
        <f t="shared" si="13"/>
        <v>0.84602368866328259</v>
      </c>
      <c r="U23" s="23">
        <v>60</v>
      </c>
      <c r="V23" s="25">
        <f t="shared" si="14"/>
        <v>203.04568527918781</v>
      </c>
    </row>
    <row r="24" spans="1:22" ht="15.75" thickBot="1" x14ac:dyDescent="0.3">
      <c r="A24" s="148"/>
      <c r="B24" s="26" t="s">
        <v>4</v>
      </c>
      <c r="C24" s="27" t="s">
        <v>6</v>
      </c>
      <c r="D24" s="27">
        <v>1</v>
      </c>
      <c r="E24" s="34">
        <f t="shared" si="0"/>
        <v>1</v>
      </c>
      <c r="F24" s="27">
        <f t="shared" si="7"/>
        <v>180</v>
      </c>
      <c r="G24" s="28">
        <f t="shared" si="1"/>
        <v>0.33333333333333331</v>
      </c>
      <c r="H24" s="27">
        <v>60</v>
      </c>
      <c r="I24" s="29">
        <f t="shared" si="2"/>
        <v>20</v>
      </c>
      <c r="N24" s="148"/>
      <c r="O24" s="22" t="s">
        <v>56</v>
      </c>
      <c r="P24" s="23" t="s">
        <v>11</v>
      </c>
      <c r="Q24" s="23">
        <v>1</v>
      </c>
      <c r="R24" s="33">
        <f t="shared" si="11"/>
        <v>4</v>
      </c>
      <c r="S24" s="111">
        <f>VLOOKUP(O24,$N$10:$X$16,5,FALSE)</f>
        <v>70.92</v>
      </c>
      <c r="T24" s="24">
        <f t="shared" si="13"/>
        <v>0.84602368866328259</v>
      </c>
      <c r="U24" s="23">
        <v>60</v>
      </c>
      <c r="V24" s="25">
        <f t="shared" si="14"/>
        <v>203.04568527918781</v>
      </c>
    </row>
    <row r="25" spans="1:22" ht="15.75" thickBot="1" x14ac:dyDescent="0.3">
      <c r="A25" s="149">
        <v>5</v>
      </c>
      <c r="B25" s="22" t="s">
        <v>58</v>
      </c>
      <c r="C25" s="23" t="s">
        <v>0</v>
      </c>
      <c r="D25" s="23">
        <v>1</v>
      </c>
      <c r="E25" s="33">
        <f t="shared" si="0"/>
        <v>2</v>
      </c>
      <c r="F25" s="23">
        <f t="shared" si="7"/>
        <v>51</v>
      </c>
      <c r="G25" s="24">
        <f t="shared" si="1"/>
        <v>1.1764705882352942</v>
      </c>
      <c r="H25" s="23">
        <v>60</v>
      </c>
      <c r="I25" s="25">
        <f t="shared" si="2"/>
        <v>141.1764705882353</v>
      </c>
      <c r="N25" s="148"/>
      <c r="O25" s="26" t="s">
        <v>56</v>
      </c>
      <c r="P25" s="27" t="s">
        <v>6</v>
      </c>
      <c r="Q25" s="27">
        <v>1</v>
      </c>
      <c r="R25" s="34">
        <f t="shared" si="11"/>
        <v>4</v>
      </c>
      <c r="S25" s="112">
        <f t="shared" si="12"/>
        <v>70.92</v>
      </c>
      <c r="T25" s="28">
        <f t="shared" si="13"/>
        <v>0.84602368866328259</v>
      </c>
      <c r="U25" s="27">
        <v>60</v>
      </c>
      <c r="V25" s="29">
        <f t="shared" si="14"/>
        <v>203.04568527918781</v>
      </c>
    </row>
    <row r="26" spans="1:22" ht="15.75" thickBot="1" x14ac:dyDescent="0.3">
      <c r="A26" s="150"/>
      <c r="B26" s="26" t="s">
        <v>58</v>
      </c>
      <c r="C26" s="27" t="s">
        <v>6</v>
      </c>
      <c r="D26" s="27">
        <v>1</v>
      </c>
      <c r="E26" s="34">
        <f t="shared" si="0"/>
        <v>2</v>
      </c>
      <c r="F26" s="27">
        <f t="shared" si="7"/>
        <v>51</v>
      </c>
      <c r="G26" s="28">
        <f t="shared" si="1"/>
        <v>1.1764705882352942</v>
      </c>
      <c r="H26" s="27">
        <v>60</v>
      </c>
      <c r="I26" s="29">
        <f t="shared" si="2"/>
        <v>141.1764705882353</v>
      </c>
      <c r="N26" s="148">
        <v>2</v>
      </c>
      <c r="O26" s="20" t="s">
        <v>8</v>
      </c>
      <c r="P26" s="21" t="s">
        <v>0</v>
      </c>
      <c r="Q26" s="21">
        <v>1</v>
      </c>
      <c r="R26" s="32">
        <f t="shared" si="11"/>
        <v>2</v>
      </c>
      <c r="S26" s="110">
        <f t="shared" si="12"/>
        <v>32.4</v>
      </c>
      <c r="T26" s="30">
        <f t="shared" si="13"/>
        <v>1.8518518518518519</v>
      </c>
      <c r="U26" s="21">
        <v>60</v>
      </c>
      <c r="V26" s="31">
        <f t="shared" si="14"/>
        <v>222.22222222222223</v>
      </c>
    </row>
    <row r="27" spans="1:22" s="49" customFormat="1" ht="15.75" thickBot="1" x14ac:dyDescent="0.3">
      <c r="A27" s="151">
        <v>6</v>
      </c>
      <c r="B27" s="44" t="s">
        <v>61</v>
      </c>
      <c r="C27" s="45" t="s">
        <v>0</v>
      </c>
      <c r="D27" s="46">
        <v>1</v>
      </c>
      <c r="E27" s="32">
        <f>VLOOKUP(B27,$N$1:$X$8,6,FALSE)</f>
        <v>1</v>
      </c>
      <c r="F27" s="44">
        <f t="shared" si="7"/>
        <v>99</v>
      </c>
      <c r="G27" s="47">
        <f t="shared" si="1"/>
        <v>0.60606060606060608</v>
      </c>
      <c r="H27" s="45">
        <v>60</v>
      </c>
      <c r="I27" s="48">
        <f t="shared" si="2"/>
        <v>36.363636363636367</v>
      </c>
      <c r="J27"/>
      <c r="K27"/>
      <c r="L27"/>
      <c r="N27" s="148"/>
      <c r="O27" s="22" t="s">
        <v>8</v>
      </c>
      <c r="P27" s="23" t="s">
        <v>9</v>
      </c>
      <c r="Q27" s="23">
        <v>1</v>
      </c>
      <c r="R27" s="33">
        <f t="shared" si="11"/>
        <v>2</v>
      </c>
      <c r="S27" s="111">
        <f t="shared" si="12"/>
        <v>32.4</v>
      </c>
      <c r="T27" s="24">
        <f t="shared" si="13"/>
        <v>1.8518518518518519</v>
      </c>
      <c r="U27" s="23">
        <v>60</v>
      </c>
      <c r="V27" s="25">
        <f t="shared" si="14"/>
        <v>222.22222222222223</v>
      </c>
    </row>
    <row r="28" spans="1:22" s="49" customFormat="1" ht="15.75" thickBot="1" x14ac:dyDescent="0.3">
      <c r="A28" s="152"/>
      <c r="B28" s="50" t="s">
        <v>61</v>
      </c>
      <c r="C28" s="38" t="s">
        <v>9</v>
      </c>
      <c r="D28" s="51">
        <v>1</v>
      </c>
      <c r="E28" s="33">
        <f t="shared" si="0"/>
        <v>1</v>
      </c>
      <c r="F28" s="50">
        <f t="shared" si="7"/>
        <v>99</v>
      </c>
      <c r="G28" s="52">
        <f t="shared" si="1"/>
        <v>0.60606060606060608</v>
      </c>
      <c r="H28" s="38">
        <v>60</v>
      </c>
      <c r="I28" s="53">
        <f t="shared" si="2"/>
        <v>36.363636363636367</v>
      </c>
      <c r="J28"/>
      <c r="K28"/>
      <c r="L28"/>
      <c r="N28" s="148"/>
      <c r="O28" s="22" t="s">
        <v>8</v>
      </c>
      <c r="P28" s="23" t="s">
        <v>10</v>
      </c>
      <c r="Q28" s="23">
        <v>1</v>
      </c>
      <c r="R28" s="33">
        <f t="shared" si="11"/>
        <v>2</v>
      </c>
      <c r="S28" s="111">
        <f t="shared" si="12"/>
        <v>32.4</v>
      </c>
      <c r="T28" s="24">
        <f t="shared" si="13"/>
        <v>1.8518518518518519</v>
      </c>
      <c r="U28" s="23">
        <v>60</v>
      </c>
      <c r="V28" s="25">
        <f t="shared" si="14"/>
        <v>222.22222222222223</v>
      </c>
    </row>
    <row r="29" spans="1:22" s="49" customFormat="1" ht="15.75" thickBot="1" x14ac:dyDescent="0.3">
      <c r="A29" s="153"/>
      <c r="B29" s="54" t="s">
        <v>61</v>
      </c>
      <c r="C29" s="55" t="s">
        <v>6</v>
      </c>
      <c r="D29" s="56">
        <v>1</v>
      </c>
      <c r="E29" s="34">
        <f t="shared" si="0"/>
        <v>1</v>
      </c>
      <c r="F29" s="54">
        <f t="shared" si="7"/>
        <v>99</v>
      </c>
      <c r="G29" s="57">
        <f t="shared" si="1"/>
        <v>0.60606060606060608</v>
      </c>
      <c r="H29" s="55">
        <v>60</v>
      </c>
      <c r="I29" s="58">
        <f t="shared" si="2"/>
        <v>36.363636363636367</v>
      </c>
      <c r="J29"/>
      <c r="K29"/>
      <c r="N29" s="148"/>
      <c r="O29" s="22" t="s">
        <v>8</v>
      </c>
      <c r="P29" s="23" t="s">
        <v>3</v>
      </c>
      <c r="Q29" s="23">
        <v>1</v>
      </c>
      <c r="R29" s="33">
        <f t="shared" si="11"/>
        <v>2</v>
      </c>
      <c r="S29" s="111">
        <f t="shared" si="12"/>
        <v>32.4</v>
      </c>
      <c r="T29" s="24">
        <f t="shared" si="13"/>
        <v>1.8518518518518519</v>
      </c>
      <c r="U29" s="23">
        <v>60</v>
      </c>
      <c r="V29" s="25">
        <f t="shared" si="14"/>
        <v>222.22222222222223</v>
      </c>
    </row>
    <row r="30" spans="1:22" ht="15.75" thickBot="1" x14ac:dyDescent="0.3">
      <c r="H30" s="38"/>
      <c r="I30" s="38"/>
      <c r="N30" s="148"/>
      <c r="O30" s="26" t="s">
        <v>8</v>
      </c>
      <c r="P30" s="27" t="s">
        <v>6</v>
      </c>
      <c r="Q30" s="27">
        <v>1</v>
      </c>
      <c r="R30" s="34">
        <f t="shared" si="11"/>
        <v>2</v>
      </c>
      <c r="S30" s="112">
        <f t="shared" si="12"/>
        <v>32.4</v>
      </c>
      <c r="T30" s="28">
        <f t="shared" si="13"/>
        <v>1.8518518518518519</v>
      </c>
      <c r="U30" s="27">
        <v>60</v>
      </c>
      <c r="V30" s="29">
        <f t="shared" si="14"/>
        <v>222.22222222222223</v>
      </c>
    </row>
    <row r="31" spans="1:22" ht="19.5" thickBot="1" x14ac:dyDescent="0.3">
      <c r="A31" s="91" t="s">
        <v>68</v>
      </c>
      <c r="B31" s="163" t="s">
        <v>40</v>
      </c>
      <c r="C31" s="164"/>
      <c r="D31" s="69" t="s">
        <v>62</v>
      </c>
      <c r="E31" s="61" t="s">
        <v>59</v>
      </c>
      <c r="G31" s="160" t="s">
        <v>74</v>
      </c>
      <c r="H31" s="161"/>
      <c r="I31" s="162"/>
      <c r="N31" s="148">
        <v>3</v>
      </c>
      <c r="O31" s="20" t="s">
        <v>57</v>
      </c>
      <c r="P31" s="21" t="s">
        <v>0</v>
      </c>
      <c r="Q31" s="21">
        <v>1</v>
      </c>
      <c r="R31" s="32">
        <f t="shared" si="11"/>
        <v>2</v>
      </c>
      <c r="S31" s="110">
        <f t="shared" si="12"/>
        <v>36.36</v>
      </c>
      <c r="T31" s="30">
        <f t="shared" si="13"/>
        <v>1.6501650165016502</v>
      </c>
      <c r="U31" s="21">
        <v>60</v>
      </c>
      <c r="V31" s="31">
        <f t="shared" si="14"/>
        <v>198.01980198019803</v>
      </c>
    </row>
    <row r="32" spans="1:22" ht="16.5" thickBot="1" x14ac:dyDescent="0.3">
      <c r="A32" t="s">
        <v>22</v>
      </c>
      <c r="B32" s="64" t="s">
        <v>0</v>
      </c>
      <c r="C32" s="67">
        <v>422</v>
      </c>
      <c r="D32" s="70">
        <f>GETPIVOTDATA("Итого",J1:K9,"transaction rq",B32)</f>
        <v>421.92368236525056</v>
      </c>
      <c r="E32" s="62">
        <f>1-C32/D32</f>
        <v>-1.8088018743478429E-4</v>
      </c>
      <c r="F32" s="92"/>
      <c r="G32" s="80">
        <f>D32/3</f>
        <v>140.64122745508351</v>
      </c>
      <c r="H32" s="81">
        <v>140</v>
      </c>
      <c r="I32" s="82">
        <f>(G32-H32)/G32</f>
        <v>4.5593135575291936E-3</v>
      </c>
      <c r="N32" s="148"/>
      <c r="O32" s="22" t="s">
        <v>57</v>
      </c>
      <c r="P32" s="23" t="s">
        <v>9</v>
      </c>
      <c r="Q32" s="23">
        <v>1</v>
      </c>
      <c r="R32" s="33">
        <f t="shared" si="11"/>
        <v>2</v>
      </c>
      <c r="S32" s="111">
        <f t="shared" si="12"/>
        <v>36.36</v>
      </c>
      <c r="T32" s="24">
        <f t="shared" si="13"/>
        <v>1.6501650165016502</v>
      </c>
      <c r="U32" s="23">
        <v>60</v>
      </c>
      <c r="V32" s="25">
        <f t="shared" si="14"/>
        <v>198.01980198019803</v>
      </c>
    </row>
    <row r="33" spans="1:22" ht="31.5" customHeight="1" thickBot="1" x14ac:dyDescent="0.3">
      <c r="A33" s="90" t="s">
        <v>63</v>
      </c>
      <c r="B33" s="65" t="s">
        <v>9</v>
      </c>
      <c r="C33" s="68">
        <v>282</v>
      </c>
      <c r="D33" s="78">
        <f>GETPIVOTDATA("Итого",J1:K9,"transaction rq",B33)</f>
        <v>280.74721177701525</v>
      </c>
      <c r="E33" s="79">
        <f t="shared" ref="E33:E38" si="15">1-C33/D33</f>
        <v>-4.4623354050610242E-3</v>
      </c>
      <c r="F33" s="92"/>
      <c r="G33" s="80">
        <f t="shared" ref="G33:G38" si="16">D33/3</f>
        <v>93.582403925671755</v>
      </c>
      <c r="H33" s="59">
        <v>93</v>
      </c>
      <c r="I33" s="60">
        <f t="shared" ref="I33:I37" si="17">(G33-H33)/G33</f>
        <v>6.2234341205247559E-3</v>
      </c>
      <c r="N33" s="148"/>
      <c r="O33" s="22" t="s">
        <v>57</v>
      </c>
      <c r="P33" s="23" t="s">
        <v>10</v>
      </c>
      <c r="Q33" s="23">
        <v>1</v>
      </c>
      <c r="R33" s="33">
        <f t="shared" si="11"/>
        <v>2</v>
      </c>
      <c r="S33" s="111">
        <f t="shared" si="12"/>
        <v>36.36</v>
      </c>
      <c r="T33" s="24">
        <f t="shared" si="13"/>
        <v>1.6501650165016502</v>
      </c>
      <c r="U33" s="23">
        <v>60</v>
      </c>
      <c r="V33" s="25">
        <f t="shared" si="14"/>
        <v>198.01980198019803</v>
      </c>
    </row>
    <row r="34" spans="1:22" ht="18.75" customHeight="1" thickBot="1" x14ac:dyDescent="0.3">
      <c r="A34" t="s">
        <v>64</v>
      </c>
      <c r="B34" s="65" t="s">
        <v>10</v>
      </c>
      <c r="C34" s="68">
        <v>251</v>
      </c>
      <c r="D34" s="71">
        <f>GETPIVOTDATA("Итого",J1:K9,"transaction rq",B34)</f>
        <v>244.38357541337888</v>
      </c>
      <c r="E34" s="63">
        <f>1-C34/D34</f>
        <v>-2.7073933161953834E-2</v>
      </c>
      <c r="F34" s="92"/>
      <c r="G34" s="80">
        <f t="shared" si="16"/>
        <v>81.461191804459631</v>
      </c>
      <c r="H34" s="59">
        <v>81</v>
      </c>
      <c r="I34" s="60">
        <f t="shared" si="17"/>
        <v>5.6614910025706575E-3</v>
      </c>
      <c r="N34" s="148"/>
      <c r="O34" s="22" t="s">
        <v>57</v>
      </c>
      <c r="P34" s="23" t="s">
        <v>4</v>
      </c>
      <c r="Q34" s="23">
        <v>1</v>
      </c>
      <c r="R34" s="33">
        <f t="shared" si="11"/>
        <v>2</v>
      </c>
      <c r="S34" s="111">
        <f>VLOOKUP(O34,$N$10:$X$16,5,FALSE)</f>
        <v>36.36</v>
      </c>
      <c r="T34" s="24">
        <f t="shared" si="13"/>
        <v>1.6501650165016502</v>
      </c>
      <c r="U34" s="23">
        <v>60</v>
      </c>
      <c r="V34" s="25">
        <f t="shared" si="14"/>
        <v>198.01980198019803</v>
      </c>
    </row>
    <row r="35" spans="1:22" ht="16.5" thickBot="1" x14ac:dyDescent="0.3">
      <c r="A35" t="s">
        <v>65</v>
      </c>
      <c r="B35" s="65" t="s">
        <v>3</v>
      </c>
      <c r="C35" s="68">
        <v>175</v>
      </c>
      <c r="D35" s="71">
        <f>GETPIVOTDATA("Итого",J1:K9,"transaction rq",B35)</f>
        <v>173.09644670050761</v>
      </c>
      <c r="E35" s="63">
        <f t="shared" si="15"/>
        <v>-1.0997067448680342E-2</v>
      </c>
      <c r="F35" s="92"/>
      <c r="G35" s="80">
        <f t="shared" si="16"/>
        <v>57.698815566835869</v>
      </c>
      <c r="H35" s="59">
        <v>58</v>
      </c>
      <c r="I35" s="60">
        <f t="shared" si="17"/>
        <v>-5.2199413489736552E-3</v>
      </c>
      <c r="N35" s="148"/>
      <c r="O35" s="26" t="s">
        <v>57</v>
      </c>
      <c r="P35" s="27" t="s">
        <v>6</v>
      </c>
      <c r="Q35" s="27">
        <v>1</v>
      </c>
      <c r="R35" s="34">
        <f t="shared" si="11"/>
        <v>2</v>
      </c>
      <c r="S35" s="112">
        <f t="shared" si="12"/>
        <v>36.36</v>
      </c>
      <c r="T35" s="28">
        <f t="shared" si="13"/>
        <v>1.6501650165016502</v>
      </c>
      <c r="U35" s="27">
        <v>60</v>
      </c>
      <c r="V35" s="29">
        <f t="shared" si="14"/>
        <v>198.01980198019803</v>
      </c>
    </row>
    <row r="36" spans="1:22" ht="16.5" thickBot="1" x14ac:dyDescent="0.3">
      <c r="A36" t="s">
        <v>66</v>
      </c>
      <c r="B36" s="65" t="s">
        <v>4</v>
      </c>
      <c r="C36" s="68">
        <v>159</v>
      </c>
      <c r="D36" s="71">
        <f>GETPIVOTDATA("Итого",J1:K9,"transaction rq",B36)</f>
        <v>164.38357541337888</v>
      </c>
      <c r="E36" s="63">
        <f t="shared" si="15"/>
        <v>3.2750081021420074E-2</v>
      </c>
      <c r="F36" s="92"/>
      <c r="G36" s="80">
        <f t="shared" si="16"/>
        <v>54.794525137792959</v>
      </c>
      <c r="H36" s="59">
        <v>54</v>
      </c>
      <c r="I36" s="60">
        <f t="shared" si="17"/>
        <v>1.4500082550126133E-2</v>
      </c>
      <c r="N36" s="148">
        <v>4</v>
      </c>
      <c r="O36" s="20" t="s">
        <v>4</v>
      </c>
      <c r="P36" s="21" t="s">
        <v>0</v>
      </c>
      <c r="Q36" s="21">
        <v>1</v>
      </c>
      <c r="R36" s="32">
        <f>VLOOKUP(O36,$N$1:$X$8,6,FALSE)</f>
        <v>1</v>
      </c>
      <c r="S36" s="110">
        <f t="shared" si="12"/>
        <v>64.8</v>
      </c>
      <c r="T36" s="30">
        <f t="shared" si="13"/>
        <v>0.92592592592592593</v>
      </c>
      <c r="U36" s="21">
        <v>60</v>
      </c>
      <c r="V36" s="31">
        <f t="shared" si="14"/>
        <v>55.555555555555557</v>
      </c>
    </row>
    <row r="37" spans="1:22" ht="16.5" thickBot="1" x14ac:dyDescent="0.3">
      <c r="A37" t="s">
        <v>67</v>
      </c>
      <c r="B37" s="65" t="s">
        <v>11</v>
      </c>
      <c r="C37" s="68">
        <v>73</v>
      </c>
      <c r="D37" s="71">
        <f>GETPIVOTDATA("Итого",J1:K9,"transaction rq",B37)</f>
        <v>73.096446700507613</v>
      </c>
      <c r="E37" s="63">
        <f t="shared" si="15"/>
        <v>1.3194444444444287E-3</v>
      </c>
      <c r="F37" s="92"/>
      <c r="G37" s="80">
        <f t="shared" si="16"/>
        <v>24.365482233502537</v>
      </c>
      <c r="H37" s="59">
        <v>24</v>
      </c>
      <c r="I37" s="60">
        <f t="shared" si="17"/>
        <v>1.4999999999999937E-2</v>
      </c>
      <c r="N37" s="148"/>
      <c r="O37" s="22" t="s">
        <v>4</v>
      </c>
      <c r="P37" s="23" t="s">
        <v>9</v>
      </c>
      <c r="Q37" s="23">
        <v>1</v>
      </c>
      <c r="R37" s="33">
        <f t="shared" ref="R37:R43" si="18">VLOOKUP(O37,$N$1:$X$8,6,FALSE)</f>
        <v>1</v>
      </c>
      <c r="S37" s="111">
        <f t="shared" si="12"/>
        <v>64.8</v>
      </c>
      <c r="T37" s="24">
        <f t="shared" si="13"/>
        <v>0.92592592592592593</v>
      </c>
      <c r="U37" s="23">
        <v>60</v>
      </c>
      <c r="V37" s="25">
        <f t="shared" si="14"/>
        <v>55.555555555555557</v>
      </c>
    </row>
    <row r="38" spans="1:22" ht="16.5" thickBot="1" x14ac:dyDescent="0.3">
      <c r="A38" t="s">
        <v>23</v>
      </c>
      <c r="B38" s="115" t="s">
        <v>6</v>
      </c>
      <c r="C38" s="116">
        <v>422</v>
      </c>
      <c r="D38" s="117">
        <f>GETPIVOTDATA("Итого",J1:K9,"transaction rq",B38)</f>
        <v>421.92368236525056</v>
      </c>
      <c r="E38" s="118">
        <f t="shared" si="15"/>
        <v>-1.8088018743478429E-4</v>
      </c>
      <c r="F38" s="92"/>
      <c r="G38" s="83">
        <f t="shared" si="16"/>
        <v>140.64122745508351</v>
      </c>
      <c r="H38" s="84">
        <v>141</v>
      </c>
      <c r="I38" s="85">
        <f>(G38-H38)/G38</f>
        <v>-2.5509770599170265E-3</v>
      </c>
      <c r="N38" s="148"/>
      <c r="O38" s="22" t="s">
        <v>4</v>
      </c>
      <c r="P38" s="23" t="s">
        <v>10</v>
      </c>
      <c r="Q38" s="23">
        <v>1</v>
      </c>
      <c r="R38" s="33">
        <f t="shared" si="18"/>
        <v>1</v>
      </c>
      <c r="S38" s="111">
        <f t="shared" si="12"/>
        <v>64.8</v>
      </c>
      <c r="T38" s="24">
        <f t="shared" si="13"/>
        <v>0.92592592592592593</v>
      </c>
      <c r="U38" s="23">
        <v>60</v>
      </c>
      <c r="V38" s="25">
        <f t="shared" si="14"/>
        <v>55.555555555555557</v>
      </c>
    </row>
    <row r="39" spans="1:22" ht="17.25" thickTop="1" thickBot="1" x14ac:dyDescent="0.3">
      <c r="B39" s="119" t="s">
        <v>7</v>
      </c>
      <c r="C39" s="120">
        <f>SUM(C32:C38)</f>
        <v>1784</v>
      </c>
      <c r="D39" s="121">
        <f>SUM(D32:D38)</f>
        <v>1779.5546207352891</v>
      </c>
      <c r="E39" s="122">
        <f>1-C39/D39</f>
        <v>-2.4980291208336336E-3</v>
      </c>
      <c r="F39" s="92"/>
      <c r="G39" s="86">
        <f>D39/3</f>
        <v>593.18487357842969</v>
      </c>
      <c r="H39" s="87">
        <f>SUM(H32:H38)</f>
        <v>591</v>
      </c>
      <c r="I39" s="88">
        <f>(G39-H39)/G39</f>
        <v>3.6832928076019258E-3</v>
      </c>
      <c r="N39" s="148"/>
      <c r="O39" s="22" t="s">
        <v>4</v>
      </c>
      <c r="P39" s="23" t="s">
        <v>3</v>
      </c>
      <c r="Q39" s="23">
        <v>1</v>
      </c>
      <c r="R39" s="33">
        <f t="shared" si="18"/>
        <v>1</v>
      </c>
      <c r="S39" s="111">
        <f t="shared" si="12"/>
        <v>64.8</v>
      </c>
      <c r="T39" s="24">
        <f t="shared" si="13"/>
        <v>0.92592592592592593</v>
      </c>
      <c r="U39" s="23">
        <v>60</v>
      </c>
      <c r="V39" s="25">
        <f t="shared" si="14"/>
        <v>55.555555555555557</v>
      </c>
    </row>
    <row r="40" spans="1:22" ht="16.5" thickTop="1" thickBot="1" x14ac:dyDescent="0.3">
      <c r="H40" s="38"/>
      <c r="I40" s="38"/>
      <c r="N40" s="148"/>
      <c r="O40" s="22" t="s">
        <v>4</v>
      </c>
      <c r="P40" s="23" t="s">
        <v>4</v>
      </c>
      <c r="Q40" s="23">
        <v>1</v>
      </c>
      <c r="R40" s="33">
        <f t="shared" si="18"/>
        <v>1</v>
      </c>
      <c r="S40" s="111">
        <f t="shared" si="12"/>
        <v>64.8</v>
      </c>
      <c r="T40" s="24">
        <f t="shared" si="13"/>
        <v>0.92592592592592593</v>
      </c>
      <c r="U40" s="23">
        <v>60</v>
      </c>
      <c r="V40" s="25">
        <f t="shared" si="14"/>
        <v>55.555555555555557</v>
      </c>
    </row>
    <row r="41" spans="1:22" ht="19.5" thickBot="1" x14ac:dyDescent="0.3">
      <c r="A41" s="91"/>
      <c r="B41" s="155" t="s">
        <v>80</v>
      </c>
      <c r="C41" s="156"/>
      <c r="D41" s="156"/>
      <c r="E41" s="156"/>
      <c r="N41" s="148"/>
      <c r="O41" s="26" t="s">
        <v>4</v>
      </c>
      <c r="P41" s="27" t="s">
        <v>6</v>
      </c>
      <c r="Q41" s="27">
        <v>1</v>
      </c>
      <c r="R41" s="34">
        <f t="shared" si="18"/>
        <v>1</v>
      </c>
      <c r="S41" s="112">
        <f t="shared" si="12"/>
        <v>64.8</v>
      </c>
      <c r="T41" s="28">
        <f t="shared" si="13"/>
        <v>0.92592592592592593</v>
      </c>
      <c r="U41" s="27">
        <v>60</v>
      </c>
      <c r="V41" s="29">
        <f t="shared" si="14"/>
        <v>55.555555555555557</v>
      </c>
    </row>
    <row r="42" spans="1:22" ht="19.5" thickBot="1" x14ac:dyDescent="0.3">
      <c r="A42" s="91"/>
      <c r="B42" s="154" t="s">
        <v>40</v>
      </c>
      <c r="C42" s="154"/>
      <c r="D42" s="124" t="s">
        <v>78</v>
      </c>
      <c r="E42" s="125" t="s">
        <v>59</v>
      </c>
      <c r="N42" s="149">
        <v>5</v>
      </c>
      <c r="O42" s="22" t="s">
        <v>58</v>
      </c>
      <c r="P42" s="23" t="s">
        <v>0</v>
      </c>
      <c r="Q42" s="23">
        <v>1</v>
      </c>
      <c r="R42" s="33">
        <f t="shared" si="18"/>
        <v>2</v>
      </c>
      <c r="S42" s="110">
        <f t="shared" si="12"/>
        <v>18.36</v>
      </c>
      <c r="T42" s="24">
        <f t="shared" si="13"/>
        <v>3.2679738562091503</v>
      </c>
      <c r="U42" s="23">
        <v>60</v>
      </c>
      <c r="V42" s="25">
        <f t="shared" si="14"/>
        <v>392.15686274509801</v>
      </c>
    </row>
    <row r="43" spans="1:22" ht="16.5" thickBot="1" x14ac:dyDescent="0.3">
      <c r="B43" s="123" t="s">
        <v>0</v>
      </c>
      <c r="C43" s="126">
        <f>C32/0.36</f>
        <v>1172.2222222222222</v>
      </c>
      <c r="D43" s="126">
        <f>GETPIVOTDATA("Итого",J$11:K$19,"transaction rq",B43)</f>
        <v>1172.0102287923626</v>
      </c>
      <c r="E43" s="127">
        <f t="shared" ref="E43:E50" si="19">(C43-D43)/C43</f>
        <v>1.8084747570961443E-4</v>
      </c>
      <c r="N43" s="150"/>
      <c r="O43" s="26" t="s">
        <v>58</v>
      </c>
      <c r="P43" s="27" t="s">
        <v>6</v>
      </c>
      <c r="Q43" s="27">
        <v>1</v>
      </c>
      <c r="R43" s="34">
        <f t="shared" si="18"/>
        <v>2</v>
      </c>
      <c r="S43" s="112">
        <f t="shared" si="12"/>
        <v>18.36</v>
      </c>
      <c r="T43" s="28">
        <f t="shared" si="13"/>
        <v>3.2679738562091503</v>
      </c>
      <c r="U43" s="27">
        <v>60</v>
      </c>
      <c r="V43" s="29">
        <f t="shared" si="14"/>
        <v>392.15686274509801</v>
      </c>
    </row>
    <row r="44" spans="1:22" ht="31.5" customHeight="1" x14ac:dyDescent="0.25">
      <c r="A44" s="90"/>
      <c r="B44" s="65" t="s">
        <v>9</v>
      </c>
      <c r="C44" s="128">
        <f t="shared" ref="C44:C50" si="20">C33/0.36</f>
        <v>783.33333333333337</v>
      </c>
      <c r="D44" s="128">
        <f t="shared" ref="D44:D49" si="21">GETPIVOTDATA("Итого",J$11:K$19,"transaction rq",B44)</f>
        <v>779.85336604726467</v>
      </c>
      <c r="E44" s="129">
        <f t="shared" si="19"/>
        <v>4.4425114290238717E-3</v>
      </c>
      <c r="N44" s="151">
        <v>6</v>
      </c>
      <c r="O44" s="44" t="s">
        <v>61</v>
      </c>
      <c r="P44" s="45" t="s">
        <v>0</v>
      </c>
      <c r="Q44" s="46">
        <v>1</v>
      </c>
      <c r="R44" s="32">
        <f>VLOOKUP(O44,$N$1:$X$8,6,FALSE)</f>
        <v>1</v>
      </c>
      <c r="S44" s="110">
        <f t="shared" si="12"/>
        <v>35.64</v>
      </c>
      <c r="T44" s="47">
        <f t="shared" si="13"/>
        <v>1.6835016835016834</v>
      </c>
      <c r="U44" s="45">
        <v>60</v>
      </c>
      <c r="V44" s="48">
        <f t="shared" si="14"/>
        <v>101.01010101010101</v>
      </c>
    </row>
    <row r="45" spans="1:22" ht="18.75" customHeight="1" x14ac:dyDescent="0.25">
      <c r="B45" s="65" t="s">
        <v>10</v>
      </c>
      <c r="C45" s="128">
        <f t="shared" si="20"/>
        <v>697.22222222222229</v>
      </c>
      <c r="D45" s="128">
        <f t="shared" si="21"/>
        <v>678.84326503716363</v>
      </c>
      <c r="E45" s="129">
        <f t="shared" si="19"/>
        <v>2.6360257317215596E-2</v>
      </c>
      <c r="N45" s="152"/>
      <c r="O45" s="50" t="s">
        <v>61</v>
      </c>
      <c r="P45" s="38" t="s">
        <v>9</v>
      </c>
      <c r="Q45" s="51">
        <v>1</v>
      </c>
      <c r="R45" s="33">
        <f t="shared" ref="R45:R46" si="22">VLOOKUP(O45,$N$1:$X$8,6,FALSE)</f>
        <v>1</v>
      </c>
      <c r="S45" s="111">
        <f t="shared" si="12"/>
        <v>35.64</v>
      </c>
      <c r="T45" s="52">
        <f t="shared" si="13"/>
        <v>1.6835016835016834</v>
      </c>
      <c r="U45" s="38">
        <v>60</v>
      </c>
      <c r="V45" s="53">
        <f t="shared" si="14"/>
        <v>101.01010101010101</v>
      </c>
    </row>
    <row r="46" spans="1:22" ht="16.5" thickBot="1" x14ac:dyDescent="0.3">
      <c r="B46" s="65" t="s">
        <v>3</v>
      </c>
      <c r="C46" s="128">
        <f t="shared" si="20"/>
        <v>486.11111111111114</v>
      </c>
      <c r="D46" s="128">
        <f t="shared" si="21"/>
        <v>480.82346305696558</v>
      </c>
      <c r="E46" s="129">
        <f t="shared" si="19"/>
        <v>1.0877447425670872E-2</v>
      </c>
      <c r="N46" s="153"/>
      <c r="O46" s="54" t="s">
        <v>61</v>
      </c>
      <c r="P46" s="55" t="s">
        <v>6</v>
      </c>
      <c r="Q46" s="56">
        <v>1</v>
      </c>
      <c r="R46" s="34">
        <f t="shared" si="22"/>
        <v>1</v>
      </c>
      <c r="S46" s="112">
        <f t="shared" si="12"/>
        <v>35.64</v>
      </c>
      <c r="T46" s="57">
        <f t="shared" si="13"/>
        <v>1.6835016835016834</v>
      </c>
      <c r="U46" s="55">
        <v>60</v>
      </c>
      <c r="V46" s="58">
        <f t="shared" si="14"/>
        <v>101.01010101010101</v>
      </c>
    </row>
    <row r="47" spans="1:22" ht="15.75" x14ac:dyDescent="0.25">
      <c r="B47" s="65" t="s">
        <v>4</v>
      </c>
      <c r="C47" s="128">
        <f t="shared" si="20"/>
        <v>441.66666666666669</v>
      </c>
      <c r="D47" s="128">
        <f t="shared" si="21"/>
        <v>456.62104281494135</v>
      </c>
      <c r="E47" s="129">
        <f t="shared" si="19"/>
        <v>-3.3858964864018098E-2</v>
      </c>
    </row>
    <row r="48" spans="1:22" ht="15.75" x14ac:dyDescent="0.25">
      <c r="B48" s="65" t="s">
        <v>11</v>
      </c>
      <c r="C48" s="128">
        <f t="shared" si="20"/>
        <v>202.77777777777777</v>
      </c>
      <c r="D48" s="128">
        <f t="shared" si="21"/>
        <v>203.04568527918781</v>
      </c>
      <c r="E48" s="129">
        <f t="shared" si="19"/>
        <v>-1.3211876781864802E-3</v>
      </c>
    </row>
    <row r="49" spans="2:5" ht="15.75" x14ac:dyDescent="0.25">
      <c r="B49" s="65" t="s">
        <v>6</v>
      </c>
      <c r="C49" s="128">
        <f t="shared" si="20"/>
        <v>1172.2222222222222</v>
      </c>
      <c r="D49" s="128">
        <f t="shared" si="21"/>
        <v>1172.0102287923626</v>
      </c>
      <c r="E49" s="129">
        <f t="shared" si="19"/>
        <v>1.8084747570961443E-4</v>
      </c>
    </row>
    <row r="50" spans="2:5" ht="16.5" thickBot="1" x14ac:dyDescent="0.3">
      <c r="B50" s="66" t="s">
        <v>7</v>
      </c>
      <c r="C50" s="133">
        <f t="shared" si="20"/>
        <v>4955.5555555555557</v>
      </c>
      <c r="D50" s="130">
        <f>SUM(D43:D49)</f>
        <v>4943.207279820248</v>
      </c>
      <c r="E50" s="131">
        <f t="shared" si="19"/>
        <v>2.4918045205777773E-3</v>
      </c>
    </row>
    <row r="51" spans="2:5" x14ac:dyDescent="0.25">
      <c r="D51" s="49"/>
      <c r="E51" s="49"/>
    </row>
    <row r="52" spans="2:5" ht="21.75" customHeight="1" thickBot="1" x14ac:dyDescent="0.3">
      <c r="B52" s="144" t="s">
        <v>76</v>
      </c>
      <c r="C52" s="144"/>
      <c r="D52" s="144"/>
      <c r="E52" s="144"/>
    </row>
    <row r="53" spans="2:5" ht="20.25" customHeight="1" thickBot="1" x14ac:dyDescent="0.3">
      <c r="B53" s="157" t="s">
        <v>71</v>
      </c>
      <c r="C53" s="158"/>
      <c r="D53" s="158"/>
      <c r="E53" s="159"/>
    </row>
    <row r="54" spans="2:5" x14ac:dyDescent="0.25">
      <c r="B54" s="100" t="s">
        <v>68</v>
      </c>
      <c r="C54" s="101" t="s">
        <v>79</v>
      </c>
      <c r="D54" s="101" t="s">
        <v>69</v>
      </c>
      <c r="E54" s="102" t="s">
        <v>59</v>
      </c>
    </row>
    <row r="55" spans="2:5" ht="15.75" x14ac:dyDescent="0.25">
      <c r="B55" s="65" t="s">
        <v>0</v>
      </c>
      <c r="C55" s="98">
        <f>(D43*100%)/3</f>
        <v>390.67007626412084</v>
      </c>
      <c r="D55" s="94">
        <v>394</v>
      </c>
      <c r="E55" s="134">
        <f>(C55-D55)/C55</f>
        <v>-8.5236211785719076E-3</v>
      </c>
    </row>
    <row r="56" spans="2:5" ht="31.5" x14ac:dyDescent="0.25">
      <c r="B56" s="65" t="s">
        <v>9</v>
      </c>
      <c r="C56" s="98">
        <f t="shared" ref="C56:C61" si="23">(D44*100%)/3</f>
        <v>259.95112201575489</v>
      </c>
      <c r="D56" s="94">
        <v>260</v>
      </c>
      <c r="E56" s="134">
        <f t="shared" ref="E56:E61" si="24">(C56-D56)/C56</f>
        <v>-1.8802759482664251E-4</v>
      </c>
    </row>
    <row r="57" spans="2:5" ht="31.5" x14ac:dyDescent="0.25">
      <c r="B57" s="65" t="s">
        <v>10</v>
      </c>
      <c r="C57" s="98">
        <f t="shared" si="23"/>
        <v>226.2810883457212</v>
      </c>
      <c r="D57" s="94">
        <v>226</v>
      </c>
      <c r="E57" s="134">
        <f t="shared" si="24"/>
        <v>1.2422087403598818E-3</v>
      </c>
    </row>
    <row r="58" spans="2:5" ht="15.75" x14ac:dyDescent="0.25">
      <c r="B58" s="65" t="s">
        <v>3</v>
      </c>
      <c r="C58" s="98">
        <f t="shared" si="23"/>
        <v>160.2744876856552</v>
      </c>
      <c r="D58" s="94">
        <v>160</v>
      </c>
      <c r="E58" s="134">
        <f t="shared" si="24"/>
        <v>1.7126099706745129E-3</v>
      </c>
    </row>
    <row r="59" spans="2:5" ht="15.75" x14ac:dyDescent="0.25">
      <c r="B59" s="65" t="s">
        <v>4</v>
      </c>
      <c r="C59" s="98">
        <f t="shared" si="23"/>
        <v>152.20701427164713</v>
      </c>
      <c r="D59" s="94">
        <v>151</v>
      </c>
      <c r="E59" s="134">
        <f t="shared" si="24"/>
        <v>7.9300831004604101E-3</v>
      </c>
    </row>
    <row r="60" spans="2:5" ht="15.75" x14ac:dyDescent="0.25">
      <c r="B60" s="65" t="s">
        <v>11</v>
      </c>
      <c r="C60" s="98">
        <f t="shared" si="23"/>
        <v>67.681895093062607</v>
      </c>
      <c r="D60" s="94">
        <v>68</v>
      </c>
      <c r="E60" s="134">
        <f t="shared" si="24"/>
        <v>-4.6999999999999768E-3</v>
      </c>
    </row>
    <row r="61" spans="2:5" ht="16.5" thickBot="1" x14ac:dyDescent="0.3">
      <c r="B61" s="93" t="s">
        <v>6</v>
      </c>
      <c r="C61" s="98">
        <f t="shared" si="23"/>
        <v>390.67007626412084</v>
      </c>
      <c r="D61" s="96">
        <v>395</v>
      </c>
      <c r="E61" s="135">
        <f t="shared" si="24"/>
        <v>-1.1083325800852547E-2</v>
      </c>
    </row>
    <row r="62" spans="2:5" ht="18.75" customHeight="1" thickBot="1" x14ac:dyDescent="0.3">
      <c r="B62" s="157" t="s">
        <v>70</v>
      </c>
      <c r="C62" s="158"/>
      <c r="D62" s="158"/>
      <c r="E62" s="159"/>
    </row>
    <row r="63" spans="2:5" x14ac:dyDescent="0.25">
      <c r="B63" s="103" t="s">
        <v>68</v>
      </c>
      <c r="C63" s="101" t="s">
        <v>79</v>
      </c>
      <c r="D63" s="104" t="s">
        <v>69</v>
      </c>
      <c r="E63" s="105" t="s">
        <v>59</v>
      </c>
    </row>
    <row r="64" spans="2:5" ht="15.75" x14ac:dyDescent="0.25">
      <c r="B64" s="65" t="s">
        <v>0</v>
      </c>
      <c r="C64" s="98">
        <f>(D43*200%)/3</f>
        <v>781.34015252824167</v>
      </c>
      <c r="D64" s="94">
        <v>785</v>
      </c>
      <c r="E64" s="134">
        <f>(C64-D64)/C64</f>
        <v>-4.684064245150949E-3</v>
      </c>
    </row>
    <row r="65" spans="2:10" ht="31.5" x14ac:dyDescent="0.25">
      <c r="B65" s="65" t="s">
        <v>9</v>
      </c>
      <c r="C65" s="98">
        <f t="shared" ref="C65:C70" si="25">(D44*200%)/3</f>
        <v>519.90224403150978</v>
      </c>
      <c r="D65" s="94">
        <v>521</v>
      </c>
      <c r="E65" s="134">
        <f t="shared" ref="E65:E70" si="26">(C65-D65)/C65</f>
        <v>-2.1114661094320782E-3</v>
      </c>
    </row>
    <row r="66" spans="2:10" ht="31.5" x14ac:dyDescent="0.25">
      <c r="B66" s="65" t="s">
        <v>10</v>
      </c>
      <c r="C66" s="98">
        <f t="shared" si="25"/>
        <v>452.5621766914424</v>
      </c>
      <c r="D66" s="94">
        <v>454</v>
      </c>
      <c r="E66" s="134">
        <f t="shared" si="26"/>
        <v>-3.1770735218509152E-3</v>
      </c>
    </row>
    <row r="67" spans="2:10" ht="15.75" x14ac:dyDescent="0.25">
      <c r="B67" s="65" t="s">
        <v>3</v>
      </c>
      <c r="C67" s="98">
        <f t="shared" si="25"/>
        <v>320.54897537131041</v>
      </c>
      <c r="D67" s="94">
        <v>323</v>
      </c>
      <c r="E67" s="134">
        <f t="shared" si="26"/>
        <v>-7.6463343108504134E-3</v>
      </c>
    </row>
    <row r="68" spans="2:10" ht="15.75" x14ac:dyDescent="0.25">
      <c r="B68" s="65" t="s">
        <v>4</v>
      </c>
      <c r="C68" s="98">
        <f t="shared" si="25"/>
        <v>304.41402854329425</v>
      </c>
      <c r="D68" s="94">
        <v>305</v>
      </c>
      <c r="E68" s="134">
        <f t="shared" si="26"/>
        <v>-1.9249160740383278E-3</v>
      </c>
    </row>
    <row r="69" spans="2:10" ht="15.75" x14ac:dyDescent="0.25">
      <c r="B69" s="65" t="s">
        <v>11</v>
      </c>
      <c r="C69" s="98">
        <f t="shared" si="25"/>
        <v>135.36379018612521</v>
      </c>
      <c r="D69" s="94">
        <v>136</v>
      </c>
      <c r="E69" s="134">
        <f t="shared" si="26"/>
        <v>-4.6999999999999768E-3</v>
      </c>
    </row>
    <row r="70" spans="2:10" ht="16.5" thickBot="1" x14ac:dyDescent="0.3">
      <c r="B70" s="93" t="s">
        <v>6</v>
      </c>
      <c r="C70" s="98">
        <f t="shared" si="25"/>
        <v>781.34015252824167</v>
      </c>
      <c r="D70" s="96">
        <v>789</v>
      </c>
      <c r="E70" s="135">
        <f t="shared" si="26"/>
        <v>-9.8034734897122274E-3</v>
      </c>
      <c r="H70" s="144"/>
      <c r="I70" s="144"/>
      <c r="J70" s="144"/>
    </row>
    <row r="71" spans="2:10" ht="16.5" customHeight="1" thickBot="1" x14ac:dyDescent="0.3">
      <c r="B71" s="145" t="s">
        <v>72</v>
      </c>
      <c r="C71" s="146"/>
      <c r="D71" s="146"/>
      <c r="E71" s="147"/>
      <c r="H71" s="166" t="s">
        <v>83</v>
      </c>
      <c r="I71" s="167"/>
      <c r="J71" s="168"/>
    </row>
    <row r="72" spans="2:10" x14ac:dyDescent="0.25">
      <c r="B72" s="100" t="s">
        <v>68</v>
      </c>
      <c r="C72" s="101" t="s">
        <v>79</v>
      </c>
      <c r="D72" s="101" t="s">
        <v>69</v>
      </c>
      <c r="E72" s="102" t="s">
        <v>59</v>
      </c>
      <c r="H72" s="136" t="s">
        <v>81</v>
      </c>
      <c r="I72" s="137" t="s">
        <v>69</v>
      </c>
      <c r="J72" s="138" t="s">
        <v>59</v>
      </c>
    </row>
    <row r="73" spans="2:10" ht="15.75" x14ac:dyDescent="0.25">
      <c r="B73" s="65" t="s">
        <v>0</v>
      </c>
      <c r="C73" s="98">
        <f>(D43*300%)/3</f>
        <v>1172.0102287923626</v>
      </c>
      <c r="D73" s="94">
        <v>1180</v>
      </c>
      <c r="E73" s="134">
        <f>(C73-D73)/C73</f>
        <v>-6.8171514303847665E-3</v>
      </c>
      <c r="F73" s="140"/>
      <c r="G73" s="141"/>
      <c r="H73" s="139">
        <f>(D43*300%)*0.9</f>
        <v>3164.427617739379</v>
      </c>
      <c r="I73" s="94">
        <v>3130</v>
      </c>
      <c r="J73" s="169">
        <f>(H73-I73)/H73</f>
        <v>1.087957188414807E-2</v>
      </c>
    </row>
    <row r="74" spans="2:10" ht="31.5" x14ac:dyDescent="0.25">
      <c r="B74" s="65" t="s">
        <v>9</v>
      </c>
      <c r="C74" s="98">
        <f t="shared" ref="C74:C79" si="27">(D44*300%)/3</f>
        <v>779.85336604726456</v>
      </c>
      <c r="D74" s="94">
        <v>780</v>
      </c>
      <c r="E74" s="134">
        <f t="shared" ref="E74:E81" si="28">(C74-D74)/C74</f>
        <v>-1.8802759482678834E-4</v>
      </c>
      <c r="F74" s="140"/>
      <c r="G74" s="141"/>
      <c r="H74" s="139">
        <f>(D44*300%)*0.9</f>
        <v>2105.6040883276146</v>
      </c>
      <c r="I74" s="94">
        <v>2134</v>
      </c>
      <c r="J74" s="169">
        <f t="shared" ref="J74:J81" si="29">(H74-I74)/H74</f>
        <v>-1.3485874115555593E-2</v>
      </c>
    </row>
    <row r="75" spans="2:10" ht="31.5" x14ac:dyDescent="0.25">
      <c r="B75" s="65" t="s">
        <v>10</v>
      </c>
      <c r="C75" s="98">
        <f t="shared" si="27"/>
        <v>678.84326503716363</v>
      </c>
      <c r="D75" s="94">
        <v>645</v>
      </c>
      <c r="E75" s="134">
        <f>(C75-D75)/C75</f>
        <v>4.9854313624678688E-2</v>
      </c>
      <c r="F75" s="142"/>
      <c r="G75" s="143"/>
      <c r="H75" s="139">
        <f>(D45*300%)*0.9</f>
        <v>1832.8768156003418</v>
      </c>
      <c r="I75" s="94">
        <v>1835</v>
      </c>
      <c r="J75" s="169">
        <f t="shared" si="29"/>
        <v>-1.158389031705182E-3</v>
      </c>
    </row>
    <row r="76" spans="2:10" ht="15.75" x14ac:dyDescent="0.25">
      <c r="B76" s="65" t="s">
        <v>3</v>
      </c>
      <c r="C76" s="98">
        <f t="shared" si="27"/>
        <v>480.82346305696564</v>
      </c>
      <c r="D76" s="94">
        <v>445</v>
      </c>
      <c r="E76" s="134">
        <f>(C76-D76)/C76</f>
        <v>7.4504398826979554E-2</v>
      </c>
      <c r="F76" s="140"/>
      <c r="G76" s="141"/>
      <c r="H76" s="139">
        <f>(D46*300%)*0.9</f>
        <v>1298.2233502538072</v>
      </c>
      <c r="I76" s="94">
        <v>1235</v>
      </c>
      <c r="J76" s="169">
        <f t="shared" si="29"/>
        <v>4.869990224828942E-2</v>
      </c>
    </row>
    <row r="77" spans="2:10" ht="15.75" x14ac:dyDescent="0.25">
      <c r="B77" s="65" t="s">
        <v>4</v>
      </c>
      <c r="C77" s="98">
        <f t="shared" si="27"/>
        <v>456.62104281494135</v>
      </c>
      <c r="D77" s="94">
        <v>459</v>
      </c>
      <c r="E77" s="134">
        <f t="shared" si="28"/>
        <v>-5.2099157988713032E-3</v>
      </c>
      <c r="F77" s="140"/>
      <c r="G77" s="141"/>
      <c r="H77" s="139">
        <f>(D47*300%)*0.9</f>
        <v>1232.8768156003416</v>
      </c>
      <c r="I77" s="94">
        <v>1273</v>
      </c>
      <c r="J77" s="169">
        <f t="shared" si="29"/>
        <v>-3.2544357953653832E-2</v>
      </c>
    </row>
    <row r="78" spans="2:10" ht="15.75" x14ac:dyDescent="0.25">
      <c r="B78" s="65" t="s">
        <v>11</v>
      </c>
      <c r="C78" s="98">
        <f t="shared" si="27"/>
        <v>203.04568527918778</v>
      </c>
      <c r="D78" s="94">
        <v>202</v>
      </c>
      <c r="E78" s="134">
        <f t="shared" si="28"/>
        <v>5.1499999999998144E-3</v>
      </c>
      <c r="F78" s="140"/>
      <c r="G78" s="141"/>
      <c r="H78" s="139">
        <f>(D48*300%)*0.9</f>
        <v>548.2233502538071</v>
      </c>
      <c r="I78" s="94">
        <v>506</v>
      </c>
      <c r="J78" s="169">
        <f t="shared" si="29"/>
        <v>7.70185185185185E-2</v>
      </c>
    </row>
    <row r="79" spans="2:10" ht="16.5" thickBot="1" x14ac:dyDescent="0.3">
      <c r="B79" s="115" t="s">
        <v>6</v>
      </c>
      <c r="C79" s="170">
        <f t="shared" si="27"/>
        <v>1172.0102287923626</v>
      </c>
      <c r="D79" s="171">
        <v>1178</v>
      </c>
      <c r="E79" s="172">
        <f t="shared" si="28"/>
        <v>-5.110681682197674E-3</v>
      </c>
      <c r="F79" s="140"/>
      <c r="G79" s="141"/>
      <c r="H79" s="184">
        <f>(D49*300%)*0.9</f>
        <v>3164.427617739379</v>
      </c>
      <c r="I79" s="171">
        <v>3134</v>
      </c>
      <c r="J79" s="185">
        <f t="shared" si="29"/>
        <v>9.6155202188242962E-3</v>
      </c>
    </row>
    <row r="80" spans="2:10" ht="16.5" thickBot="1" x14ac:dyDescent="0.3">
      <c r="B80" s="177" t="s">
        <v>84</v>
      </c>
      <c r="C80" s="178">
        <f>SUM(C73:C79)</f>
        <v>4943.207279820248</v>
      </c>
      <c r="D80" s="179">
        <f>SUM(D73:D79)</f>
        <v>4889</v>
      </c>
      <c r="E80" s="180">
        <f t="shared" si="28"/>
        <v>1.0966013916013486E-2</v>
      </c>
      <c r="F80" s="23"/>
      <c r="G80" s="23"/>
      <c r="H80" s="186">
        <f>SUM(H73:H79)</f>
        <v>13346.65965551467</v>
      </c>
      <c r="I80" s="187">
        <f>SUM(I73:I79)</f>
        <v>13247</v>
      </c>
      <c r="J80" s="176">
        <f t="shared" si="29"/>
        <v>7.4670110789475099E-3</v>
      </c>
    </row>
    <row r="81" spans="2:10" ht="16.5" thickBot="1" x14ac:dyDescent="0.3">
      <c r="B81" s="173" t="s">
        <v>85</v>
      </c>
      <c r="C81" s="174">
        <f>C80*3</f>
        <v>14829.621839460744</v>
      </c>
      <c r="D81" s="175">
        <f>D80*3</f>
        <v>14667</v>
      </c>
      <c r="E81" s="176">
        <f t="shared" si="28"/>
        <v>1.0966013916013486E-2</v>
      </c>
      <c r="F81" s="23"/>
      <c r="G81" s="23"/>
      <c r="H81" s="181"/>
      <c r="I81" s="182"/>
      <c r="J81" s="183"/>
    </row>
    <row r="82" spans="2:10" ht="18" customHeight="1" thickBot="1" x14ac:dyDescent="0.3">
      <c r="B82" s="145" t="s">
        <v>73</v>
      </c>
      <c r="C82" s="146"/>
      <c r="D82" s="146"/>
      <c r="E82" s="147"/>
    </row>
    <row r="83" spans="2:10" x14ac:dyDescent="0.25">
      <c r="B83" s="103" t="s">
        <v>68</v>
      </c>
      <c r="C83" s="101" t="s">
        <v>79</v>
      </c>
      <c r="D83" s="104" t="s">
        <v>69</v>
      </c>
      <c r="E83" s="105" t="s">
        <v>59</v>
      </c>
    </row>
    <row r="84" spans="2:10" ht="15.75" x14ac:dyDescent="0.25">
      <c r="B84" s="65" t="s">
        <v>0</v>
      </c>
      <c r="C84" s="98">
        <f>(D43*400%)/3</f>
        <v>1562.6803050564833</v>
      </c>
      <c r="D84" s="94">
        <v>3682</v>
      </c>
      <c r="E84" s="95">
        <f>(C84-D84)/C84</f>
        <v>-1.3562081048093286</v>
      </c>
    </row>
    <row r="85" spans="2:10" ht="31.5" x14ac:dyDescent="0.25">
      <c r="B85" s="65" t="s">
        <v>9</v>
      </c>
      <c r="C85" s="98">
        <f>(D44*400%)/3</f>
        <v>1039.8044880630196</v>
      </c>
      <c r="D85" s="94">
        <v>2494</v>
      </c>
      <c r="E85" s="95">
        <f t="shared" ref="E85:E90" si="30">(C85-D85)/C85</f>
        <v>-1.3985278277129785</v>
      </c>
    </row>
    <row r="86" spans="2:10" ht="31.5" x14ac:dyDescent="0.25">
      <c r="B86" s="65" t="s">
        <v>10</v>
      </c>
      <c r="C86" s="98">
        <f>(D45*400%)/3</f>
        <v>905.12435338288481</v>
      </c>
      <c r="D86" s="94">
        <v>2107</v>
      </c>
      <c r="E86" s="95">
        <f t="shared" si="30"/>
        <v>-1.3278569316195374</v>
      </c>
      <c r="F86" s="132"/>
      <c r="G86" s="132"/>
    </row>
    <row r="87" spans="2:10" ht="15.75" x14ac:dyDescent="0.25">
      <c r="B87" s="65" t="s">
        <v>3</v>
      </c>
      <c r="C87" s="98">
        <f>(D46*400%)/3</f>
        <v>641.09795074262081</v>
      </c>
      <c r="D87" s="94">
        <v>1500</v>
      </c>
      <c r="E87" s="95">
        <f t="shared" si="30"/>
        <v>-1.3397360703812315</v>
      </c>
    </row>
    <row r="88" spans="2:10" ht="15.75" x14ac:dyDescent="0.25">
      <c r="B88" s="65" t="s">
        <v>4</v>
      </c>
      <c r="C88" s="98">
        <f>(D47*400%)/3</f>
        <v>608.8280570865885</v>
      </c>
      <c r="D88" s="94">
        <v>1499</v>
      </c>
      <c r="E88" s="95">
        <f t="shared" si="30"/>
        <v>-1.4621072937622679</v>
      </c>
    </row>
    <row r="89" spans="2:10" ht="15.75" x14ac:dyDescent="0.25">
      <c r="B89" s="65" t="s">
        <v>11</v>
      </c>
      <c r="C89" s="98">
        <f>(D48*400%)/3</f>
        <v>270.72758037225043</v>
      </c>
      <c r="D89" s="94">
        <v>704</v>
      </c>
      <c r="E89" s="95">
        <f t="shared" si="30"/>
        <v>-1.6004</v>
      </c>
    </row>
    <row r="90" spans="2:10" ht="16.5" thickBot="1" x14ac:dyDescent="0.3">
      <c r="B90" s="93" t="s">
        <v>6</v>
      </c>
      <c r="C90" s="99">
        <f>(D49*400%)/3</f>
        <v>1562.6803050564833</v>
      </c>
      <c r="D90" s="96">
        <v>3663</v>
      </c>
      <c r="E90" s="97">
        <f t="shared" si="30"/>
        <v>-1.3440495078534958</v>
      </c>
    </row>
  </sheetData>
  <mergeCells count="23">
    <mergeCell ref="B31:C31"/>
    <mergeCell ref="A27:A29"/>
    <mergeCell ref="A2:A8"/>
    <mergeCell ref="A9:A13"/>
    <mergeCell ref="A14:A18"/>
    <mergeCell ref="A25:A26"/>
    <mergeCell ref="A19:A24"/>
    <mergeCell ref="H70:J70"/>
    <mergeCell ref="H71:J71"/>
    <mergeCell ref="B82:E82"/>
    <mergeCell ref="N19:N25"/>
    <mergeCell ref="N26:N30"/>
    <mergeCell ref="N31:N35"/>
    <mergeCell ref="N36:N41"/>
    <mergeCell ref="N42:N43"/>
    <mergeCell ref="N44:N46"/>
    <mergeCell ref="B42:C42"/>
    <mergeCell ref="B41:E41"/>
    <mergeCell ref="B52:E52"/>
    <mergeCell ref="B53:E53"/>
    <mergeCell ref="B62:E62"/>
    <mergeCell ref="B71:E71"/>
    <mergeCell ref="G31:I31"/>
  </mergeCell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workbookViewId="0">
      <selection activeCell="K37" sqref="K3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0.285156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165" t="s">
        <v>31</v>
      </c>
      <c r="F9" s="165"/>
      <c r="G9" s="165"/>
      <c r="H9" s="165"/>
      <c r="I9" s="165"/>
    </row>
    <row r="11" spans="5:9" ht="28.5" x14ac:dyDescent="0.25"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</row>
    <row r="12" spans="5:9" ht="15.75" x14ac:dyDescent="0.25">
      <c r="E12" s="2" t="s">
        <v>0</v>
      </c>
      <c r="F12" s="3" t="s">
        <v>22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21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24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17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18</v>
      </c>
      <c r="F16" s="3" t="s">
        <v>20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19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23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165" t="s">
        <v>29</v>
      </c>
      <c r="F23" s="165"/>
      <c r="G23" s="165"/>
      <c r="H23" s="165"/>
      <c r="I23" s="165"/>
    </row>
    <row r="25" spans="5:9" x14ac:dyDescent="0.25">
      <c r="E25" s="8" t="s">
        <v>12</v>
      </c>
      <c r="F25" s="8" t="s">
        <v>13</v>
      </c>
      <c r="G25" s="8" t="s">
        <v>14</v>
      </c>
      <c r="H25" s="8" t="s">
        <v>15</v>
      </c>
      <c r="I25" s="8" t="s">
        <v>16</v>
      </c>
    </row>
    <row r="26" spans="5:9" ht="15.75" x14ac:dyDescent="0.25">
      <c r="E26" s="13" t="s">
        <v>0</v>
      </c>
      <c r="F26" s="12" t="s">
        <v>22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21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24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17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18</v>
      </c>
      <c r="F30" s="12" t="s">
        <v>20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19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23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165" t="s">
        <v>30</v>
      </c>
      <c r="F35" s="165"/>
      <c r="G35" s="165"/>
      <c r="H35" s="165"/>
      <c r="I35" s="165"/>
    </row>
    <row r="37" spans="5:15" x14ac:dyDescent="0.25">
      <c r="E37" s="8" t="s">
        <v>12</v>
      </c>
      <c r="F37" s="8" t="s">
        <v>13</v>
      </c>
      <c r="G37" s="8" t="s">
        <v>14</v>
      </c>
      <c r="H37" s="8" t="s">
        <v>15</v>
      </c>
      <c r="I37" s="8" t="s">
        <v>16</v>
      </c>
      <c r="L37" s="14" t="s">
        <v>25</v>
      </c>
      <c r="M37" s="14" t="s">
        <v>26</v>
      </c>
      <c r="N37" s="14" t="s">
        <v>27</v>
      </c>
      <c r="O37" s="14" t="s">
        <v>28</v>
      </c>
    </row>
    <row r="38" spans="5:15" ht="15.75" x14ac:dyDescent="0.25">
      <c r="E38" s="13" t="s">
        <v>0</v>
      </c>
      <c r="F38" s="12" t="s">
        <v>22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19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21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20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24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21</v>
      </c>
      <c r="M40" s="14" t="s">
        <v>32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17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22</v>
      </c>
      <c r="M41" s="14" t="s">
        <v>33</v>
      </c>
      <c r="N41" s="14">
        <v>139</v>
      </c>
      <c r="O41" s="14">
        <v>0</v>
      </c>
    </row>
    <row r="42" spans="5:15" ht="15.75" x14ac:dyDescent="0.25">
      <c r="E42" s="13" t="s">
        <v>18</v>
      </c>
      <c r="F42" s="12" t="s">
        <v>20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23</v>
      </c>
      <c r="M42" s="14" t="s">
        <v>34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19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17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23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24</v>
      </c>
      <c r="M44" s="14" t="s">
        <v>32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Сабина</cp:lastModifiedBy>
  <dcterms:created xsi:type="dcterms:W3CDTF">2015-06-05T18:19:34Z</dcterms:created>
  <dcterms:modified xsi:type="dcterms:W3CDTF">2020-09-27T20:07:21Z</dcterms:modified>
</cp:coreProperties>
</file>