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 Li\Desktop\Uploading project\Health Systems\"/>
    </mc:Choice>
  </mc:AlternateContent>
  <xr:revisionPtr revIDLastSave="0" documentId="13_ncr:1_{E49F848C-3993-4D73-8379-7583228FFE83}" xr6:coauthVersionLast="47" xr6:coauthVersionMax="47" xr10:uidLastSave="{00000000-0000-0000-0000-000000000000}"/>
  <bookViews>
    <workbookView xWindow="-96" yWindow="-96" windowWidth="23232" windowHeight="12552" tabRatio="711" activeTab="2" xr2:uid="{00000000-000D-0000-FFFF-FFFF00000000}"/>
  </bookViews>
  <sheets>
    <sheet name="Reconciliation" sheetId="32" r:id="rId1"/>
    <sheet name="BPC Data" sheetId="1" r:id="rId2"/>
    <sheet name="Summary" sheetId="2" r:id="rId3"/>
    <sheet name="Sheet1" sheetId="94" r:id="rId4"/>
    <sheet name="Totals" sheetId="81" state="hidden" r:id="rId5"/>
    <sheet name="Maryville" sheetId="82" r:id="rId6"/>
    <sheet name="Ashland" sheetId="83" r:id="rId7"/>
    <sheet name="Bellefontaine" sheetId="84" r:id="rId8"/>
    <sheet name="Current_River" sheetId="85" r:id="rId9"/>
    <sheet name="Dixon" sheetId="86" r:id="rId10"/>
    <sheet name="Forsyth" sheetId="87" r:id="rId11"/>
    <sheet name="Glenwood" sheetId="88" r:id="rId12"/>
    <sheet name="Silex" sheetId="89" r:id="rId13"/>
    <sheet name="S_Hampton" sheetId="90" r:id="rId14"/>
    <sheet name="Strafford" sheetId="91" r:id="rId15"/>
    <sheet name="Windsor" sheetId="92" r:id="rId16"/>
    <sheet name="PropertyList" sheetId="93" r:id="rId17"/>
  </sheets>
  <externalReferences>
    <externalReference r:id="rId18"/>
    <externalReference r:id="rId19"/>
    <externalReference r:id="rId20"/>
  </externalReferences>
  <definedNames>
    <definedName name="__FPMExcelClient_CellBasedFunctionStatus" localSheetId="1" hidden="1">"2_2_2_2_2_2"</definedName>
    <definedName name="__FPMExcelClient_CellBasedFunctionStatus" localSheetId="2" hidden="1">"2_1_2_2_2_2"</definedName>
    <definedName name="__FPMExcelClient_Connection" localSheetId="1">"_FPM_BPCMS10_[http://13.64.249.230/sap/bpc/]_[Sabra]_[Finance]_[false]_[false]\1"</definedName>
    <definedName name="__FPMExcelClient_Connection" localSheetId="2">"_FPM_BPCMS10_[http://13.64.249.230/sap/bpc/]_[Sabra]_[Finance]_[false]_[false]\1"</definedName>
    <definedName name="__FPMExcelClient_RefreshTime" localSheetId="1">636664791632356000</definedName>
    <definedName name="__FPMExcelClient_RefreshTime" localSheetId="2">636622482894005000</definedName>
    <definedName name="_xlnm._FilterDatabase" localSheetId="1" hidden="1">'BPC Data'!$A$3:$K$3</definedName>
    <definedName name="APA">[1]ReportingTemplate!#REF!</definedName>
    <definedName name="APN">[1]ReportingTemplate!#REF!</definedName>
    <definedName name="Area1_Ledger">#REF!</definedName>
    <definedName name="Area1_nPlosion">#REF!</definedName>
    <definedName name="Area1_TimeSpan">#REF!</definedName>
    <definedName name="Area2A_Ledger">#REF!</definedName>
    <definedName name="Area2A_nPlosion">#REF!</definedName>
    <definedName name="Area2A_TimeSpan">#REF!</definedName>
    <definedName name="Area2B_Ledger">#REF!</definedName>
    <definedName name="Area2B_nPlosion">#REF!</definedName>
    <definedName name="Area2B_TimeSpan">#REF!</definedName>
    <definedName name="Area3A_Ledger">#REF!</definedName>
    <definedName name="Area3A_nPlosion">#REF!</definedName>
    <definedName name="Area3A_TimeSpan">#REF!</definedName>
    <definedName name="Area3B_Ledger">#REF!</definedName>
    <definedName name="Area3B_nPlosion">#REF!</definedName>
    <definedName name="Area3B_TimeSpan">#REF!</definedName>
    <definedName name="ASD">[1]ReportingTemplate!#REF!</definedName>
    <definedName name="ASDYY">[1]ReportingTemplate!#REF!</definedName>
    <definedName name="ASHLAND" localSheetId="16">#REF!</definedName>
    <definedName name="ASHLAND">#REF!</definedName>
    <definedName name="AST">[1]ReportingTemplate!#REF!</definedName>
    <definedName name="BELLEFONTAINE" localSheetId="16">#REF!</definedName>
    <definedName name="BELLEFONTAINE">#REF!</definedName>
    <definedName name="BERTRAND">#REF!</definedName>
    <definedName name="BUN">[1]ReportingTemplate!#REF!</definedName>
    <definedName name="BUV">[1]ReportingTemplate!#REF!</definedName>
    <definedName name="CDate">[2]ALL!$C$2</definedName>
    <definedName name="CIQWBGuid" hidden="1">"c15f6320-5f6c-4628-a0e0-b982cdf3d2d7"</definedName>
    <definedName name="CLINTON">#REF!</definedName>
    <definedName name="Criteria_Ledger">#REF!</definedName>
    <definedName name="Criteria_nPlosion">#REF!</definedName>
    <definedName name="Criteria_TimeSpan">#REF!</definedName>
    <definedName name="CURRENT_RIVER" localSheetId="16">#REF!</definedName>
    <definedName name="CURRENT_RIVER">#REF!</definedName>
    <definedName name="Descr_Ledger">#REF!</definedName>
    <definedName name="Descr_nPlosion">#REF!</definedName>
    <definedName name="Descr_TimeSpan">#REF!</definedName>
    <definedName name="DIXON" localSheetId="16">#REF!</definedName>
    <definedName name="DIXON">#REF!</definedName>
    <definedName name="EV__EVCOM_OPTIONS__" hidden="1">8</definedName>
    <definedName name="EV__EXPOPTIONS__" hidden="1">0</definedName>
    <definedName name="EV__LASTREFTIME__" hidden="1">41170.709525463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FORSYTH" localSheetId="16">#REF!</definedName>
    <definedName name="FORSYTH">#REF!</definedName>
    <definedName name="GLENWOOD" localSheetId="16">#REF!</definedName>
    <definedName name="GLENWOOD">#REF!</definedName>
    <definedName name="Hardcode_Variables">[1]ReportingTemplate!#REF!</definedName>
    <definedName name="Hook_Check">#REF!</definedName>
    <definedName name="LYN">[1]ReportingTemplate!#REF!</definedName>
    <definedName name="MARYVILLE" localSheetId="16">#REF!</definedName>
    <definedName name="MARYVILLE">#REF!</definedName>
    <definedName name="NvsASD">"V2018-03-31"</definedName>
    <definedName name="NvsAutoDrillOk">"VN"</definedName>
    <definedName name="NvsElapsedTime">0.0000462962998426519</definedName>
    <definedName name="NvsEndTime">43227.6196527778</definedName>
    <definedName name="NvsInstLang">"VENG"</definedName>
    <definedName name="NvsInstSpec">"%,FBUSINESS_UNIT,V90113"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"V2003-11-20"</definedName>
    <definedName name="NvsPanelSetid">"VIHS"</definedName>
    <definedName name="NvsReqBU">"V90113"</definedName>
    <definedName name="NvsReqBUOnly">"VN"</definedName>
    <definedName name="NvsTransLed">"VN"</definedName>
    <definedName name="NvsTreeASD">"V2018-03-31"</definedName>
    <definedName name="NvsValTbl.ACCOUNT">"GL_ACCOUNT_TBL"</definedName>
    <definedName name="NvsValTbl.BUSINESS_UNIT">"BUS_UNIT_TBL_FS"</definedName>
    <definedName name="NvsValTbl.CHARTFIELD1">"CHARTFIELD1_TBL"</definedName>
    <definedName name="NvsValTbl.CURRENCY_CD">"GL_ACCOUNT_TBL"</definedName>
    <definedName name="NvsValTbl.DEPTID">"DEPT_TBL"</definedName>
    <definedName name="NvsValTbl.DESCR">"FO_CSF_FLD_DTL"</definedName>
    <definedName name="NvsValTbl.OPER_UNIT">"OPER_UNIT_TBL"</definedName>
    <definedName name="NvsValTbl.PRODUCT">"PRODUCT_TBL"</definedName>
    <definedName name="NvsValTbl.SCENARIO">"BD_SCENARIO_TBL"</definedName>
    <definedName name="NvsValTbl.STATISTICS_CODE">"STAT_TBL"</definedName>
    <definedName name="OPR">[1]ReportingTemplate!#REF!</definedName>
    <definedName name="PatientDays_Insurance">'[3]Operating Statement'!$A$100:$U$101</definedName>
    <definedName name="PatientDays_Medicaid">'[3]Operating Statement'!$A$102:$U$103</definedName>
    <definedName name="PERIOD">[1]ReportingTemplate!#REF!</definedName>
    <definedName name="_xlnm.Print_Area" localSheetId="2">Summary!$F$4:$L$559</definedName>
    <definedName name="_xlnm.Print_Area" localSheetId="4">Totals!$A$1:$O$466</definedName>
    <definedName name="_xlnm.Print_Titles" localSheetId="2">Summary!$4:$8</definedName>
    <definedName name="RBN">[1]ReportingTemplate!#REF!</definedName>
    <definedName name="RBU">[1]ReportingTemplate!#REF!</definedName>
    <definedName name="RID">[1]ReportingTemplate!#REF!</definedName>
    <definedName name="S_HAMPTON" localSheetId="16">#REF!</definedName>
    <definedName name="S_HAMPTON">#REF!</definedName>
    <definedName name="SCD">[1]ReportingTemplate!#REF!</definedName>
    <definedName name="SCN">[1]ReportingTemplate!#REF!</definedName>
    <definedName name="SFD">[1]ReportingTemplate!#REF!</definedName>
    <definedName name="SFN">[1]ReportingTemplate!#REF!</definedName>
    <definedName name="SFV">[1]ReportingTemplate!#REF!</definedName>
    <definedName name="SILEX" localSheetId="16">#REF!</definedName>
    <definedName name="SILEX">#REF!</definedName>
    <definedName name="SLD">[1]ReportingTemplate!#REF!</definedName>
    <definedName name="SLN">[1]ReportingTemplate!#REF!</definedName>
    <definedName name="ST_FRANCOIS_RCF">#REF!</definedName>
    <definedName name="STD">[1]ReportingTemplate!#REF!</definedName>
    <definedName name="STN">[1]ReportingTemplate!#REF!</definedName>
    <definedName name="STRAFFORD" localSheetId="16">#REF!</definedName>
    <definedName name="STRAFFORD">#REF!</definedName>
    <definedName name="SWEET">#REF!</definedName>
    <definedName name="WINDSOR" localSheetId="16">#REF!</definedName>
    <definedName name="WINDS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2" i="2" l="1"/>
  <c r="N128" i="2" l="1"/>
  <c r="Q114" i="2"/>
  <c r="P115" i="2"/>
  <c r="P114" i="2"/>
  <c r="N80" i="2"/>
  <c r="P113" i="2"/>
  <c r="N112" i="2"/>
  <c r="N123" i="2"/>
  <c r="N550" i="2" l="1"/>
  <c r="L98" i="2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N126" i="2" l="1"/>
  <c r="N124" i="2"/>
  <c r="N120" i="2"/>
  <c r="N117" i="2"/>
  <c r="N115" i="2"/>
  <c r="N113" i="2"/>
  <c r="N114" i="2" s="1"/>
  <c r="N116" i="2" s="1"/>
  <c r="N111" i="2"/>
  <c r="N109" i="2"/>
  <c r="N106" i="2"/>
  <c r="N104" i="2"/>
  <c r="N102" i="2"/>
  <c r="N101" i="2" s="1"/>
  <c r="N100" i="2"/>
  <c r="N98" i="2"/>
  <c r="N95" i="2"/>
  <c r="N93" i="2"/>
  <c r="N91" i="2"/>
  <c r="N90" i="2" s="1"/>
  <c r="N89" i="2"/>
  <c r="N87" i="2"/>
  <c r="N84" i="2"/>
  <c r="N82" i="2"/>
  <c r="N79" i="2"/>
  <c r="N553" i="2" s="1"/>
  <c r="N78" i="2"/>
  <c r="N76" i="2"/>
  <c r="N73" i="2"/>
  <c r="N71" i="2"/>
  <c r="N69" i="2"/>
  <c r="N68" i="2" s="1"/>
  <c r="N67" i="2"/>
  <c r="N65" i="2"/>
  <c r="N27" i="2"/>
  <c r="N12" i="2"/>
  <c r="K6" i="1"/>
  <c r="J6" i="1"/>
  <c r="I6" i="1"/>
  <c r="D3" i="1"/>
  <c r="D4" i="1"/>
  <c r="N81" i="2" l="1"/>
  <c r="N83" i="2" s="1"/>
  <c r="N103" i="2"/>
  <c r="N105" i="2" s="1"/>
  <c r="N70" i="2"/>
  <c r="N72" i="2" s="1"/>
  <c r="N92" i="2"/>
  <c r="N94" i="2" s="1"/>
  <c r="N125" i="2"/>
  <c r="N127" i="2" s="1"/>
  <c r="N62" i="2"/>
  <c r="N60" i="2"/>
  <c r="N58" i="2"/>
  <c r="N57" i="2" s="1"/>
  <c r="N56" i="2"/>
  <c r="N54" i="2"/>
  <c r="N51" i="2"/>
  <c r="N49" i="2"/>
  <c r="N47" i="2"/>
  <c r="N46" i="2" s="1"/>
  <c r="N45" i="2"/>
  <c r="N43" i="2"/>
  <c r="N40" i="2"/>
  <c r="N38" i="2"/>
  <c r="N36" i="2"/>
  <c r="N35" i="2" s="1"/>
  <c r="N34" i="2"/>
  <c r="N32" i="2"/>
  <c r="N29" i="2"/>
  <c r="N25" i="2"/>
  <c r="N24" i="2" s="1"/>
  <c r="N23" i="2"/>
  <c r="N21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N18" i="2"/>
  <c r="N16" i="2"/>
  <c r="N14" i="2"/>
  <c r="N10" i="2"/>
  <c r="H6" i="1"/>
  <c r="N59" i="2" l="1"/>
  <c r="N61" i="2" s="1"/>
  <c r="N26" i="2"/>
  <c r="N28" i="2" s="1"/>
  <c r="N37" i="2"/>
  <c r="N39" i="2" s="1"/>
  <c r="N48" i="2"/>
  <c r="N50" i="2" s="1"/>
  <c r="N552" i="2"/>
  <c r="N554" i="2"/>
  <c r="N13" i="2"/>
  <c r="N558" i="2"/>
  <c r="N556" i="2"/>
  <c r="C5" i="93"/>
  <c r="C6" i="93" s="1"/>
  <c r="C7" i="93" s="1"/>
  <c r="C8" i="93" s="1"/>
  <c r="C9" i="93" s="1"/>
  <c r="C10" i="93" s="1"/>
  <c r="C11" i="93" s="1"/>
  <c r="C12" i="93" s="1"/>
  <c r="C13" i="93" s="1"/>
  <c r="C14" i="93" s="1"/>
  <c r="C15" i="93" s="1"/>
  <c r="C16" i="93" s="1"/>
  <c r="C17" i="93" s="1"/>
  <c r="C18" i="93" s="1"/>
  <c r="C19" i="93" s="1"/>
  <c r="C20" i="93" s="1"/>
  <c r="C21" i="93" s="1"/>
  <c r="C22" i="93" s="1"/>
  <c r="C23" i="93" s="1"/>
  <c r="C24" i="93" s="1"/>
  <c r="C25" i="93" s="1"/>
  <c r="C26" i="93" s="1"/>
  <c r="C27" i="93" s="1"/>
  <c r="C28" i="93" s="1"/>
  <c r="C29" i="93" s="1"/>
  <c r="C30" i="93" s="1"/>
  <c r="C31" i="93" s="1"/>
  <c r="C32" i="93" s="1"/>
  <c r="C33" i="93" s="1"/>
  <c r="C34" i="93" s="1"/>
  <c r="C35" i="93" s="1"/>
  <c r="C36" i="93" s="1"/>
  <c r="C37" i="93" s="1"/>
  <c r="C38" i="93" s="1"/>
  <c r="C39" i="93" s="1"/>
  <c r="C40" i="93" s="1"/>
  <c r="C41" i="93" s="1"/>
  <c r="C42" i="93" s="1"/>
  <c r="C43" i="93" s="1"/>
  <c r="C44" i="93" s="1"/>
  <c r="C45" i="93" s="1"/>
  <c r="C46" i="93" s="1"/>
  <c r="C47" i="93" s="1"/>
  <c r="C48" i="93" s="1"/>
  <c r="C49" i="93" s="1"/>
  <c r="C50" i="93" s="1"/>
  <c r="C51" i="93" s="1"/>
  <c r="C52" i="93" s="1"/>
  <c r="N15" i="2" l="1"/>
  <c r="H2" i="2"/>
  <c r="I2" i="2" s="1"/>
  <c r="J2" i="2" s="1"/>
  <c r="K2" i="2" s="1"/>
  <c r="L2" i="2" s="1"/>
  <c r="H3" i="2"/>
  <c r="N17" i="2" l="1"/>
  <c r="N557" i="2" s="1"/>
  <c r="N555" i="2"/>
  <c r="I3" i="2"/>
  <c r="J3" i="2" s="1"/>
  <c r="K3" i="2" s="1"/>
  <c r="L3" i="2" s="1"/>
  <c r="H1" i="2"/>
  <c r="H8" i="2"/>
  <c r="G6" i="1"/>
  <c r="L1" i="2" l="1"/>
  <c r="L8" i="2"/>
  <c r="K1" i="2"/>
  <c r="K8" i="2"/>
  <c r="J1" i="2"/>
  <c r="J8" i="2"/>
  <c r="I1" i="2"/>
  <c r="I8" i="2"/>
  <c r="F6" i="2"/>
  <c r="M119" i="2"/>
  <c r="O119" i="2" s="1"/>
  <c r="M108" i="2"/>
  <c r="O108" i="2" s="1"/>
  <c r="M97" i="2"/>
  <c r="O97" i="2" s="1"/>
  <c r="M86" i="2"/>
  <c r="O86" i="2" s="1"/>
  <c r="M75" i="2"/>
  <c r="O75" i="2" s="1"/>
  <c r="M64" i="2"/>
  <c r="O64" i="2" s="1"/>
  <c r="M53" i="2"/>
  <c r="O53" i="2" s="1"/>
  <c r="M42" i="2"/>
  <c r="O42" i="2" s="1"/>
  <c r="M31" i="2"/>
  <c r="O31" i="2" s="1"/>
  <c r="M20" i="2"/>
  <c r="O20" i="2" s="1"/>
  <c r="F5" i="2" l="1"/>
  <c r="F6" i="1"/>
  <c r="G1" i="2" l="1"/>
  <c r="E84" i="1"/>
  <c r="E77" i="1"/>
  <c r="E52" i="1"/>
  <c r="E44" i="1"/>
  <c r="E125" i="1"/>
  <c r="E96" i="1"/>
  <c r="E53" i="1"/>
  <c r="E28" i="1"/>
  <c r="E79" i="1"/>
  <c r="D73" i="1"/>
  <c r="E119" i="1"/>
  <c r="E111" i="1"/>
  <c r="E93" i="1"/>
  <c r="E63" i="1"/>
  <c r="E37" i="1"/>
  <c r="D95" i="1"/>
  <c r="E90" i="1"/>
  <c r="E38" i="1"/>
  <c r="E104" i="1"/>
  <c r="E80" i="1"/>
  <c r="E107" i="1"/>
  <c r="E87" i="1"/>
  <c r="E110" i="1"/>
  <c r="E126" i="1"/>
  <c r="E54" i="1"/>
  <c r="E73" i="1"/>
  <c r="E21" i="1"/>
  <c r="E34" i="1"/>
  <c r="E103" i="1"/>
  <c r="E47" i="1"/>
  <c r="E67" i="1"/>
  <c r="E94" i="1"/>
  <c r="E70" i="1"/>
  <c r="E69" i="1"/>
  <c r="E65" i="1"/>
  <c r="E57" i="1"/>
  <c r="E17" i="1"/>
  <c r="E121" i="1"/>
  <c r="E99" i="1"/>
  <c r="E46" i="1"/>
  <c r="E68" i="1"/>
  <c r="E85" i="1"/>
  <c r="E35" i="1"/>
  <c r="E64" i="1"/>
  <c r="D106" i="1"/>
  <c r="E115" i="1"/>
  <c r="D51" i="1"/>
  <c r="E124" i="1"/>
  <c r="E23" i="1"/>
  <c r="E26" i="1"/>
  <c r="E81" i="1"/>
  <c r="E114" i="1"/>
  <c r="E91" i="1"/>
  <c r="E72" i="1"/>
  <c r="E29" i="1"/>
  <c r="E51" i="1"/>
  <c r="E16" i="1"/>
  <c r="E31" i="1"/>
  <c r="E122" i="1"/>
  <c r="E88" i="1"/>
  <c r="E32" i="1"/>
  <c r="E61" i="1"/>
  <c r="E118" i="1"/>
  <c r="E100" i="1"/>
  <c r="E60" i="1"/>
  <c r="E116" i="1"/>
  <c r="E55" i="1"/>
  <c r="E18" i="1"/>
  <c r="E108" i="1"/>
  <c r="E97" i="1"/>
  <c r="E86" i="1"/>
  <c r="E75" i="1"/>
  <c r="E106" i="1"/>
  <c r="E95" i="1"/>
  <c r="E83" i="1"/>
  <c r="E66" i="1"/>
  <c r="E102" i="1"/>
  <c r="E78" i="1"/>
  <c r="E117" i="1"/>
  <c r="E101" i="1"/>
  <c r="E25" i="1"/>
  <c r="E45" i="1"/>
  <c r="E19" i="1"/>
  <c r="E20" i="1"/>
  <c r="E105" i="1"/>
  <c r="E113" i="1"/>
  <c r="E74" i="1"/>
  <c r="E76" i="1"/>
  <c r="E98" i="1"/>
  <c r="D40" i="1"/>
  <c r="E42" i="1"/>
  <c r="E30" i="1"/>
  <c r="E33" i="1"/>
  <c r="E71" i="1"/>
  <c r="E22" i="1"/>
  <c r="E92" i="1"/>
  <c r="D62" i="1"/>
  <c r="E120" i="1"/>
  <c r="E41" i="1"/>
  <c r="E123" i="1"/>
  <c r="E50" i="1"/>
  <c r="E49" i="1"/>
  <c r="D18" i="1"/>
  <c r="D117" i="1"/>
  <c r="D29" i="1"/>
  <c r="E36" i="1"/>
  <c r="E112" i="1"/>
  <c r="E56" i="1"/>
  <c r="E59" i="1"/>
  <c r="E62" i="1"/>
  <c r="E82" i="1"/>
  <c r="E58" i="1"/>
  <c r="E48" i="1"/>
  <c r="E27" i="1"/>
  <c r="E39" i="1"/>
  <c r="E43" i="1"/>
  <c r="E109" i="1"/>
  <c r="E24" i="1"/>
  <c r="D84" i="1"/>
  <c r="E40" i="1"/>
  <c r="E89" i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106" i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8" i="32"/>
  <c r="E127" i="1"/>
  <c r="B37" i="1" l="1"/>
  <c r="B87" i="1"/>
  <c r="B107" i="1"/>
  <c r="B27" i="1"/>
  <c r="B57" i="1"/>
  <c r="B77" i="1"/>
  <c r="B67" i="1"/>
  <c r="B97" i="1"/>
  <c r="B38" i="1"/>
  <c r="B88" i="1"/>
  <c r="B78" i="1"/>
  <c r="B98" i="1"/>
  <c r="B18" i="1"/>
  <c r="B28" i="1"/>
  <c r="B68" i="1"/>
  <c r="B58" i="1"/>
  <c r="B108" i="1"/>
  <c r="C10" i="32"/>
  <c r="C11" i="32"/>
  <c r="E9" i="1"/>
  <c r="D7" i="1"/>
  <c r="E10" i="1"/>
  <c r="E12" i="1"/>
  <c r="E8" i="1"/>
  <c r="E11" i="1"/>
  <c r="E13" i="1"/>
  <c r="E15" i="1"/>
  <c r="E14" i="1"/>
  <c r="E7" i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89" i="1"/>
  <c r="B69" i="1"/>
  <c r="B29" i="1"/>
  <c r="B19" i="1"/>
  <c r="B79" i="1"/>
  <c r="B99" i="1"/>
  <c r="B59" i="1"/>
  <c r="B39" i="1"/>
  <c r="B109" i="1"/>
  <c r="C12" i="32"/>
  <c r="F4" i="2"/>
  <c r="B47" i="1" l="1"/>
  <c r="B30" i="1"/>
  <c r="B90" i="1"/>
  <c r="B110" i="1"/>
  <c r="B60" i="1"/>
  <c r="B20" i="1"/>
  <c r="B100" i="1"/>
  <c r="B40" i="1"/>
  <c r="B70" i="1"/>
  <c r="B80" i="1"/>
  <c r="B7" i="1"/>
  <c r="B8" i="1" l="1"/>
  <c r="B17" i="1"/>
  <c r="B48" i="1"/>
  <c r="B91" i="1"/>
  <c r="B61" i="1"/>
  <c r="B111" i="1"/>
  <c r="B71" i="1"/>
  <c r="B9" i="1"/>
  <c r="B41" i="1"/>
  <c r="B101" i="1"/>
  <c r="B21" i="1"/>
  <c r="B81" i="1"/>
  <c r="B31" i="1"/>
  <c r="B49" i="1" l="1"/>
  <c r="B102" i="1"/>
  <c r="B112" i="1"/>
  <c r="B42" i="1"/>
  <c r="B72" i="1"/>
  <c r="B10" i="1"/>
  <c r="B62" i="1"/>
  <c r="B22" i="1"/>
  <c r="B32" i="1"/>
  <c r="B82" i="1"/>
  <c r="B92" i="1"/>
  <c r="D31" i="2"/>
  <c r="D42" i="2" s="1"/>
  <c r="D53" i="2" s="1"/>
  <c r="D64" i="2" s="1"/>
  <c r="D75" i="2" s="1"/>
  <c r="D86" i="2" s="1"/>
  <c r="D97" i="2" s="1"/>
  <c r="D108" i="2" s="1"/>
  <c r="D119" i="2" s="1"/>
  <c r="D130" i="2" s="1"/>
  <c r="D30" i="2"/>
  <c r="D29" i="2"/>
  <c r="D28" i="2"/>
  <c r="D27" i="2"/>
  <c r="D26" i="2"/>
  <c r="D25" i="2"/>
  <c r="D24" i="2"/>
  <c r="D23" i="2"/>
  <c r="D22" i="2"/>
  <c r="D21" i="2"/>
  <c r="D141" i="2" l="1"/>
  <c r="D152" i="2" s="1"/>
  <c r="D163" i="2" s="1"/>
  <c r="D174" i="2" s="1"/>
  <c r="D185" i="2" s="1"/>
  <c r="D196" i="2" s="1"/>
  <c r="D207" i="2" s="1"/>
  <c r="D218" i="2" s="1"/>
  <c r="D229" i="2" s="1"/>
  <c r="D240" i="2" s="1"/>
  <c r="D251" i="2" s="1"/>
  <c r="D262" i="2" s="1"/>
  <c r="D273" i="2" s="1"/>
  <c r="D284" i="2" s="1"/>
  <c r="D295" i="2" s="1"/>
  <c r="D306" i="2" s="1"/>
  <c r="D317" i="2" s="1"/>
  <c r="D328" i="2" s="1"/>
  <c r="D339" i="2" s="1"/>
  <c r="D350" i="2" s="1"/>
  <c r="D361" i="2" s="1"/>
  <c r="D372" i="2" s="1"/>
  <c r="D383" i="2" s="1"/>
  <c r="D394" i="2" s="1"/>
  <c r="D405" i="2" s="1"/>
  <c r="D416" i="2" s="1"/>
  <c r="D427" i="2" s="1"/>
  <c r="D438" i="2" s="1"/>
  <c r="D449" i="2" s="1"/>
  <c r="D460" i="2" s="1"/>
  <c r="D471" i="2" s="1"/>
  <c r="D482" i="2" s="1"/>
  <c r="D493" i="2" s="1"/>
  <c r="D504" i="2" s="1"/>
  <c r="D515" i="2" s="1"/>
  <c r="D526" i="2" s="1"/>
  <c r="D537" i="2" s="1"/>
  <c r="D41" i="2"/>
  <c r="B50" i="1"/>
  <c r="D38" i="2"/>
  <c r="D39" i="2"/>
  <c r="D35" i="2"/>
  <c r="D33" i="2"/>
  <c r="D36" i="2"/>
  <c r="D32" i="2"/>
  <c r="D34" i="2"/>
  <c r="D37" i="2"/>
  <c r="B63" i="1"/>
  <c r="B11" i="1"/>
  <c r="B93" i="1"/>
  <c r="B73" i="1"/>
  <c r="B43" i="1"/>
  <c r="B113" i="1"/>
  <c r="B33" i="1"/>
  <c r="B83" i="1"/>
  <c r="B23" i="1"/>
  <c r="B103" i="1"/>
  <c r="D40" i="2"/>
  <c r="F9" i="2"/>
  <c r="C18" i="2" s="1"/>
  <c r="F33" i="2"/>
  <c r="F21" i="2"/>
  <c r="F29" i="2"/>
  <c r="F40" i="2"/>
  <c r="F32" i="2"/>
  <c r="F35" i="2"/>
  <c r="F39" i="2"/>
  <c r="F10" i="2"/>
  <c r="F22" i="2"/>
  <c r="F37" i="2"/>
  <c r="F26" i="2"/>
  <c r="F14" i="2"/>
  <c r="F23" i="2"/>
  <c r="F25" i="2"/>
  <c r="F34" i="2"/>
  <c r="F38" i="2"/>
  <c r="F27" i="2"/>
  <c r="F11" i="2"/>
  <c r="F28" i="2"/>
  <c r="F24" i="2"/>
  <c r="F36" i="2"/>
  <c r="D52" i="2" l="1"/>
  <c r="B51" i="1"/>
  <c r="D43" i="2"/>
  <c r="D47" i="2"/>
  <c r="D46" i="2"/>
  <c r="D48" i="2"/>
  <c r="D45" i="2"/>
  <c r="D44" i="2"/>
  <c r="D50" i="2"/>
  <c r="D49" i="2"/>
  <c r="B114" i="1"/>
  <c r="B104" i="1"/>
  <c r="B94" i="1"/>
  <c r="B12" i="1"/>
  <c r="B74" i="1"/>
  <c r="B64" i="1"/>
  <c r="B34" i="1"/>
  <c r="B44" i="1"/>
  <c r="B84" i="1"/>
  <c r="B24" i="1"/>
  <c r="D51" i="2"/>
  <c r="A10" i="2"/>
  <c r="A11" i="2" s="1"/>
  <c r="C10" i="2"/>
  <c r="C11" i="2"/>
  <c r="C12" i="2"/>
  <c r="C13" i="2"/>
  <c r="C14" i="2"/>
  <c r="C15" i="2"/>
  <c r="C16" i="2"/>
  <c r="C17" i="2"/>
  <c r="G8" i="2"/>
  <c r="F49" i="2"/>
  <c r="F51" i="2"/>
  <c r="F46" i="2"/>
  <c r="F48" i="2"/>
  <c r="F44" i="2"/>
  <c r="F47" i="2"/>
  <c r="F43" i="2"/>
  <c r="F45" i="2"/>
  <c r="F50" i="2"/>
  <c r="D63" i="2" l="1"/>
  <c r="B52" i="1"/>
  <c r="D55" i="2"/>
  <c r="D58" i="2"/>
  <c r="D60" i="2"/>
  <c r="D56" i="2"/>
  <c r="D59" i="2"/>
  <c r="D61" i="2"/>
  <c r="D57" i="2"/>
  <c r="D54" i="2"/>
  <c r="B65" i="1"/>
  <c r="B66" i="1"/>
  <c r="B76" i="1"/>
  <c r="B75" i="1"/>
  <c r="B13" i="1"/>
  <c r="B106" i="1"/>
  <c r="B105" i="1"/>
  <c r="B46" i="1"/>
  <c r="B45" i="1"/>
  <c r="B36" i="1"/>
  <c r="B35" i="1"/>
  <c r="B95" i="1"/>
  <c r="B96" i="1"/>
  <c r="B26" i="1"/>
  <c r="B25" i="1"/>
  <c r="B85" i="1"/>
  <c r="B86" i="1"/>
  <c r="B115" i="1"/>
  <c r="D62" i="2"/>
  <c r="F549" i="2"/>
  <c r="F17" i="2"/>
  <c r="F62" i="2"/>
  <c r="F18" i="2"/>
  <c r="F59" i="2"/>
  <c r="F56" i="2"/>
  <c r="F13" i="2"/>
  <c r="F60" i="2"/>
  <c r="F16" i="2"/>
  <c r="F55" i="2"/>
  <c r="F61" i="2"/>
  <c r="F58" i="2"/>
  <c r="F12" i="2"/>
  <c r="F57" i="2"/>
  <c r="F54" i="2"/>
  <c r="F15" i="2"/>
  <c r="D74" i="2" l="1"/>
  <c r="B53" i="1"/>
  <c r="D72" i="2"/>
  <c r="D65" i="2"/>
  <c r="D67" i="2"/>
  <c r="D71" i="2"/>
  <c r="D69" i="2"/>
  <c r="D68" i="2"/>
  <c r="D70" i="2"/>
  <c r="D66" i="2"/>
  <c r="B14" i="1"/>
  <c r="B116" i="1"/>
  <c r="D73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65" i="2"/>
  <c r="F73" i="2"/>
  <c r="F72" i="2"/>
  <c r="F68" i="2"/>
  <c r="F71" i="2"/>
  <c r="F70" i="2"/>
  <c r="F69" i="2"/>
  <c r="F66" i="2"/>
  <c r="F67" i="2"/>
  <c r="D85" i="2" l="1"/>
  <c r="B54" i="1"/>
  <c r="D77" i="2"/>
  <c r="D79" i="2"/>
  <c r="D81" i="2"/>
  <c r="D80" i="2"/>
  <c r="D78" i="2"/>
  <c r="D76" i="2"/>
  <c r="D82" i="2"/>
  <c r="D83" i="2"/>
  <c r="B117" i="1"/>
  <c r="L10" i="2" s="1"/>
  <c r="B16" i="1"/>
  <c r="B15" i="1"/>
  <c r="D84" i="2"/>
  <c r="F31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F82" i="2"/>
  <c r="F81" i="2"/>
  <c r="F76" i="2"/>
  <c r="F84" i="2"/>
  <c r="F83" i="2"/>
  <c r="F79" i="2"/>
  <c r="F77" i="2"/>
  <c r="F80" i="2"/>
  <c r="F78" i="2"/>
  <c r="J10" i="2" l="1"/>
  <c r="K10" i="2"/>
  <c r="H10" i="2"/>
  <c r="I10" i="2"/>
  <c r="D96" i="2"/>
  <c r="B55" i="1"/>
  <c r="D94" i="2"/>
  <c r="D93" i="2"/>
  <c r="D87" i="2"/>
  <c r="D91" i="2"/>
  <c r="D92" i="2"/>
  <c r="D90" i="2"/>
  <c r="D89" i="2"/>
  <c r="D88" i="2"/>
  <c r="B118" i="1"/>
  <c r="L11" i="2" s="1"/>
  <c r="M11" i="2" s="1"/>
  <c r="D95" i="2"/>
  <c r="F42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C38" i="2"/>
  <c r="C33" i="2"/>
  <c r="C37" i="2"/>
  <c r="C35" i="2"/>
  <c r="C34" i="2"/>
  <c r="C36" i="2"/>
  <c r="C32" i="2"/>
  <c r="L32" i="2" s="1"/>
  <c r="C39" i="2"/>
  <c r="C40" i="2"/>
  <c r="F87" i="2"/>
  <c r="F90" i="2"/>
  <c r="F88" i="2"/>
  <c r="F94" i="2"/>
  <c r="F95" i="2"/>
  <c r="F92" i="2"/>
  <c r="F93" i="2"/>
  <c r="F91" i="2"/>
  <c r="F89" i="2"/>
  <c r="L33" i="2" l="1"/>
  <c r="M33" i="2" s="1"/>
  <c r="J11" i="2"/>
  <c r="K11" i="2"/>
  <c r="J32" i="2"/>
  <c r="K32" i="2"/>
  <c r="J33" i="2"/>
  <c r="K33" i="2"/>
  <c r="H11" i="2"/>
  <c r="I11" i="2"/>
  <c r="H33" i="2"/>
  <c r="I33" i="2"/>
  <c r="H32" i="2"/>
  <c r="I32" i="2"/>
  <c r="D107" i="2"/>
  <c r="B56" i="1"/>
  <c r="D101" i="2"/>
  <c r="D102" i="2"/>
  <c r="D98" i="2"/>
  <c r="D100" i="2"/>
  <c r="D103" i="2"/>
  <c r="D104" i="2"/>
  <c r="D99" i="2"/>
  <c r="D105" i="2"/>
  <c r="B119" i="1"/>
  <c r="L12" i="2" s="1"/>
  <c r="D106" i="2"/>
  <c r="F53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C46" i="2"/>
  <c r="C50" i="2"/>
  <c r="C49" i="2"/>
  <c r="C48" i="2"/>
  <c r="C51" i="2"/>
  <c r="C47" i="2"/>
  <c r="C45" i="2"/>
  <c r="L45" i="2" s="1"/>
  <c r="C44" i="2"/>
  <c r="L44" i="2" s="1"/>
  <c r="M44" i="2" s="1"/>
  <c r="C43" i="2"/>
  <c r="L43" i="2" s="1"/>
  <c r="F104" i="2"/>
  <c r="F98" i="2"/>
  <c r="F101" i="2"/>
  <c r="F100" i="2"/>
  <c r="F106" i="2"/>
  <c r="F102" i="2"/>
  <c r="F103" i="2"/>
  <c r="F105" i="2"/>
  <c r="F99" i="2"/>
  <c r="L34" i="2" l="1"/>
  <c r="K45" i="2"/>
  <c r="J12" i="2"/>
  <c r="K12" i="2"/>
  <c r="K34" i="2"/>
  <c r="J43" i="2"/>
  <c r="K43" i="2"/>
  <c r="J44" i="2"/>
  <c r="K44" i="2"/>
  <c r="I34" i="2"/>
  <c r="J34" i="2"/>
  <c r="I45" i="2"/>
  <c r="J45" i="2"/>
  <c r="H12" i="2"/>
  <c r="I12" i="2"/>
  <c r="H34" i="2"/>
  <c r="H44" i="2"/>
  <c r="I44" i="2"/>
  <c r="H43" i="2"/>
  <c r="I43" i="2"/>
  <c r="H45" i="2"/>
  <c r="D118" i="2"/>
  <c r="D114" i="2"/>
  <c r="D110" i="2"/>
  <c r="D111" i="2"/>
  <c r="D109" i="2"/>
  <c r="D115" i="2"/>
  <c r="D116" i="2"/>
  <c r="D113" i="2"/>
  <c r="D112" i="2"/>
  <c r="B120" i="1"/>
  <c r="D117" i="2"/>
  <c r="F64" i="2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C58" i="2"/>
  <c r="C57" i="2"/>
  <c r="C55" i="2"/>
  <c r="L55" i="2" s="1"/>
  <c r="M55" i="2" s="1"/>
  <c r="C56" i="2"/>
  <c r="L56" i="2" s="1"/>
  <c r="C54" i="2"/>
  <c r="L54" i="2" s="1"/>
  <c r="C60" i="2"/>
  <c r="C59" i="2"/>
  <c r="C62" i="2"/>
  <c r="C61" i="2"/>
  <c r="F109" i="2"/>
  <c r="F110" i="2"/>
  <c r="F115" i="2"/>
  <c r="F114" i="2"/>
  <c r="F117" i="2"/>
  <c r="F113" i="2"/>
  <c r="F112" i="2"/>
  <c r="F111" i="2"/>
  <c r="F116" i="2"/>
  <c r="K46" i="2" l="1"/>
  <c r="L13" i="2"/>
  <c r="L35" i="2"/>
  <c r="L46" i="2"/>
  <c r="K57" i="2"/>
  <c r="L57" i="2"/>
  <c r="J46" i="2"/>
  <c r="K13" i="2"/>
  <c r="K35" i="2"/>
  <c r="J54" i="2"/>
  <c r="K54" i="2"/>
  <c r="J56" i="2"/>
  <c r="K56" i="2"/>
  <c r="J55" i="2"/>
  <c r="K55" i="2"/>
  <c r="J57" i="2"/>
  <c r="I46" i="2"/>
  <c r="J13" i="2"/>
  <c r="J35" i="2"/>
  <c r="I13" i="2"/>
  <c r="I35" i="2"/>
  <c r="H55" i="2"/>
  <c r="I55" i="2"/>
  <c r="H57" i="2"/>
  <c r="I57" i="2"/>
  <c r="H54" i="2"/>
  <c r="I54" i="2"/>
  <c r="H56" i="2"/>
  <c r="I56" i="2"/>
  <c r="H13" i="2"/>
  <c r="H35" i="2"/>
  <c r="H46" i="2"/>
  <c r="D129" i="2"/>
  <c r="D127" i="2"/>
  <c r="D124" i="2"/>
  <c r="D120" i="2"/>
  <c r="D122" i="2"/>
  <c r="D126" i="2"/>
  <c r="D121" i="2"/>
  <c r="D123" i="2"/>
  <c r="D125" i="2"/>
  <c r="B121" i="1"/>
  <c r="D128" i="2"/>
  <c r="F75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C71" i="2"/>
  <c r="C70" i="2"/>
  <c r="C67" i="2"/>
  <c r="L67" i="2" s="1"/>
  <c r="C72" i="2"/>
  <c r="C66" i="2"/>
  <c r="L66" i="2" s="1"/>
  <c r="M66" i="2" s="1"/>
  <c r="C65" i="2"/>
  <c r="L65" i="2" s="1"/>
  <c r="C69" i="2"/>
  <c r="C68" i="2"/>
  <c r="L68" i="2" s="1"/>
  <c r="C73" i="2"/>
  <c r="F128" i="2"/>
  <c r="F126" i="2"/>
  <c r="F120" i="2"/>
  <c r="F124" i="2"/>
  <c r="F127" i="2"/>
  <c r="F125" i="2"/>
  <c r="F123" i="2"/>
  <c r="F121" i="2"/>
  <c r="F122" i="2"/>
  <c r="J67" i="2" l="1"/>
  <c r="K67" i="2"/>
  <c r="J65" i="2"/>
  <c r="K65" i="2"/>
  <c r="J68" i="2"/>
  <c r="K68" i="2"/>
  <c r="J66" i="2"/>
  <c r="K66" i="2"/>
  <c r="H67" i="2"/>
  <c r="I67" i="2"/>
  <c r="H65" i="2"/>
  <c r="I65" i="2"/>
  <c r="H68" i="2"/>
  <c r="I68" i="2"/>
  <c r="H66" i="2"/>
  <c r="I66" i="2"/>
  <c r="D140" i="2"/>
  <c r="D151" i="2" s="1"/>
  <c r="D162" i="2" s="1"/>
  <c r="D173" i="2" s="1"/>
  <c r="D184" i="2" s="1"/>
  <c r="D195" i="2" s="1"/>
  <c r="D206" i="2" s="1"/>
  <c r="D217" i="2" s="1"/>
  <c r="D228" i="2" s="1"/>
  <c r="D239" i="2" s="1"/>
  <c r="D250" i="2" s="1"/>
  <c r="D261" i="2" s="1"/>
  <c r="D272" i="2" s="1"/>
  <c r="D283" i="2" s="1"/>
  <c r="D294" i="2" s="1"/>
  <c r="D305" i="2" s="1"/>
  <c r="D316" i="2" s="1"/>
  <c r="D327" i="2" s="1"/>
  <c r="D338" i="2" s="1"/>
  <c r="D349" i="2" s="1"/>
  <c r="D360" i="2" s="1"/>
  <c r="D371" i="2" s="1"/>
  <c r="D382" i="2" s="1"/>
  <c r="D393" i="2" s="1"/>
  <c r="D404" i="2" s="1"/>
  <c r="D415" i="2" s="1"/>
  <c r="D426" i="2" s="1"/>
  <c r="D437" i="2" s="1"/>
  <c r="D448" i="2" s="1"/>
  <c r="D459" i="2" s="1"/>
  <c r="D470" i="2" s="1"/>
  <c r="D481" i="2" s="1"/>
  <c r="D492" i="2" s="1"/>
  <c r="D503" i="2" s="1"/>
  <c r="D514" i="2" s="1"/>
  <c r="D525" i="2" s="1"/>
  <c r="D536" i="2" s="1"/>
  <c r="D547" i="2" s="1"/>
  <c r="D559" i="2" s="1"/>
  <c r="D134" i="2"/>
  <c r="D132" i="2"/>
  <c r="D131" i="2"/>
  <c r="D133" i="2"/>
  <c r="D135" i="2"/>
  <c r="D137" i="2"/>
  <c r="D136" i="2"/>
  <c r="D138" i="2"/>
  <c r="B122" i="1"/>
  <c r="D139" i="2"/>
  <c r="F86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C78" i="2"/>
  <c r="L78" i="2" s="1"/>
  <c r="C77" i="2"/>
  <c r="L77" i="2" s="1"/>
  <c r="M77" i="2" s="1"/>
  <c r="C80" i="2"/>
  <c r="C76" i="2"/>
  <c r="L76" i="2" s="1"/>
  <c r="C84" i="2"/>
  <c r="C83" i="2"/>
  <c r="C82" i="2"/>
  <c r="C81" i="2"/>
  <c r="C79" i="2"/>
  <c r="L79" i="2" s="1"/>
  <c r="F136" i="2"/>
  <c r="F134" i="2"/>
  <c r="F139" i="2"/>
  <c r="F133" i="2"/>
  <c r="F135" i="2"/>
  <c r="F131" i="2"/>
  <c r="F138" i="2"/>
  <c r="F132" i="2"/>
  <c r="F137" i="2"/>
  <c r="L36" i="2" l="1"/>
  <c r="L47" i="2"/>
  <c r="L14" i="2"/>
  <c r="L58" i="2"/>
  <c r="L69" i="2"/>
  <c r="K80" i="2"/>
  <c r="L80" i="2"/>
  <c r="K47" i="2"/>
  <c r="K36" i="2"/>
  <c r="K58" i="2"/>
  <c r="K69" i="2"/>
  <c r="J77" i="2"/>
  <c r="K77" i="2"/>
  <c r="J79" i="2"/>
  <c r="K79" i="2"/>
  <c r="J78" i="2"/>
  <c r="K78" i="2"/>
  <c r="J76" i="2"/>
  <c r="K76" i="2"/>
  <c r="I69" i="2"/>
  <c r="J36" i="2"/>
  <c r="J47" i="2"/>
  <c r="J58" i="2"/>
  <c r="J69" i="2"/>
  <c r="I80" i="2"/>
  <c r="J80" i="2"/>
  <c r="H69" i="2"/>
  <c r="I36" i="2"/>
  <c r="I47" i="2"/>
  <c r="I58" i="2"/>
  <c r="H77" i="2"/>
  <c r="I77" i="2"/>
  <c r="H79" i="2"/>
  <c r="I79" i="2"/>
  <c r="H78" i="2"/>
  <c r="I78" i="2"/>
  <c r="H76" i="2"/>
  <c r="I76" i="2"/>
  <c r="H36" i="2"/>
  <c r="H47" i="2"/>
  <c r="H14" i="2"/>
  <c r="H58" i="2"/>
  <c r="H80" i="2"/>
  <c r="D147" i="2"/>
  <c r="D146" i="2"/>
  <c r="D144" i="2"/>
  <c r="D142" i="2"/>
  <c r="D149" i="2"/>
  <c r="D143" i="2"/>
  <c r="D148" i="2"/>
  <c r="D145" i="2"/>
  <c r="B123" i="1"/>
  <c r="D150" i="2"/>
  <c r="F97" i="2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C95" i="2"/>
  <c r="C89" i="2"/>
  <c r="L89" i="2" s="1"/>
  <c r="C88" i="2"/>
  <c r="L88" i="2" s="1"/>
  <c r="M88" i="2" s="1"/>
  <c r="C87" i="2"/>
  <c r="L87" i="2" s="1"/>
  <c r="C94" i="2"/>
  <c r="C93" i="2"/>
  <c r="C92" i="2"/>
  <c r="L92" i="2" s="1"/>
  <c r="C91" i="2"/>
  <c r="L91" i="2" s="1"/>
  <c r="C90" i="2"/>
  <c r="L90" i="2" s="1"/>
  <c r="F143" i="2"/>
  <c r="F147" i="2"/>
  <c r="F146" i="2"/>
  <c r="F144" i="2"/>
  <c r="F145" i="2"/>
  <c r="F150" i="2"/>
  <c r="F148" i="2"/>
  <c r="F149" i="2"/>
  <c r="F142" i="2"/>
  <c r="K81" i="2" l="1"/>
  <c r="L15" i="2"/>
  <c r="L37" i="2"/>
  <c r="L48" i="2"/>
  <c r="L59" i="2"/>
  <c r="L70" i="2"/>
  <c r="L81" i="2"/>
  <c r="J81" i="2"/>
  <c r="K15" i="2"/>
  <c r="K37" i="2"/>
  <c r="K48" i="2"/>
  <c r="K59" i="2"/>
  <c r="K70" i="2"/>
  <c r="J91" i="2"/>
  <c r="K91" i="2"/>
  <c r="J87" i="2"/>
  <c r="K87" i="2"/>
  <c r="J92" i="2"/>
  <c r="K92" i="2"/>
  <c r="J88" i="2"/>
  <c r="K88" i="2"/>
  <c r="J89" i="2"/>
  <c r="K89" i="2"/>
  <c r="J90" i="2"/>
  <c r="K90" i="2"/>
  <c r="J15" i="2"/>
  <c r="J37" i="2"/>
  <c r="J48" i="2"/>
  <c r="J59" i="2"/>
  <c r="J70" i="2"/>
  <c r="I15" i="2"/>
  <c r="I37" i="2"/>
  <c r="I48" i="2"/>
  <c r="I59" i="2"/>
  <c r="I70" i="2"/>
  <c r="I81" i="2"/>
  <c r="H89" i="2"/>
  <c r="I89" i="2"/>
  <c r="H90" i="2"/>
  <c r="I90" i="2"/>
  <c r="H92" i="2"/>
  <c r="I92" i="2"/>
  <c r="H88" i="2"/>
  <c r="I88" i="2"/>
  <c r="H91" i="2"/>
  <c r="I91" i="2"/>
  <c r="H87" i="2"/>
  <c r="I87" i="2"/>
  <c r="H15" i="2"/>
  <c r="H37" i="2"/>
  <c r="H48" i="2"/>
  <c r="H59" i="2"/>
  <c r="H70" i="2"/>
  <c r="H81" i="2"/>
  <c r="D160" i="2"/>
  <c r="D154" i="2"/>
  <c r="D153" i="2"/>
  <c r="D156" i="2"/>
  <c r="D155" i="2"/>
  <c r="D157" i="2"/>
  <c r="D159" i="2"/>
  <c r="D158" i="2"/>
  <c r="B124" i="1"/>
  <c r="L93" i="2" s="1"/>
  <c r="D161" i="2"/>
  <c r="F108" i="2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C98" i="2"/>
  <c r="C103" i="2"/>
  <c r="L103" i="2" s="1"/>
  <c r="C99" i="2"/>
  <c r="L99" i="2" s="1"/>
  <c r="M99" i="2" s="1"/>
  <c r="C105" i="2"/>
  <c r="C104" i="2"/>
  <c r="L104" i="2" s="1"/>
  <c r="C106" i="2"/>
  <c r="C102" i="2"/>
  <c r="L102" i="2" s="1"/>
  <c r="C101" i="2"/>
  <c r="L101" i="2" s="1"/>
  <c r="C100" i="2"/>
  <c r="L100" i="2" s="1"/>
  <c r="F156" i="2"/>
  <c r="F153" i="2"/>
  <c r="F160" i="2"/>
  <c r="F161" i="2"/>
  <c r="F158" i="2"/>
  <c r="F155" i="2"/>
  <c r="F159" i="2"/>
  <c r="F157" i="2"/>
  <c r="F154" i="2"/>
  <c r="L16" i="2" l="1"/>
  <c r="L38" i="2"/>
  <c r="L49" i="2"/>
  <c r="L60" i="2"/>
  <c r="L71" i="2"/>
  <c r="L82" i="2"/>
  <c r="K16" i="2"/>
  <c r="K38" i="2"/>
  <c r="K49" i="2"/>
  <c r="K60" i="2"/>
  <c r="K71" i="2"/>
  <c r="K82" i="2"/>
  <c r="K93" i="2"/>
  <c r="J102" i="2"/>
  <c r="K102" i="2"/>
  <c r="J99" i="2"/>
  <c r="K99" i="2"/>
  <c r="J103" i="2"/>
  <c r="K103" i="2"/>
  <c r="J101" i="2"/>
  <c r="K101" i="2"/>
  <c r="J100" i="2"/>
  <c r="K100" i="2"/>
  <c r="J104" i="2"/>
  <c r="K104" i="2"/>
  <c r="J98" i="2"/>
  <c r="K98" i="2"/>
  <c r="J16" i="2"/>
  <c r="J38" i="2"/>
  <c r="J49" i="2"/>
  <c r="J60" i="2"/>
  <c r="J71" i="2"/>
  <c r="J82" i="2"/>
  <c r="J93" i="2"/>
  <c r="I16" i="2"/>
  <c r="I38" i="2"/>
  <c r="I49" i="2"/>
  <c r="I60" i="2"/>
  <c r="I71" i="2"/>
  <c r="I82" i="2"/>
  <c r="I93" i="2"/>
  <c r="H103" i="2"/>
  <c r="I103" i="2"/>
  <c r="H104" i="2"/>
  <c r="I104" i="2"/>
  <c r="H102" i="2"/>
  <c r="I102" i="2"/>
  <c r="H99" i="2"/>
  <c r="I99" i="2"/>
  <c r="H100" i="2"/>
  <c r="I100" i="2"/>
  <c r="H98" i="2"/>
  <c r="I98" i="2"/>
  <c r="H101" i="2"/>
  <c r="I101" i="2"/>
  <c r="H16" i="2"/>
  <c r="H38" i="2"/>
  <c r="H49" i="2"/>
  <c r="H60" i="2"/>
  <c r="H71" i="2"/>
  <c r="H82" i="2"/>
  <c r="H93" i="2"/>
  <c r="D166" i="2"/>
  <c r="D169" i="2"/>
  <c r="D170" i="2"/>
  <c r="D164" i="2"/>
  <c r="D168" i="2"/>
  <c r="D165" i="2"/>
  <c r="D167" i="2"/>
  <c r="D171" i="2"/>
  <c r="B125" i="1"/>
  <c r="L105" i="2" s="1"/>
  <c r="D172" i="2"/>
  <c r="F119" i="2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C116" i="2"/>
  <c r="L116" i="2" s="1"/>
  <c r="C111" i="2"/>
  <c r="L111" i="2" s="1"/>
  <c r="C115" i="2"/>
  <c r="L115" i="2" s="1"/>
  <c r="C112" i="2"/>
  <c r="L112" i="2" s="1"/>
  <c r="C109" i="2"/>
  <c r="L109" i="2" s="1"/>
  <c r="C114" i="2"/>
  <c r="L114" i="2" s="1"/>
  <c r="C113" i="2"/>
  <c r="L113" i="2" s="1"/>
  <c r="C110" i="2"/>
  <c r="L110" i="2" s="1"/>
  <c r="M110" i="2" s="1"/>
  <c r="C117" i="2"/>
  <c r="F167" i="2"/>
  <c r="F171" i="2"/>
  <c r="F164" i="2"/>
  <c r="F165" i="2"/>
  <c r="F166" i="2"/>
  <c r="F168" i="2"/>
  <c r="F170" i="2"/>
  <c r="F169" i="2"/>
  <c r="F172" i="2"/>
  <c r="L17" i="2" l="1"/>
  <c r="L39" i="2"/>
  <c r="L50" i="2"/>
  <c r="L61" i="2"/>
  <c r="L72" i="2"/>
  <c r="L83" i="2"/>
  <c r="L94" i="2"/>
  <c r="K17" i="2"/>
  <c r="K39" i="2"/>
  <c r="K50" i="2"/>
  <c r="K61" i="2"/>
  <c r="K72" i="2"/>
  <c r="K83" i="2"/>
  <c r="K94" i="2"/>
  <c r="K105" i="2"/>
  <c r="J113" i="2"/>
  <c r="K113" i="2"/>
  <c r="J115" i="2"/>
  <c r="K115" i="2"/>
  <c r="J110" i="2"/>
  <c r="K110" i="2"/>
  <c r="J112" i="2"/>
  <c r="K112" i="2"/>
  <c r="J114" i="2"/>
  <c r="K114" i="2"/>
  <c r="J111" i="2"/>
  <c r="K111" i="2"/>
  <c r="J109" i="2"/>
  <c r="K109" i="2"/>
  <c r="J116" i="2"/>
  <c r="K116" i="2"/>
  <c r="J17" i="2"/>
  <c r="J39" i="2"/>
  <c r="J50" i="2"/>
  <c r="J61" i="2"/>
  <c r="J72" i="2"/>
  <c r="J83" i="2"/>
  <c r="J94" i="2"/>
  <c r="J105" i="2"/>
  <c r="H105" i="2"/>
  <c r="I17" i="2"/>
  <c r="I39" i="2"/>
  <c r="I50" i="2"/>
  <c r="I61" i="2"/>
  <c r="I72" i="2"/>
  <c r="I83" i="2"/>
  <c r="I94" i="2"/>
  <c r="I105" i="2"/>
  <c r="H111" i="2"/>
  <c r="I111" i="2"/>
  <c r="H109" i="2"/>
  <c r="I109" i="2"/>
  <c r="H116" i="2"/>
  <c r="I116" i="2"/>
  <c r="H110" i="2"/>
  <c r="I110" i="2"/>
  <c r="H112" i="2"/>
  <c r="I112" i="2"/>
  <c r="H114" i="2"/>
  <c r="I114" i="2"/>
  <c r="H113" i="2"/>
  <c r="I113" i="2"/>
  <c r="H115" i="2"/>
  <c r="I115" i="2"/>
  <c r="H17" i="2"/>
  <c r="H39" i="2"/>
  <c r="H50" i="2"/>
  <c r="H61" i="2"/>
  <c r="H72" i="2"/>
  <c r="H83" i="2"/>
  <c r="H94" i="2"/>
  <c r="D178" i="2"/>
  <c r="D176" i="2"/>
  <c r="D181" i="2"/>
  <c r="D179" i="2"/>
  <c r="D180" i="2"/>
  <c r="D175" i="2"/>
  <c r="D182" i="2"/>
  <c r="D177" i="2"/>
  <c r="B126" i="1"/>
  <c r="D183" i="2"/>
  <c r="F130" i="2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C125" i="2"/>
  <c r="L125" i="2" s="1"/>
  <c r="C124" i="2"/>
  <c r="L124" i="2" s="1"/>
  <c r="C126" i="2"/>
  <c r="L126" i="2" s="1"/>
  <c r="C128" i="2"/>
  <c r="C127" i="2"/>
  <c r="L127" i="2" s="1"/>
  <c r="C120" i="2"/>
  <c r="L120" i="2" s="1"/>
  <c r="C123" i="2"/>
  <c r="L123" i="2" s="1"/>
  <c r="C122" i="2"/>
  <c r="L122" i="2" s="1"/>
  <c r="C121" i="2"/>
  <c r="L121" i="2" s="1"/>
  <c r="M121" i="2" s="1"/>
  <c r="F20" i="2"/>
  <c r="F179" i="2"/>
  <c r="F178" i="2"/>
  <c r="F176" i="2"/>
  <c r="F183" i="2"/>
  <c r="F177" i="2"/>
  <c r="F182" i="2"/>
  <c r="F181" i="2"/>
  <c r="F180" i="2"/>
  <c r="F175" i="2"/>
  <c r="J121" i="2" l="1"/>
  <c r="K121" i="2"/>
  <c r="J127" i="2"/>
  <c r="K127" i="2"/>
  <c r="J125" i="2"/>
  <c r="K125" i="2"/>
  <c r="J122" i="2"/>
  <c r="K122" i="2"/>
  <c r="J123" i="2"/>
  <c r="K123" i="2"/>
  <c r="J126" i="2"/>
  <c r="K126" i="2"/>
  <c r="J120" i="2"/>
  <c r="K120" i="2"/>
  <c r="J124" i="2"/>
  <c r="K124" i="2"/>
  <c r="H120" i="2"/>
  <c r="I120" i="2"/>
  <c r="H127" i="2"/>
  <c r="I127" i="2"/>
  <c r="H124" i="2"/>
  <c r="I124" i="2"/>
  <c r="H121" i="2"/>
  <c r="I121" i="2"/>
  <c r="H125" i="2"/>
  <c r="I125" i="2"/>
  <c r="H122" i="2"/>
  <c r="I122" i="2"/>
  <c r="H123" i="2"/>
  <c r="I123" i="2"/>
  <c r="H126" i="2"/>
  <c r="I126" i="2"/>
  <c r="D186" i="2"/>
  <c r="D192" i="2"/>
  <c r="D190" i="2"/>
  <c r="D191" i="2"/>
  <c r="D187" i="2"/>
  <c r="D193" i="2"/>
  <c r="D188" i="2"/>
  <c r="D189" i="2"/>
  <c r="B127" i="1"/>
  <c r="L128" i="2" s="1"/>
  <c r="L129" i="2" s="1"/>
  <c r="D194" i="2"/>
  <c r="C25" i="2"/>
  <c r="L25" i="2" s="1"/>
  <c r="C28" i="2"/>
  <c r="L28" i="2" s="1"/>
  <c r="C27" i="2"/>
  <c r="L27" i="2" s="1"/>
  <c r="C22" i="2"/>
  <c r="L22" i="2" s="1"/>
  <c r="M22" i="2" s="1"/>
  <c r="C21" i="2"/>
  <c r="L21" i="2" s="1"/>
  <c r="C29" i="2"/>
  <c r="C26" i="2"/>
  <c r="L26" i="2" s="1"/>
  <c r="C24" i="2"/>
  <c r="L24" i="2" s="1"/>
  <c r="C23" i="2"/>
  <c r="L23" i="2" s="1"/>
  <c r="F141" i="2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C136" i="2"/>
  <c r="L136" i="2" s="1"/>
  <c r="C135" i="2"/>
  <c r="L135" i="2" s="1"/>
  <c r="C138" i="2"/>
  <c r="L138" i="2" s="1"/>
  <c r="C137" i="2"/>
  <c r="L137" i="2" s="1"/>
  <c r="C134" i="2"/>
  <c r="L134" i="2" s="1"/>
  <c r="C133" i="2"/>
  <c r="L133" i="2" s="1"/>
  <c r="C132" i="2"/>
  <c r="L132" i="2" s="1"/>
  <c r="C131" i="2"/>
  <c r="L131" i="2" s="1"/>
  <c r="C139" i="2"/>
  <c r="L139" i="2" s="1"/>
  <c r="F186" i="2"/>
  <c r="F193" i="2"/>
  <c r="F192" i="2"/>
  <c r="F187" i="2"/>
  <c r="F189" i="2"/>
  <c r="F191" i="2"/>
  <c r="F194" i="2"/>
  <c r="F188" i="2"/>
  <c r="F190" i="2"/>
  <c r="L29" i="2" l="1"/>
  <c r="H128" i="2"/>
  <c r="H129" i="2" s="1"/>
  <c r="L18" i="2"/>
  <c r="L19" i="2" s="1"/>
  <c r="L40" i="2"/>
  <c r="L41" i="2" s="1"/>
  <c r="L51" i="2"/>
  <c r="L52" i="2" s="1"/>
  <c r="L62" i="2"/>
  <c r="L63" i="2" s="1"/>
  <c r="L73" i="2"/>
  <c r="L74" i="2" s="1"/>
  <c r="L84" i="2"/>
  <c r="L85" i="2" s="1"/>
  <c r="L95" i="2"/>
  <c r="L96" i="2" s="1"/>
  <c r="L106" i="2"/>
  <c r="L107" i="2" s="1"/>
  <c r="L117" i="2"/>
  <c r="L118" i="2" s="1"/>
  <c r="L140" i="2"/>
  <c r="L30" i="2"/>
  <c r="K18" i="2"/>
  <c r="K19" i="2" s="1"/>
  <c r="K40" i="2"/>
  <c r="K41" i="2" s="1"/>
  <c r="K51" i="2"/>
  <c r="K52" i="2" s="1"/>
  <c r="K62" i="2"/>
  <c r="K63" i="2" s="1"/>
  <c r="K73" i="2"/>
  <c r="K74" i="2" s="1"/>
  <c r="K84" i="2"/>
  <c r="K85" i="2" s="1"/>
  <c r="K95" i="2"/>
  <c r="K96" i="2" s="1"/>
  <c r="K106" i="2"/>
  <c r="K107" i="2" s="1"/>
  <c r="K117" i="2"/>
  <c r="K118" i="2" s="1"/>
  <c r="K128" i="2"/>
  <c r="K129" i="2" s="1"/>
  <c r="J139" i="2"/>
  <c r="K139" i="2"/>
  <c r="J134" i="2"/>
  <c r="K134" i="2"/>
  <c r="J136" i="2"/>
  <c r="K136" i="2"/>
  <c r="J24" i="2"/>
  <c r="K24" i="2"/>
  <c r="J22" i="2"/>
  <c r="K22" i="2"/>
  <c r="J131" i="2"/>
  <c r="K131" i="2"/>
  <c r="J137" i="2"/>
  <c r="K137" i="2"/>
  <c r="J26" i="2"/>
  <c r="K26" i="2"/>
  <c r="J27" i="2"/>
  <c r="K27" i="2"/>
  <c r="J132" i="2"/>
  <c r="K132" i="2"/>
  <c r="J138" i="2"/>
  <c r="K138" i="2"/>
  <c r="J29" i="2"/>
  <c r="K29" i="2"/>
  <c r="J28" i="2"/>
  <c r="K28" i="2"/>
  <c r="J133" i="2"/>
  <c r="K133" i="2"/>
  <c r="J135" i="2"/>
  <c r="K135" i="2"/>
  <c r="J23" i="2"/>
  <c r="K23" i="2"/>
  <c r="J21" i="2"/>
  <c r="K21" i="2"/>
  <c r="J25" i="2"/>
  <c r="K25" i="2"/>
  <c r="J40" i="2"/>
  <c r="J41" i="2" s="1"/>
  <c r="J51" i="2"/>
  <c r="J52" i="2" s="1"/>
  <c r="J62" i="2"/>
  <c r="J63" i="2" s="1"/>
  <c r="J73" i="2"/>
  <c r="J74" i="2" s="1"/>
  <c r="J84" i="2"/>
  <c r="J85" i="2" s="1"/>
  <c r="J95" i="2"/>
  <c r="J96" i="2" s="1"/>
  <c r="J106" i="2"/>
  <c r="J107" i="2" s="1"/>
  <c r="J117" i="2"/>
  <c r="J118" i="2" s="1"/>
  <c r="J128" i="2"/>
  <c r="J129" i="2" s="1"/>
  <c r="I40" i="2"/>
  <c r="I41" i="2" s="1"/>
  <c r="I51" i="2"/>
  <c r="I52" i="2" s="1"/>
  <c r="I62" i="2"/>
  <c r="I63" i="2" s="1"/>
  <c r="I73" i="2"/>
  <c r="I74" i="2" s="1"/>
  <c r="I84" i="2"/>
  <c r="I85" i="2" s="1"/>
  <c r="I95" i="2"/>
  <c r="I96" i="2" s="1"/>
  <c r="I106" i="2"/>
  <c r="I107" i="2" s="1"/>
  <c r="I117" i="2"/>
  <c r="I118" i="2" s="1"/>
  <c r="I128" i="2"/>
  <c r="I129" i="2" s="1"/>
  <c r="H131" i="2"/>
  <c r="I131" i="2"/>
  <c r="H137" i="2"/>
  <c r="I137" i="2"/>
  <c r="H26" i="2"/>
  <c r="I26" i="2"/>
  <c r="H27" i="2"/>
  <c r="I27" i="2"/>
  <c r="H139" i="2"/>
  <c r="I139" i="2"/>
  <c r="H134" i="2"/>
  <c r="I134" i="2"/>
  <c r="H136" i="2"/>
  <c r="I136" i="2"/>
  <c r="H24" i="2"/>
  <c r="I24" i="2"/>
  <c r="H22" i="2"/>
  <c r="I22" i="2"/>
  <c r="H132" i="2"/>
  <c r="I132" i="2"/>
  <c r="H138" i="2"/>
  <c r="H140" i="2" s="1"/>
  <c r="I138" i="2"/>
  <c r="H29" i="2"/>
  <c r="I29" i="2"/>
  <c r="H28" i="2"/>
  <c r="I28" i="2"/>
  <c r="H133" i="2"/>
  <c r="I133" i="2"/>
  <c r="H135" i="2"/>
  <c r="I135" i="2"/>
  <c r="H23" i="2"/>
  <c r="I23" i="2"/>
  <c r="H21" i="2"/>
  <c r="I21" i="2"/>
  <c r="H25" i="2"/>
  <c r="I25" i="2"/>
  <c r="H40" i="2"/>
  <c r="H41" i="2" s="1"/>
  <c r="H51" i="2"/>
  <c r="H52" i="2" s="1"/>
  <c r="H62" i="2"/>
  <c r="H63" i="2" s="1"/>
  <c r="H73" i="2"/>
  <c r="H74" i="2" s="1"/>
  <c r="H84" i="2"/>
  <c r="H85" i="2" s="1"/>
  <c r="H95" i="2"/>
  <c r="H96" i="2" s="1"/>
  <c r="H106" i="2"/>
  <c r="H107" i="2" s="1"/>
  <c r="H117" i="2"/>
  <c r="H118" i="2" s="1"/>
  <c r="D199" i="2"/>
  <c r="D202" i="2"/>
  <c r="D200" i="2"/>
  <c r="D198" i="2"/>
  <c r="D201" i="2"/>
  <c r="D204" i="2"/>
  <c r="D203" i="2"/>
  <c r="D197" i="2"/>
  <c r="B128" i="1"/>
  <c r="D205" i="2"/>
  <c r="F152" i="2"/>
  <c r="A153" i="2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C149" i="2"/>
  <c r="L149" i="2" s="1"/>
  <c r="C150" i="2"/>
  <c r="L150" i="2" s="1"/>
  <c r="C148" i="2"/>
  <c r="L148" i="2" s="1"/>
  <c r="C144" i="2"/>
  <c r="L144" i="2" s="1"/>
  <c r="C146" i="2"/>
  <c r="L146" i="2" s="1"/>
  <c r="C145" i="2"/>
  <c r="L145" i="2" s="1"/>
  <c r="C143" i="2"/>
  <c r="L143" i="2" s="1"/>
  <c r="C147" i="2"/>
  <c r="L147" i="2" s="1"/>
  <c r="C142" i="2"/>
  <c r="L142" i="2" s="1"/>
  <c r="F205" i="2"/>
  <c r="F204" i="2"/>
  <c r="F202" i="2"/>
  <c r="F200" i="2"/>
  <c r="F203" i="2"/>
  <c r="F199" i="2"/>
  <c r="F198" i="2"/>
  <c r="F197" i="2"/>
  <c r="F201" i="2"/>
  <c r="J140" i="2" l="1"/>
  <c r="L151" i="2"/>
  <c r="J30" i="2"/>
  <c r="K140" i="2"/>
  <c r="I140" i="2"/>
  <c r="J147" i="2"/>
  <c r="K147" i="2"/>
  <c r="J144" i="2"/>
  <c r="K144" i="2"/>
  <c r="J143" i="2"/>
  <c r="K143" i="2"/>
  <c r="J148" i="2"/>
  <c r="K148" i="2"/>
  <c r="J145" i="2"/>
  <c r="K145" i="2"/>
  <c r="J150" i="2"/>
  <c r="K150" i="2"/>
  <c r="J142" i="2"/>
  <c r="K142" i="2"/>
  <c r="J146" i="2"/>
  <c r="K146" i="2"/>
  <c r="J149" i="2"/>
  <c r="K149" i="2"/>
  <c r="K30" i="2"/>
  <c r="H30" i="2"/>
  <c r="H145" i="2"/>
  <c r="I145" i="2"/>
  <c r="H150" i="2"/>
  <c r="I150" i="2"/>
  <c r="H143" i="2"/>
  <c r="I143" i="2"/>
  <c r="H148" i="2"/>
  <c r="I148" i="2"/>
  <c r="H142" i="2"/>
  <c r="I142" i="2"/>
  <c r="H146" i="2"/>
  <c r="I146" i="2"/>
  <c r="H149" i="2"/>
  <c r="I149" i="2"/>
  <c r="H147" i="2"/>
  <c r="I147" i="2"/>
  <c r="H144" i="2"/>
  <c r="I144" i="2"/>
  <c r="I30" i="2"/>
  <c r="D214" i="2"/>
  <c r="D209" i="2"/>
  <c r="D212" i="2"/>
  <c r="D211" i="2"/>
  <c r="D213" i="2"/>
  <c r="D215" i="2"/>
  <c r="D208" i="2"/>
  <c r="D210" i="2"/>
  <c r="B129" i="1"/>
  <c r="D216" i="2"/>
  <c r="F163" i="2"/>
  <c r="A164" i="2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C156" i="2"/>
  <c r="L156" i="2" s="1"/>
  <c r="C155" i="2"/>
  <c r="L155" i="2" s="1"/>
  <c r="C154" i="2"/>
  <c r="L154" i="2" s="1"/>
  <c r="C153" i="2"/>
  <c r="L153" i="2" s="1"/>
  <c r="C157" i="2"/>
  <c r="L157" i="2" s="1"/>
  <c r="C161" i="2"/>
  <c r="L161" i="2" s="1"/>
  <c r="C160" i="2"/>
  <c r="L160" i="2" s="1"/>
  <c r="C159" i="2"/>
  <c r="L159" i="2" s="1"/>
  <c r="C158" i="2"/>
  <c r="L158" i="2" s="1"/>
  <c r="F215" i="2"/>
  <c r="F209" i="2"/>
  <c r="F213" i="2"/>
  <c r="F216" i="2"/>
  <c r="F208" i="2"/>
  <c r="F211" i="2"/>
  <c r="F214" i="2"/>
  <c r="F210" i="2"/>
  <c r="F212" i="2"/>
  <c r="L162" i="2" l="1"/>
  <c r="J151" i="2"/>
  <c r="J160" i="2"/>
  <c r="K160" i="2"/>
  <c r="J154" i="2"/>
  <c r="K154" i="2"/>
  <c r="K151" i="2"/>
  <c r="J161" i="2"/>
  <c r="K161" i="2"/>
  <c r="J155" i="2"/>
  <c r="K155" i="2"/>
  <c r="J158" i="2"/>
  <c r="K158" i="2"/>
  <c r="J157" i="2"/>
  <c r="K157" i="2"/>
  <c r="J156" i="2"/>
  <c r="K156" i="2"/>
  <c r="J159" i="2"/>
  <c r="K159" i="2"/>
  <c r="J153" i="2"/>
  <c r="K153" i="2"/>
  <c r="H151" i="2"/>
  <c r="I151" i="2"/>
  <c r="H159" i="2"/>
  <c r="I159" i="2"/>
  <c r="H153" i="2"/>
  <c r="I153" i="2"/>
  <c r="H160" i="2"/>
  <c r="I160" i="2"/>
  <c r="H154" i="2"/>
  <c r="I154" i="2"/>
  <c r="H158" i="2"/>
  <c r="I158" i="2"/>
  <c r="H157" i="2"/>
  <c r="I157" i="2"/>
  <c r="H156" i="2"/>
  <c r="I156" i="2"/>
  <c r="H161" i="2"/>
  <c r="I161" i="2"/>
  <c r="H155" i="2"/>
  <c r="I155" i="2"/>
  <c r="D219" i="2"/>
  <c r="D224" i="2"/>
  <c r="D222" i="2"/>
  <c r="D226" i="2"/>
  <c r="D223" i="2"/>
  <c r="D220" i="2"/>
  <c r="D221" i="2"/>
  <c r="D225" i="2"/>
  <c r="B130" i="1"/>
  <c r="G18" i="2"/>
  <c r="D227" i="2"/>
  <c r="F174" i="2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C169" i="2"/>
  <c r="L169" i="2" s="1"/>
  <c r="C168" i="2"/>
  <c r="L168" i="2" s="1"/>
  <c r="C165" i="2"/>
  <c r="L165" i="2" s="1"/>
  <c r="C172" i="2"/>
  <c r="L172" i="2" s="1"/>
  <c r="C171" i="2"/>
  <c r="L171" i="2" s="1"/>
  <c r="C170" i="2"/>
  <c r="L170" i="2" s="1"/>
  <c r="C164" i="2"/>
  <c r="L164" i="2" s="1"/>
  <c r="C167" i="2"/>
  <c r="L167" i="2" s="1"/>
  <c r="C166" i="2"/>
  <c r="L166" i="2" s="1"/>
  <c r="F220" i="2"/>
  <c r="F222" i="2"/>
  <c r="F225" i="2"/>
  <c r="F226" i="2"/>
  <c r="F227" i="2"/>
  <c r="F223" i="2"/>
  <c r="F224" i="2"/>
  <c r="F219" i="2"/>
  <c r="F221" i="2"/>
  <c r="L173" i="2" l="1"/>
  <c r="J162" i="2"/>
  <c r="J164" i="2"/>
  <c r="K164" i="2"/>
  <c r="J165" i="2"/>
  <c r="K165" i="2"/>
  <c r="J170" i="2"/>
  <c r="K170" i="2"/>
  <c r="J168" i="2"/>
  <c r="K168" i="2"/>
  <c r="J166" i="2"/>
  <c r="K166" i="2"/>
  <c r="J171" i="2"/>
  <c r="K171" i="2"/>
  <c r="J169" i="2"/>
  <c r="K169" i="2"/>
  <c r="K162" i="2"/>
  <c r="J167" i="2"/>
  <c r="K167" i="2"/>
  <c r="J172" i="2"/>
  <c r="K172" i="2"/>
  <c r="H162" i="2"/>
  <c r="H166" i="2"/>
  <c r="I166" i="2"/>
  <c r="H171" i="2"/>
  <c r="I171" i="2"/>
  <c r="H169" i="2"/>
  <c r="I169" i="2"/>
  <c r="H167" i="2"/>
  <c r="I167" i="2"/>
  <c r="H172" i="2"/>
  <c r="I172" i="2"/>
  <c r="H164" i="2"/>
  <c r="I164" i="2"/>
  <c r="H165" i="2"/>
  <c r="I165" i="2"/>
  <c r="H170" i="2"/>
  <c r="I170" i="2"/>
  <c r="H168" i="2"/>
  <c r="I168" i="2"/>
  <c r="I162" i="2"/>
  <c r="D236" i="2"/>
  <c r="D232" i="2"/>
  <c r="D234" i="2"/>
  <c r="D237" i="2"/>
  <c r="D233" i="2"/>
  <c r="D231" i="2"/>
  <c r="D235" i="2"/>
  <c r="D230" i="2"/>
  <c r="B131" i="1"/>
  <c r="D238" i="2"/>
  <c r="F185" i="2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C176" i="2"/>
  <c r="L176" i="2" s="1"/>
  <c r="C183" i="2"/>
  <c r="L183" i="2" s="1"/>
  <c r="C182" i="2"/>
  <c r="L182" i="2" s="1"/>
  <c r="C181" i="2"/>
  <c r="L181" i="2" s="1"/>
  <c r="C175" i="2"/>
  <c r="L175" i="2" s="1"/>
  <c r="C180" i="2"/>
  <c r="L180" i="2" s="1"/>
  <c r="C177" i="2"/>
  <c r="L177" i="2" s="1"/>
  <c r="C179" i="2"/>
  <c r="L179" i="2" s="1"/>
  <c r="C178" i="2"/>
  <c r="L178" i="2" s="1"/>
  <c r="F237" i="2"/>
  <c r="F238" i="2"/>
  <c r="F233" i="2"/>
  <c r="F236" i="2"/>
  <c r="F235" i="2"/>
  <c r="F231" i="2"/>
  <c r="F230" i="2"/>
  <c r="F232" i="2"/>
  <c r="F234" i="2"/>
  <c r="L184" i="2" l="1"/>
  <c r="J179" i="2"/>
  <c r="K179" i="2"/>
  <c r="J181" i="2"/>
  <c r="K181" i="2"/>
  <c r="K173" i="2"/>
  <c r="J173" i="2"/>
  <c r="J177" i="2"/>
  <c r="K177" i="2"/>
  <c r="J182" i="2"/>
  <c r="K182" i="2"/>
  <c r="J180" i="2"/>
  <c r="K180" i="2"/>
  <c r="J183" i="2"/>
  <c r="K183" i="2"/>
  <c r="J178" i="2"/>
  <c r="K178" i="2"/>
  <c r="J175" i="2"/>
  <c r="K175" i="2"/>
  <c r="J176" i="2"/>
  <c r="K176" i="2"/>
  <c r="I173" i="2"/>
  <c r="H177" i="2"/>
  <c r="I177" i="2"/>
  <c r="H182" i="2"/>
  <c r="I182" i="2"/>
  <c r="H173" i="2"/>
  <c r="H180" i="2"/>
  <c r="I180" i="2"/>
  <c r="H183" i="2"/>
  <c r="I183" i="2"/>
  <c r="H179" i="2"/>
  <c r="I179" i="2"/>
  <c r="H181" i="2"/>
  <c r="I181" i="2"/>
  <c r="H178" i="2"/>
  <c r="I178" i="2"/>
  <c r="H175" i="2"/>
  <c r="I175" i="2"/>
  <c r="H176" i="2"/>
  <c r="I176" i="2"/>
  <c r="D242" i="2"/>
  <c r="D244" i="2"/>
  <c r="D246" i="2"/>
  <c r="D245" i="2"/>
  <c r="D248" i="2"/>
  <c r="D243" i="2"/>
  <c r="D241" i="2"/>
  <c r="D247" i="2"/>
  <c r="B132" i="1"/>
  <c r="D249" i="2"/>
  <c r="F196" i="2"/>
  <c r="A197" i="2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C194" i="2"/>
  <c r="L194" i="2" s="1"/>
  <c r="C189" i="2"/>
  <c r="L189" i="2" s="1"/>
  <c r="C193" i="2"/>
  <c r="L193" i="2" s="1"/>
  <c r="C190" i="2"/>
  <c r="L190" i="2" s="1"/>
  <c r="C192" i="2"/>
  <c r="L192" i="2" s="1"/>
  <c r="C191" i="2"/>
  <c r="L191" i="2" s="1"/>
  <c r="C188" i="2"/>
  <c r="L188" i="2" s="1"/>
  <c r="C187" i="2"/>
  <c r="L187" i="2" s="1"/>
  <c r="C186" i="2"/>
  <c r="L186" i="2" s="1"/>
  <c r="F244" i="2"/>
  <c r="F243" i="2"/>
  <c r="F247" i="2"/>
  <c r="F242" i="2"/>
  <c r="F248" i="2"/>
  <c r="F249" i="2"/>
  <c r="F246" i="2"/>
  <c r="F245" i="2"/>
  <c r="F241" i="2"/>
  <c r="L195" i="2" l="1"/>
  <c r="J184" i="2"/>
  <c r="J187" i="2"/>
  <c r="K187" i="2"/>
  <c r="J190" i="2"/>
  <c r="K190" i="2"/>
  <c r="J191" i="2"/>
  <c r="K191" i="2"/>
  <c r="J189" i="2"/>
  <c r="K189" i="2"/>
  <c r="J188" i="2"/>
  <c r="K188" i="2"/>
  <c r="J193" i="2"/>
  <c r="K193" i="2"/>
  <c r="J186" i="2"/>
  <c r="K186" i="2"/>
  <c r="J192" i="2"/>
  <c r="K192" i="2"/>
  <c r="J194" i="2"/>
  <c r="K194" i="2"/>
  <c r="K184" i="2"/>
  <c r="H184" i="2"/>
  <c r="H190" i="2"/>
  <c r="I190" i="2"/>
  <c r="I184" i="2"/>
  <c r="H188" i="2"/>
  <c r="I188" i="2"/>
  <c r="H193" i="2"/>
  <c r="I193" i="2"/>
  <c r="H187" i="2"/>
  <c r="I187" i="2"/>
  <c r="H191" i="2"/>
  <c r="I191" i="2"/>
  <c r="H189" i="2"/>
  <c r="I189" i="2"/>
  <c r="H186" i="2"/>
  <c r="I186" i="2"/>
  <c r="H192" i="2"/>
  <c r="I192" i="2"/>
  <c r="H194" i="2"/>
  <c r="I194" i="2"/>
  <c r="D252" i="2"/>
  <c r="D259" i="2"/>
  <c r="D256" i="2"/>
  <c r="D257" i="2"/>
  <c r="D254" i="2"/>
  <c r="D255" i="2"/>
  <c r="D258" i="2"/>
  <c r="D253" i="2"/>
  <c r="B133" i="1"/>
  <c r="D260" i="2"/>
  <c r="F207" i="2"/>
  <c r="A208" i="2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C202" i="2"/>
  <c r="L202" i="2" s="1"/>
  <c r="C201" i="2"/>
  <c r="L201" i="2" s="1"/>
  <c r="C203" i="2"/>
  <c r="L203" i="2" s="1"/>
  <c r="C197" i="2"/>
  <c r="L197" i="2" s="1"/>
  <c r="C205" i="2"/>
  <c r="L205" i="2" s="1"/>
  <c r="C204" i="2"/>
  <c r="L204" i="2" s="1"/>
  <c r="C200" i="2"/>
  <c r="L200" i="2" s="1"/>
  <c r="C198" i="2"/>
  <c r="L198" i="2" s="1"/>
  <c r="C199" i="2"/>
  <c r="L199" i="2" s="1"/>
  <c r="F253" i="2"/>
  <c r="F259" i="2"/>
  <c r="F254" i="2"/>
  <c r="F260" i="2"/>
  <c r="F252" i="2"/>
  <c r="F257" i="2"/>
  <c r="F255" i="2"/>
  <c r="F258" i="2"/>
  <c r="F256" i="2"/>
  <c r="L206" i="2" l="1"/>
  <c r="J195" i="2"/>
  <c r="K195" i="2"/>
  <c r="J200" i="2"/>
  <c r="K200" i="2"/>
  <c r="J203" i="2"/>
  <c r="K203" i="2"/>
  <c r="J198" i="2"/>
  <c r="K198" i="2"/>
  <c r="J204" i="2"/>
  <c r="K204" i="2"/>
  <c r="J201" i="2"/>
  <c r="K201" i="2"/>
  <c r="J199" i="2"/>
  <c r="K199" i="2"/>
  <c r="J205" i="2"/>
  <c r="K205" i="2"/>
  <c r="J202" i="2"/>
  <c r="K202" i="2"/>
  <c r="J197" i="2"/>
  <c r="K197" i="2"/>
  <c r="H195" i="2"/>
  <c r="H200" i="2"/>
  <c r="I200" i="2"/>
  <c r="H203" i="2"/>
  <c r="I203" i="2"/>
  <c r="H198" i="2"/>
  <c r="I198" i="2"/>
  <c r="H197" i="2"/>
  <c r="I197" i="2"/>
  <c r="I195" i="2"/>
  <c r="H204" i="2"/>
  <c r="I204" i="2"/>
  <c r="H201" i="2"/>
  <c r="I201" i="2"/>
  <c r="H199" i="2"/>
  <c r="I199" i="2"/>
  <c r="H205" i="2"/>
  <c r="I205" i="2"/>
  <c r="H202" i="2"/>
  <c r="I202" i="2"/>
  <c r="D269" i="2"/>
  <c r="D266" i="2"/>
  <c r="D268" i="2"/>
  <c r="D264" i="2"/>
  <c r="D267" i="2"/>
  <c r="D265" i="2"/>
  <c r="D270" i="2"/>
  <c r="D263" i="2"/>
  <c r="B134" i="1"/>
  <c r="D271" i="2"/>
  <c r="F218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C214" i="2"/>
  <c r="L214" i="2" s="1"/>
  <c r="C209" i="2"/>
  <c r="L209" i="2" s="1"/>
  <c r="C213" i="2"/>
  <c r="L213" i="2" s="1"/>
  <c r="C212" i="2"/>
  <c r="L212" i="2" s="1"/>
  <c r="C208" i="2"/>
  <c r="L208" i="2" s="1"/>
  <c r="C211" i="2"/>
  <c r="L211" i="2" s="1"/>
  <c r="C210" i="2"/>
  <c r="L210" i="2" s="1"/>
  <c r="C215" i="2"/>
  <c r="L215" i="2" s="1"/>
  <c r="C216" i="2"/>
  <c r="L216" i="2" s="1"/>
  <c r="F267" i="2"/>
  <c r="F268" i="2"/>
  <c r="F265" i="2"/>
  <c r="F271" i="2"/>
  <c r="F266" i="2"/>
  <c r="F270" i="2"/>
  <c r="F263" i="2"/>
  <c r="F264" i="2"/>
  <c r="F269" i="2"/>
  <c r="L217" i="2" l="1"/>
  <c r="J206" i="2"/>
  <c r="K206" i="2"/>
  <c r="J215" i="2"/>
  <c r="K215" i="2"/>
  <c r="J212" i="2"/>
  <c r="K212" i="2"/>
  <c r="J210" i="2"/>
  <c r="K210" i="2"/>
  <c r="J213" i="2"/>
  <c r="K213" i="2"/>
  <c r="J216" i="2"/>
  <c r="K216" i="2"/>
  <c r="J208" i="2"/>
  <c r="K208" i="2"/>
  <c r="J214" i="2"/>
  <c r="K214" i="2"/>
  <c r="J211" i="2"/>
  <c r="K211" i="2"/>
  <c r="J209" i="2"/>
  <c r="K209" i="2"/>
  <c r="H206" i="2"/>
  <c r="I206" i="2"/>
  <c r="H215" i="2"/>
  <c r="I215" i="2"/>
  <c r="H212" i="2"/>
  <c r="I212" i="2"/>
  <c r="H210" i="2"/>
  <c r="I210" i="2"/>
  <c r="H213" i="2"/>
  <c r="I213" i="2"/>
  <c r="H211" i="2"/>
  <c r="I211" i="2"/>
  <c r="H209" i="2"/>
  <c r="I209" i="2"/>
  <c r="H216" i="2"/>
  <c r="I216" i="2"/>
  <c r="H208" i="2"/>
  <c r="I208" i="2"/>
  <c r="H214" i="2"/>
  <c r="I214" i="2"/>
  <c r="D276" i="2"/>
  <c r="D278" i="2"/>
  <c r="D275" i="2"/>
  <c r="D279" i="2"/>
  <c r="D277" i="2"/>
  <c r="D281" i="2"/>
  <c r="D280" i="2"/>
  <c r="D274" i="2"/>
  <c r="B135" i="1"/>
  <c r="D282" i="2"/>
  <c r="F229" i="2"/>
  <c r="A230" i="2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C223" i="2"/>
  <c r="L223" i="2" s="1"/>
  <c r="C227" i="2"/>
  <c r="L227" i="2" s="1"/>
  <c r="C222" i="2"/>
  <c r="L222" i="2" s="1"/>
  <c r="C226" i="2"/>
  <c r="L226" i="2" s="1"/>
  <c r="C221" i="2"/>
  <c r="L221" i="2" s="1"/>
  <c r="C225" i="2"/>
  <c r="L225" i="2" s="1"/>
  <c r="C224" i="2"/>
  <c r="L224" i="2" s="1"/>
  <c r="C220" i="2"/>
  <c r="L220" i="2" s="1"/>
  <c r="C219" i="2"/>
  <c r="L219" i="2" s="1"/>
  <c r="F277" i="2"/>
  <c r="F282" i="2"/>
  <c r="F274" i="2"/>
  <c r="F281" i="2"/>
  <c r="F280" i="2"/>
  <c r="F275" i="2"/>
  <c r="F279" i="2"/>
  <c r="F276" i="2"/>
  <c r="F278" i="2"/>
  <c r="L228" i="2" l="1"/>
  <c r="J217" i="2"/>
  <c r="J220" i="2"/>
  <c r="K220" i="2"/>
  <c r="J226" i="2"/>
  <c r="K226" i="2"/>
  <c r="J219" i="2"/>
  <c r="K219" i="2"/>
  <c r="J221" i="2"/>
  <c r="K221" i="2"/>
  <c r="J223" i="2"/>
  <c r="K223" i="2"/>
  <c r="J224" i="2"/>
  <c r="K224" i="2"/>
  <c r="J222" i="2"/>
  <c r="K222" i="2"/>
  <c r="K217" i="2"/>
  <c r="J225" i="2"/>
  <c r="K225" i="2"/>
  <c r="J227" i="2"/>
  <c r="K227" i="2"/>
  <c r="H217" i="2"/>
  <c r="H219" i="2"/>
  <c r="I219" i="2"/>
  <c r="H221" i="2"/>
  <c r="I221" i="2"/>
  <c r="H223" i="2"/>
  <c r="I223" i="2"/>
  <c r="H225" i="2"/>
  <c r="I225" i="2"/>
  <c r="H227" i="2"/>
  <c r="I227" i="2"/>
  <c r="H220" i="2"/>
  <c r="I220" i="2"/>
  <c r="H226" i="2"/>
  <c r="I226" i="2"/>
  <c r="H224" i="2"/>
  <c r="I224" i="2"/>
  <c r="H222" i="2"/>
  <c r="I222" i="2"/>
  <c r="I217" i="2"/>
  <c r="D292" i="2"/>
  <c r="D291" i="2"/>
  <c r="D290" i="2"/>
  <c r="D286" i="2"/>
  <c r="D288" i="2"/>
  <c r="D289" i="2"/>
  <c r="D287" i="2"/>
  <c r="D285" i="2"/>
  <c r="B136" i="1"/>
  <c r="D293" i="2"/>
  <c r="F240" i="2"/>
  <c r="A241" i="2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C234" i="2"/>
  <c r="L234" i="2" s="1"/>
  <c r="C233" i="2"/>
  <c r="L233" i="2" s="1"/>
  <c r="C230" i="2"/>
  <c r="L230" i="2" s="1"/>
  <c r="C232" i="2"/>
  <c r="L232" i="2" s="1"/>
  <c r="C235" i="2"/>
  <c r="L235" i="2" s="1"/>
  <c r="C231" i="2"/>
  <c r="L231" i="2" s="1"/>
  <c r="C238" i="2"/>
  <c r="L238" i="2" s="1"/>
  <c r="C237" i="2"/>
  <c r="L237" i="2" s="1"/>
  <c r="C236" i="2"/>
  <c r="L236" i="2" s="1"/>
  <c r="F289" i="2"/>
  <c r="F291" i="2"/>
  <c r="F286" i="2"/>
  <c r="F287" i="2"/>
  <c r="F293" i="2"/>
  <c r="F285" i="2"/>
  <c r="F290" i="2"/>
  <c r="F292" i="2"/>
  <c r="F288" i="2"/>
  <c r="I228" i="2" l="1"/>
  <c r="L239" i="2"/>
  <c r="J228" i="2"/>
  <c r="J238" i="2"/>
  <c r="K238" i="2"/>
  <c r="J230" i="2"/>
  <c r="K230" i="2"/>
  <c r="J236" i="2"/>
  <c r="K236" i="2"/>
  <c r="J235" i="2"/>
  <c r="K235" i="2"/>
  <c r="J234" i="2"/>
  <c r="K234" i="2"/>
  <c r="J237" i="2"/>
  <c r="K237" i="2"/>
  <c r="J232" i="2"/>
  <c r="K232" i="2"/>
  <c r="K228" i="2"/>
  <c r="J231" i="2"/>
  <c r="K231" i="2"/>
  <c r="J233" i="2"/>
  <c r="K233" i="2"/>
  <c r="H228" i="2"/>
  <c r="H237" i="2"/>
  <c r="I237" i="2"/>
  <c r="H232" i="2"/>
  <c r="I232" i="2"/>
  <c r="H236" i="2"/>
  <c r="I236" i="2"/>
  <c r="H235" i="2"/>
  <c r="I235" i="2"/>
  <c r="H234" i="2"/>
  <c r="I234" i="2"/>
  <c r="H238" i="2"/>
  <c r="I238" i="2"/>
  <c r="H230" i="2"/>
  <c r="I230" i="2"/>
  <c r="H231" i="2"/>
  <c r="I231" i="2"/>
  <c r="H233" i="2"/>
  <c r="I233" i="2"/>
  <c r="D300" i="2"/>
  <c r="D301" i="2"/>
  <c r="D302" i="2"/>
  <c r="D299" i="2"/>
  <c r="D297" i="2"/>
  <c r="D303" i="2"/>
  <c r="D298" i="2"/>
  <c r="D296" i="2"/>
  <c r="B137" i="1"/>
  <c r="D304" i="2"/>
  <c r="F251" i="2"/>
  <c r="A252" i="2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C246" i="2"/>
  <c r="L246" i="2" s="1"/>
  <c r="C243" i="2"/>
  <c r="L243" i="2" s="1"/>
  <c r="C247" i="2"/>
  <c r="L247" i="2" s="1"/>
  <c r="C242" i="2"/>
  <c r="L242" i="2" s="1"/>
  <c r="C241" i="2"/>
  <c r="L241" i="2" s="1"/>
  <c r="C249" i="2"/>
  <c r="L249" i="2" s="1"/>
  <c r="C248" i="2"/>
  <c r="L248" i="2" s="1"/>
  <c r="C245" i="2"/>
  <c r="L245" i="2" s="1"/>
  <c r="C244" i="2"/>
  <c r="L244" i="2" s="1"/>
  <c r="F297" i="2"/>
  <c r="F302" i="2"/>
  <c r="F299" i="2"/>
  <c r="F304" i="2"/>
  <c r="F298" i="2"/>
  <c r="F301" i="2"/>
  <c r="F303" i="2"/>
  <c r="F296" i="2"/>
  <c r="F300" i="2"/>
  <c r="L250" i="2" l="1"/>
  <c r="K239" i="2"/>
  <c r="J239" i="2"/>
  <c r="J245" i="2"/>
  <c r="K245" i="2"/>
  <c r="J242" i="2"/>
  <c r="K242" i="2"/>
  <c r="J248" i="2"/>
  <c r="K248" i="2"/>
  <c r="J247" i="2"/>
  <c r="K247" i="2"/>
  <c r="J244" i="2"/>
  <c r="K244" i="2"/>
  <c r="J241" i="2"/>
  <c r="K241" i="2"/>
  <c r="J246" i="2"/>
  <c r="K246" i="2"/>
  <c r="J249" i="2"/>
  <c r="K249" i="2"/>
  <c r="J243" i="2"/>
  <c r="K243" i="2"/>
  <c r="H239" i="2"/>
  <c r="H244" i="2"/>
  <c r="I244" i="2"/>
  <c r="H241" i="2"/>
  <c r="I241" i="2"/>
  <c r="H246" i="2"/>
  <c r="I246" i="2"/>
  <c r="H249" i="2"/>
  <c r="I249" i="2"/>
  <c r="H243" i="2"/>
  <c r="I243" i="2"/>
  <c r="H245" i="2"/>
  <c r="I245" i="2"/>
  <c r="H242" i="2"/>
  <c r="I242" i="2"/>
  <c r="H248" i="2"/>
  <c r="I248" i="2"/>
  <c r="H247" i="2"/>
  <c r="I247" i="2"/>
  <c r="I239" i="2"/>
  <c r="D314" i="2"/>
  <c r="D308" i="2"/>
  <c r="D310" i="2"/>
  <c r="D312" i="2"/>
  <c r="D309" i="2"/>
  <c r="D313" i="2"/>
  <c r="D311" i="2"/>
  <c r="D307" i="2"/>
  <c r="B138" i="1"/>
  <c r="D315" i="2"/>
  <c r="F262" i="2"/>
  <c r="A263" i="2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C254" i="2"/>
  <c r="L254" i="2" s="1"/>
  <c r="C260" i="2"/>
  <c r="L260" i="2" s="1"/>
  <c r="C253" i="2"/>
  <c r="L253" i="2" s="1"/>
  <c r="C252" i="2"/>
  <c r="L252" i="2" s="1"/>
  <c r="C259" i="2"/>
  <c r="L259" i="2" s="1"/>
  <c r="C255" i="2"/>
  <c r="L255" i="2" s="1"/>
  <c r="C258" i="2"/>
  <c r="L258" i="2" s="1"/>
  <c r="C256" i="2"/>
  <c r="L256" i="2" s="1"/>
  <c r="C257" i="2"/>
  <c r="L257" i="2" s="1"/>
  <c r="F313" i="2"/>
  <c r="F315" i="2"/>
  <c r="F307" i="2"/>
  <c r="F310" i="2"/>
  <c r="F309" i="2"/>
  <c r="F308" i="2"/>
  <c r="F312" i="2"/>
  <c r="F314" i="2"/>
  <c r="F311" i="2"/>
  <c r="I250" i="2" l="1"/>
  <c r="L261" i="2"/>
  <c r="J250" i="2"/>
  <c r="J257" i="2"/>
  <c r="K257" i="2"/>
  <c r="J259" i="2"/>
  <c r="K259" i="2"/>
  <c r="J254" i="2"/>
  <c r="K254" i="2"/>
  <c r="J255" i="2"/>
  <c r="K255" i="2"/>
  <c r="J256" i="2"/>
  <c r="K256" i="2"/>
  <c r="J252" i="2"/>
  <c r="K252" i="2"/>
  <c r="J258" i="2"/>
  <c r="K258" i="2"/>
  <c r="J253" i="2"/>
  <c r="K253" i="2"/>
  <c r="K250" i="2"/>
  <c r="J260" i="2"/>
  <c r="K260" i="2"/>
  <c r="H250" i="2"/>
  <c r="H256" i="2"/>
  <c r="I256" i="2"/>
  <c r="H252" i="2"/>
  <c r="I252" i="2"/>
  <c r="H257" i="2"/>
  <c r="I257" i="2"/>
  <c r="H259" i="2"/>
  <c r="I259" i="2"/>
  <c r="H254" i="2"/>
  <c r="I254" i="2"/>
  <c r="H258" i="2"/>
  <c r="I258" i="2"/>
  <c r="H253" i="2"/>
  <c r="I253" i="2"/>
  <c r="H255" i="2"/>
  <c r="I255" i="2"/>
  <c r="H260" i="2"/>
  <c r="I260" i="2"/>
  <c r="D324" i="2"/>
  <c r="D320" i="2"/>
  <c r="D323" i="2"/>
  <c r="D319" i="2"/>
  <c r="D322" i="2"/>
  <c r="D321" i="2"/>
  <c r="D325" i="2"/>
  <c r="D318" i="2"/>
  <c r="B139" i="1"/>
  <c r="D326" i="2"/>
  <c r="F273" i="2"/>
  <c r="A274" i="2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C271" i="2"/>
  <c r="L271" i="2" s="1"/>
  <c r="C268" i="2"/>
  <c r="L268" i="2" s="1"/>
  <c r="C270" i="2"/>
  <c r="L270" i="2" s="1"/>
  <c r="C269" i="2"/>
  <c r="L269" i="2" s="1"/>
  <c r="C267" i="2"/>
  <c r="L267" i="2" s="1"/>
  <c r="C266" i="2"/>
  <c r="L266" i="2" s="1"/>
  <c r="C263" i="2"/>
  <c r="L263" i="2" s="1"/>
  <c r="C265" i="2"/>
  <c r="L265" i="2" s="1"/>
  <c r="C264" i="2"/>
  <c r="L264" i="2" s="1"/>
  <c r="F318" i="2"/>
  <c r="F325" i="2"/>
  <c r="F323" i="2"/>
  <c r="F324" i="2"/>
  <c r="F320" i="2"/>
  <c r="F321" i="2"/>
  <c r="F322" i="2"/>
  <c r="F319" i="2"/>
  <c r="F326" i="2"/>
  <c r="L272" i="2" l="1"/>
  <c r="J261" i="2"/>
  <c r="J264" i="2"/>
  <c r="K264" i="2"/>
  <c r="J267" i="2"/>
  <c r="K267" i="2"/>
  <c r="J271" i="2"/>
  <c r="K271" i="2"/>
  <c r="K261" i="2"/>
  <c r="J266" i="2"/>
  <c r="K266" i="2"/>
  <c r="J268" i="2"/>
  <c r="K268" i="2"/>
  <c r="J265" i="2"/>
  <c r="K265" i="2"/>
  <c r="J269" i="2"/>
  <c r="K269" i="2"/>
  <c r="J263" i="2"/>
  <c r="K263" i="2"/>
  <c r="J270" i="2"/>
  <c r="K270" i="2"/>
  <c r="H261" i="2"/>
  <c r="H264" i="2"/>
  <c r="I264" i="2"/>
  <c r="H267" i="2"/>
  <c r="I267" i="2"/>
  <c r="H271" i="2"/>
  <c r="I271" i="2"/>
  <c r="I261" i="2"/>
  <c r="H266" i="2"/>
  <c r="I266" i="2"/>
  <c r="H268" i="2"/>
  <c r="I268" i="2"/>
  <c r="H265" i="2"/>
  <c r="I265" i="2"/>
  <c r="H269" i="2"/>
  <c r="I269" i="2"/>
  <c r="H263" i="2"/>
  <c r="I263" i="2"/>
  <c r="H270" i="2"/>
  <c r="I270" i="2"/>
  <c r="D332" i="2"/>
  <c r="D336" i="2"/>
  <c r="D334" i="2"/>
  <c r="D331" i="2"/>
  <c r="D333" i="2"/>
  <c r="D330" i="2"/>
  <c r="D335" i="2"/>
  <c r="D329" i="2"/>
  <c r="B140" i="1"/>
  <c r="D337" i="2"/>
  <c r="F284" i="2"/>
  <c r="A285" i="2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C274" i="2"/>
  <c r="L274" i="2" s="1"/>
  <c r="C279" i="2"/>
  <c r="L279" i="2" s="1"/>
  <c r="C281" i="2"/>
  <c r="L281" i="2" s="1"/>
  <c r="C275" i="2"/>
  <c r="L275" i="2" s="1"/>
  <c r="C280" i="2"/>
  <c r="L280" i="2" s="1"/>
  <c r="C282" i="2"/>
  <c r="L282" i="2" s="1"/>
  <c r="C278" i="2"/>
  <c r="L278" i="2" s="1"/>
  <c r="C277" i="2"/>
  <c r="L277" i="2" s="1"/>
  <c r="C276" i="2"/>
  <c r="L276" i="2" s="1"/>
  <c r="F332" i="2"/>
  <c r="F336" i="2"/>
  <c r="F335" i="2"/>
  <c r="F331" i="2"/>
  <c r="F334" i="2"/>
  <c r="F329" i="2"/>
  <c r="F330" i="2"/>
  <c r="F333" i="2"/>
  <c r="F337" i="2"/>
  <c r="J272" i="2" l="1"/>
  <c r="L283" i="2"/>
  <c r="K272" i="2"/>
  <c r="J277" i="2"/>
  <c r="K277" i="2"/>
  <c r="J275" i="2"/>
  <c r="K275" i="2"/>
  <c r="J278" i="2"/>
  <c r="K278" i="2"/>
  <c r="J281" i="2"/>
  <c r="K281" i="2"/>
  <c r="J282" i="2"/>
  <c r="K282" i="2"/>
  <c r="J279" i="2"/>
  <c r="K279" i="2"/>
  <c r="J276" i="2"/>
  <c r="K276" i="2"/>
  <c r="J280" i="2"/>
  <c r="K280" i="2"/>
  <c r="J274" i="2"/>
  <c r="K274" i="2"/>
  <c r="I272" i="2"/>
  <c r="H272" i="2"/>
  <c r="H282" i="2"/>
  <c r="I282" i="2"/>
  <c r="H279" i="2"/>
  <c r="I279" i="2"/>
  <c r="H277" i="2"/>
  <c r="I277" i="2"/>
  <c r="H275" i="2"/>
  <c r="I275" i="2"/>
  <c r="H278" i="2"/>
  <c r="I278" i="2"/>
  <c r="H281" i="2"/>
  <c r="I281" i="2"/>
  <c r="H276" i="2"/>
  <c r="I276" i="2"/>
  <c r="H280" i="2"/>
  <c r="I280" i="2"/>
  <c r="H274" i="2"/>
  <c r="I274" i="2"/>
  <c r="D341" i="2"/>
  <c r="D345" i="2"/>
  <c r="D347" i="2"/>
  <c r="D342" i="2"/>
  <c r="D346" i="2"/>
  <c r="D344" i="2"/>
  <c r="D343" i="2"/>
  <c r="D340" i="2"/>
  <c r="B141" i="1"/>
  <c r="D348" i="2"/>
  <c r="F295" i="2"/>
  <c r="A296" i="2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C292" i="2"/>
  <c r="L292" i="2" s="1"/>
  <c r="C287" i="2"/>
  <c r="L287" i="2" s="1"/>
  <c r="C293" i="2"/>
  <c r="L293" i="2" s="1"/>
  <c r="C291" i="2"/>
  <c r="L291" i="2" s="1"/>
  <c r="C288" i="2"/>
  <c r="L288" i="2" s="1"/>
  <c r="C286" i="2"/>
  <c r="L286" i="2" s="1"/>
  <c r="C290" i="2"/>
  <c r="L290" i="2" s="1"/>
  <c r="C289" i="2"/>
  <c r="L289" i="2" s="1"/>
  <c r="C285" i="2"/>
  <c r="L285" i="2" s="1"/>
  <c r="F346" i="2"/>
  <c r="F343" i="2"/>
  <c r="F347" i="2"/>
  <c r="F342" i="2"/>
  <c r="F345" i="2"/>
  <c r="F344" i="2"/>
  <c r="F341" i="2"/>
  <c r="F348" i="2"/>
  <c r="F340" i="2"/>
  <c r="L294" i="2" l="1"/>
  <c r="J283" i="2"/>
  <c r="K283" i="2"/>
  <c r="J285" i="2"/>
  <c r="K285" i="2"/>
  <c r="J288" i="2"/>
  <c r="K288" i="2"/>
  <c r="J292" i="2"/>
  <c r="K292" i="2"/>
  <c r="J289" i="2"/>
  <c r="K289" i="2"/>
  <c r="J291" i="2"/>
  <c r="K291" i="2"/>
  <c r="J287" i="2"/>
  <c r="K287" i="2"/>
  <c r="J290" i="2"/>
  <c r="K290" i="2"/>
  <c r="J293" i="2"/>
  <c r="K293" i="2"/>
  <c r="J286" i="2"/>
  <c r="K286" i="2"/>
  <c r="I283" i="2"/>
  <c r="H283" i="2"/>
  <c r="H285" i="2"/>
  <c r="I285" i="2"/>
  <c r="H288" i="2"/>
  <c r="I288" i="2"/>
  <c r="H292" i="2"/>
  <c r="I292" i="2"/>
  <c r="H286" i="2"/>
  <c r="I286" i="2"/>
  <c r="H287" i="2"/>
  <c r="I287" i="2"/>
  <c r="H289" i="2"/>
  <c r="I289" i="2"/>
  <c r="H291" i="2"/>
  <c r="I291" i="2"/>
  <c r="H290" i="2"/>
  <c r="I290" i="2"/>
  <c r="H293" i="2"/>
  <c r="I293" i="2"/>
  <c r="D355" i="2"/>
  <c r="D353" i="2"/>
  <c r="D358" i="2"/>
  <c r="D356" i="2"/>
  <c r="D354" i="2"/>
  <c r="D357" i="2"/>
  <c r="D351" i="2"/>
  <c r="D352" i="2"/>
  <c r="B142" i="1"/>
  <c r="D359" i="2"/>
  <c r="F306" i="2"/>
  <c r="A307" i="2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C304" i="2"/>
  <c r="L304" i="2" s="1"/>
  <c r="C301" i="2"/>
  <c r="L301" i="2" s="1"/>
  <c r="C300" i="2"/>
  <c r="L300" i="2" s="1"/>
  <c r="C299" i="2"/>
  <c r="L299" i="2" s="1"/>
  <c r="C303" i="2"/>
  <c r="L303" i="2" s="1"/>
  <c r="C302" i="2"/>
  <c r="L302" i="2" s="1"/>
  <c r="C298" i="2"/>
  <c r="L298" i="2" s="1"/>
  <c r="C297" i="2"/>
  <c r="L297" i="2" s="1"/>
  <c r="C296" i="2"/>
  <c r="L296" i="2" s="1"/>
  <c r="F355" i="2"/>
  <c r="F354" i="2"/>
  <c r="F358" i="2"/>
  <c r="F356" i="2"/>
  <c r="F352" i="2"/>
  <c r="F359" i="2"/>
  <c r="F353" i="2"/>
  <c r="F357" i="2"/>
  <c r="F351" i="2"/>
  <c r="L305" i="2" l="1"/>
  <c r="J294" i="2"/>
  <c r="J296" i="2"/>
  <c r="K296" i="2"/>
  <c r="J303" i="2"/>
  <c r="K303" i="2"/>
  <c r="J304" i="2"/>
  <c r="K304" i="2"/>
  <c r="J302" i="2"/>
  <c r="K302" i="2"/>
  <c r="J301" i="2"/>
  <c r="K301" i="2"/>
  <c r="J297" i="2"/>
  <c r="K297" i="2"/>
  <c r="J299" i="2"/>
  <c r="K299" i="2"/>
  <c r="J298" i="2"/>
  <c r="K298" i="2"/>
  <c r="J300" i="2"/>
  <c r="K300" i="2"/>
  <c r="K294" i="2"/>
  <c r="H294" i="2"/>
  <c r="H296" i="2"/>
  <c r="I296" i="2"/>
  <c r="H303" i="2"/>
  <c r="I303" i="2"/>
  <c r="H304" i="2"/>
  <c r="I304" i="2"/>
  <c r="H302" i="2"/>
  <c r="I302" i="2"/>
  <c r="H301" i="2"/>
  <c r="I301" i="2"/>
  <c r="H297" i="2"/>
  <c r="I297" i="2"/>
  <c r="H299" i="2"/>
  <c r="I299" i="2"/>
  <c r="H298" i="2"/>
  <c r="I298" i="2"/>
  <c r="H300" i="2"/>
  <c r="I300" i="2"/>
  <c r="I294" i="2"/>
  <c r="D368" i="2"/>
  <c r="D362" i="2"/>
  <c r="D367" i="2"/>
  <c r="D364" i="2"/>
  <c r="D369" i="2"/>
  <c r="D366" i="2"/>
  <c r="D365" i="2"/>
  <c r="D363" i="2"/>
  <c r="B143" i="1"/>
  <c r="D370" i="2"/>
  <c r="F317" i="2"/>
  <c r="A318" i="2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C312" i="2"/>
  <c r="L312" i="2" s="1"/>
  <c r="C311" i="2"/>
  <c r="L311" i="2" s="1"/>
  <c r="C308" i="2"/>
  <c r="L308" i="2" s="1"/>
  <c r="C310" i="2"/>
  <c r="L310" i="2" s="1"/>
  <c r="C309" i="2"/>
  <c r="L309" i="2" s="1"/>
  <c r="C307" i="2"/>
  <c r="L307" i="2" s="1"/>
  <c r="C313" i="2"/>
  <c r="L313" i="2" s="1"/>
  <c r="C315" i="2"/>
  <c r="L315" i="2" s="1"/>
  <c r="C314" i="2"/>
  <c r="L314" i="2" s="1"/>
  <c r="F369" i="2"/>
  <c r="F362" i="2"/>
  <c r="F365" i="2"/>
  <c r="F364" i="2"/>
  <c r="F363" i="2"/>
  <c r="F366" i="2"/>
  <c r="F367" i="2"/>
  <c r="F368" i="2"/>
  <c r="F370" i="2"/>
  <c r="L316" i="2" l="1"/>
  <c r="K305" i="2"/>
  <c r="J307" i="2"/>
  <c r="K307" i="2"/>
  <c r="J311" i="2"/>
  <c r="K311" i="2"/>
  <c r="J305" i="2"/>
  <c r="J314" i="2"/>
  <c r="K314" i="2"/>
  <c r="J309" i="2"/>
  <c r="K309" i="2"/>
  <c r="J312" i="2"/>
  <c r="K312" i="2"/>
  <c r="J315" i="2"/>
  <c r="K315" i="2"/>
  <c r="J310" i="2"/>
  <c r="K310" i="2"/>
  <c r="J313" i="2"/>
  <c r="K313" i="2"/>
  <c r="J308" i="2"/>
  <c r="K308" i="2"/>
  <c r="H314" i="2"/>
  <c r="I314" i="2"/>
  <c r="H309" i="2"/>
  <c r="I309" i="2"/>
  <c r="H312" i="2"/>
  <c r="I312" i="2"/>
  <c r="I305" i="2"/>
  <c r="H305" i="2"/>
  <c r="H307" i="2"/>
  <c r="I307" i="2"/>
  <c r="H311" i="2"/>
  <c r="I311" i="2"/>
  <c r="H315" i="2"/>
  <c r="I315" i="2"/>
  <c r="H310" i="2"/>
  <c r="I310" i="2"/>
  <c r="H313" i="2"/>
  <c r="I313" i="2"/>
  <c r="H308" i="2"/>
  <c r="I308" i="2"/>
  <c r="D377" i="2"/>
  <c r="D376" i="2"/>
  <c r="D378" i="2"/>
  <c r="D373" i="2"/>
  <c r="D380" i="2"/>
  <c r="D375" i="2"/>
  <c r="D379" i="2"/>
  <c r="D374" i="2"/>
  <c r="B144" i="1"/>
  <c r="D381" i="2"/>
  <c r="F328" i="2"/>
  <c r="A329" i="2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C320" i="2"/>
  <c r="L320" i="2" s="1"/>
  <c r="C319" i="2"/>
  <c r="L319" i="2" s="1"/>
  <c r="C321" i="2"/>
  <c r="L321" i="2" s="1"/>
  <c r="C326" i="2"/>
  <c r="L326" i="2" s="1"/>
  <c r="C325" i="2"/>
  <c r="L325" i="2" s="1"/>
  <c r="C324" i="2"/>
  <c r="L324" i="2" s="1"/>
  <c r="C323" i="2"/>
  <c r="L323" i="2" s="1"/>
  <c r="C322" i="2"/>
  <c r="L322" i="2" s="1"/>
  <c r="C318" i="2"/>
  <c r="L318" i="2" s="1"/>
  <c r="F379" i="2"/>
  <c r="F376" i="2"/>
  <c r="F375" i="2"/>
  <c r="F380" i="2"/>
  <c r="F378" i="2"/>
  <c r="F373" i="2"/>
  <c r="F374" i="2"/>
  <c r="F377" i="2"/>
  <c r="F381" i="2"/>
  <c r="L327" i="2" l="1"/>
  <c r="J316" i="2"/>
  <c r="K316" i="2"/>
  <c r="J324" i="2"/>
  <c r="K324" i="2"/>
  <c r="J319" i="2"/>
  <c r="K319" i="2"/>
  <c r="J322" i="2"/>
  <c r="K322" i="2"/>
  <c r="J326" i="2"/>
  <c r="K326" i="2"/>
  <c r="J323" i="2"/>
  <c r="K323" i="2"/>
  <c r="J321" i="2"/>
  <c r="K321" i="2"/>
  <c r="J318" i="2"/>
  <c r="K318" i="2"/>
  <c r="J325" i="2"/>
  <c r="K325" i="2"/>
  <c r="J320" i="2"/>
  <c r="K320" i="2"/>
  <c r="H316" i="2"/>
  <c r="H323" i="2"/>
  <c r="I323" i="2"/>
  <c r="H321" i="2"/>
  <c r="I321" i="2"/>
  <c r="H322" i="2"/>
  <c r="I322" i="2"/>
  <c r="H326" i="2"/>
  <c r="I326" i="2"/>
  <c r="H324" i="2"/>
  <c r="I324" i="2"/>
  <c r="H319" i="2"/>
  <c r="I319" i="2"/>
  <c r="H318" i="2"/>
  <c r="I318" i="2"/>
  <c r="H325" i="2"/>
  <c r="I325" i="2"/>
  <c r="H320" i="2"/>
  <c r="I320" i="2"/>
  <c r="I316" i="2"/>
  <c r="D386" i="2"/>
  <c r="D384" i="2"/>
  <c r="D389" i="2"/>
  <c r="D387" i="2"/>
  <c r="D390" i="2"/>
  <c r="D391" i="2"/>
  <c r="D388" i="2"/>
  <c r="D385" i="2"/>
  <c r="B145" i="1"/>
  <c r="D392" i="2"/>
  <c r="F339" i="2"/>
  <c r="A340" i="2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C332" i="2"/>
  <c r="L332" i="2" s="1"/>
  <c r="C331" i="2"/>
  <c r="L331" i="2" s="1"/>
  <c r="C337" i="2"/>
  <c r="L337" i="2" s="1"/>
  <c r="C330" i="2"/>
  <c r="L330" i="2" s="1"/>
  <c r="C329" i="2"/>
  <c r="L329" i="2" s="1"/>
  <c r="C333" i="2"/>
  <c r="L333" i="2" s="1"/>
  <c r="C336" i="2"/>
  <c r="L336" i="2" s="1"/>
  <c r="C334" i="2"/>
  <c r="L334" i="2" s="1"/>
  <c r="C335" i="2"/>
  <c r="L335" i="2" s="1"/>
  <c r="F392" i="2"/>
  <c r="F387" i="2"/>
  <c r="F388" i="2"/>
  <c r="F391" i="2"/>
  <c r="F385" i="2"/>
  <c r="F384" i="2"/>
  <c r="F390" i="2"/>
  <c r="F389" i="2"/>
  <c r="F386" i="2"/>
  <c r="K327" i="2" l="1"/>
  <c r="L338" i="2"/>
  <c r="J327" i="2"/>
  <c r="I327" i="2"/>
  <c r="J333" i="2"/>
  <c r="K333" i="2"/>
  <c r="J331" i="2"/>
  <c r="K331" i="2"/>
  <c r="J335" i="2"/>
  <c r="K335" i="2"/>
  <c r="J329" i="2"/>
  <c r="K329" i="2"/>
  <c r="J332" i="2"/>
  <c r="K332" i="2"/>
  <c r="J334" i="2"/>
  <c r="K334" i="2"/>
  <c r="J330" i="2"/>
  <c r="K330" i="2"/>
  <c r="J336" i="2"/>
  <c r="K336" i="2"/>
  <c r="J337" i="2"/>
  <c r="K337" i="2"/>
  <c r="H327" i="2"/>
  <c r="H334" i="2"/>
  <c r="I334" i="2"/>
  <c r="H330" i="2"/>
  <c r="I330" i="2"/>
  <c r="H335" i="2"/>
  <c r="I335" i="2"/>
  <c r="H329" i="2"/>
  <c r="I329" i="2"/>
  <c r="H332" i="2"/>
  <c r="I332" i="2"/>
  <c r="H336" i="2"/>
  <c r="I336" i="2"/>
  <c r="H337" i="2"/>
  <c r="I337" i="2"/>
  <c r="H333" i="2"/>
  <c r="I333" i="2"/>
  <c r="H331" i="2"/>
  <c r="I331" i="2"/>
  <c r="D399" i="2"/>
  <c r="D400" i="2"/>
  <c r="D402" i="2"/>
  <c r="D401" i="2"/>
  <c r="D395" i="2"/>
  <c r="D398" i="2"/>
  <c r="D397" i="2"/>
  <c r="D396" i="2"/>
  <c r="B146" i="1"/>
  <c r="D403" i="2"/>
  <c r="F350" i="2"/>
  <c r="A351" i="2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C344" i="2"/>
  <c r="L344" i="2" s="1"/>
  <c r="C341" i="2"/>
  <c r="L341" i="2" s="1"/>
  <c r="C346" i="2"/>
  <c r="L346" i="2" s="1"/>
  <c r="C348" i="2"/>
  <c r="L348" i="2" s="1"/>
  <c r="C347" i="2"/>
  <c r="L347" i="2" s="1"/>
  <c r="C340" i="2"/>
  <c r="L340" i="2" s="1"/>
  <c r="C345" i="2"/>
  <c r="L345" i="2" s="1"/>
  <c r="C343" i="2"/>
  <c r="L343" i="2" s="1"/>
  <c r="C342" i="2"/>
  <c r="L342" i="2" s="1"/>
  <c r="F401" i="2"/>
  <c r="F403" i="2"/>
  <c r="F395" i="2"/>
  <c r="F399" i="2"/>
  <c r="F396" i="2"/>
  <c r="F402" i="2"/>
  <c r="F397" i="2"/>
  <c r="F400" i="2"/>
  <c r="F398" i="2"/>
  <c r="L349" i="2" l="1"/>
  <c r="K338" i="2"/>
  <c r="J340" i="2"/>
  <c r="K340" i="2"/>
  <c r="J341" i="2"/>
  <c r="K341" i="2"/>
  <c r="J338" i="2"/>
  <c r="J343" i="2"/>
  <c r="K343" i="2"/>
  <c r="J348" i="2"/>
  <c r="K348" i="2"/>
  <c r="J345" i="2"/>
  <c r="K345" i="2"/>
  <c r="J346" i="2"/>
  <c r="K346" i="2"/>
  <c r="J342" i="2"/>
  <c r="K342" i="2"/>
  <c r="J347" i="2"/>
  <c r="K347" i="2"/>
  <c r="J344" i="2"/>
  <c r="K344" i="2"/>
  <c r="H338" i="2"/>
  <c r="H342" i="2"/>
  <c r="I342" i="2"/>
  <c r="H347" i="2"/>
  <c r="I347" i="2"/>
  <c r="H344" i="2"/>
  <c r="I344" i="2"/>
  <c r="I338" i="2"/>
  <c r="H340" i="2"/>
  <c r="I340" i="2"/>
  <c r="H341" i="2"/>
  <c r="I341" i="2"/>
  <c r="H343" i="2"/>
  <c r="I343" i="2"/>
  <c r="H348" i="2"/>
  <c r="I348" i="2"/>
  <c r="H345" i="2"/>
  <c r="I345" i="2"/>
  <c r="H346" i="2"/>
  <c r="I346" i="2"/>
  <c r="D408" i="2"/>
  <c r="D412" i="2"/>
  <c r="D413" i="2"/>
  <c r="D406" i="2"/>
  <c r="D411" i="2"/>
  <c r="D409" i="2"/>
  <c r="D410" i="2"/>
  <c r="D407" i="2"/>
  <c r="B147" i="1"/>
  <c r="D414" i="2"/>
  <c r="F361" i="2"/>
  <c r="A362" i="2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C352" i="2"/>
  <c r="L352" i="2" s="1"/>
  <c r="C351" i="2"/>
  <c r="L351" i="2" s="1"/>
  <c r="C359" i="2"/>
  <c r="L359" i="2" s="1"/>
  <c r="C358" i="2"/>
  <c r="L358" i="2" s="1"/>
  <c r="C353" i="2"/>
  <c r="L353" i="2" s="1"/>
  <c r="C357" i="2"/>
  <c r="L357" i="2" s="1"/>
  <c r="C356" i="2"/>
  <c r="L356" i="2" s="1"/>
  <c r="C355" i="2"/>
  <c r="L355" i="2" s="1"/>
  <c r="C354" i="2"/>
  <c r="L354" i="2" s="1"/>
  <c r="F409" i="2"/>
  <c r="F412" i="2"/>
  <c r="F411" i="2"/>
  <c r="F407" i="2"/>
  <c r="F413" i="2"/>
  <c r="F406" i="2"/>
  <c r="F414" i="2"/>
  <c r="F410" i="2"/>
  <c r="F408" i="2"/>
  <c r="J349" i="2" l="1"/>
  <c r="K349" i="2"/>
  <c r="L360" i="2"/>
  <c r="J358" i="2"/>
  <c r="K358" i="2"/>
  <c r="J356" i="2"/>
  <c r="K356" i="2"/>
  <c r="J359" i="2"/>
  <c r="K359" i="2"/>
  <c r="J355" i="2"/>
  <c r="K355" i="2"/>
  <c r="J357" i="2"/>
  <c r="K357" i="2"/>
  <c r="J351" i="2"/>
  <c r="K351" i="2"/>
  <c r="J354" i="2"/>
  <c r="K354" i="2"/>
  <c r="J353" i="2"/>
  <c r="K353" i="2"/>
  <c r="J352" i="2"/>
  <c r="K352" i="2"/>
  <c r="H349" i="2"/>
  <c r="H357" i="2"/>
  <c r="I357" i="2"/>
  <c r="H351" i="2"/>
  <c r="I351" i="2"/>
  <c r="H354" i="2"/>
  <c r="I354" i="2"/>
  <c r="H353" i="2"/>
  <c r="I353" i="2"/>
  <c r="H355" i="2"/>
  <c r="I355" i="2"/>
  <c r="H358" i="2"/>
  <c r="I358" i="2"/>
  <c r="I349" i="2"/>
  <c r="H356" i="2"/>
  <c r="I356" i="2"/>
  <c r="H359" i="2"/>
  <c r="I359" i="2"/>
  <c r="H352" i="2"/>
  <c r="I352" i="2"/>
  <c r="D420" i="2"/>
  <c r="D421" i="2"/>
  <c r="D422" i="2"/>
  <c r="D424" i="2"/>
  <c r="D423" i="2"/>
  <c r="D417" i="2"/>
  <c r="D419" i="2"/>
  <c r="D418" i="2"/>
  <c r="B148" i="1"/>
  <c r="D425" i="2"/>
  <c r="F372" i="2"/>
  <c r="A373" i="2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C370" i="2"/>
  <c r="L370" i="2" s="1"/>
  <c r="C369" i="2"/>
  <c r="L369" i="2" s="1"/>
  <c r="C366" i="2"/>
  <c r="L366" i="2" s="1"/>
  <c r="C368" i="2"/>
  <c r="L368" i="2" s="1"/>
  <c r="C367" i="2"/>
  <c r="L367" i="2" s="1"/>
  <c r="C365" i="2"/>
  <c r="L365" i="2" s="1"/>
  <c r="C364" i="2"/>
  <c r="L364" i="2" s="1"/>
  <c r="C363" i="2"/>
  <c r="L363" i="2" s="1"/>
  <c r="C362" i="2"/>
  <c r="L362" i="2" s="1"/>
  <c r="F424" i="2"/>
  <c r="F419" i="2"/>
  <c r="F423" i="2"/>
  <c r="F418" i="2"/>
  <c r="F420" i="2"/>
  <c r="F425" i="2"/>
  <c r="F422" i="2"/>
  <c r="F421" i="2"/>
  <c r="F417" i="2"/>
  <c r="L371" i="2" l="1"/>
  <c r="J360" i="2"/>
  <c r="J363" i="2"/>
  <c r="K363" i="2"/>
  <c r="J368" i="2"/>
  <c r="K368" i="2"/>
  <c r="J369" i="2"/>
  <c r="K369" i="2"/>
  <c r="J362" i="2"/>
  <c r="K362" i="2"/>
  <c r="J367" i="2"/>
  <c r="K367" i="2"/>
  <c r="J370" i="2"/>
  <c r="K370" i="2"/>
  <c r="J364" i="2"/>
  <c r="K364" i="2"/>
  <c r="J366" i="2"/>
  <c r="K366" i="2"/>
  <c r="K360" i="2"/>
  <c r="J365" i="2"/>
  <c r="K365" i="2"/>
  <c r="H360" i="2"/>
  <c r="H363" i="2"/>
  <c r="I363" i="2"/>
  <c r="H368" i="2"/>
  <c r="I368" i="2"/>
  <c r="I360" i="2"/>
  <c r="H364" i="2"/>
  <c r="I364" i="2"/>
  <c r="H366" i="2"/>
  <c r="I366" i="2"/>
  <c r="H365" i="2"/>
  <c r="I365" i="2"/>
  <c r="H369" i="2"/>
  <c r="I369" i="2"/>
  <c r="H362" i="2"/>
  <c r="I362" i="2"/>
  <c r="H367" i="2"/>
  <c r="I367" i="2"/>
  <c r="H370" i="2"/>
  <c r="I370" i="2"/>
  <c r="D430" i="2"/>
  <c r="D428" i="2"/>
  <c r="D435" i="2"/>
  <c r="D433" i="2"/>
  <c r="D432" i="2"/>
  <c r="D434" i="2"/>
  <c r="D431" i="2"/>
  <c r="D429" i="2"/>
  <c r="B149" i="1"/>
  <c r="D436" i="2"/>
  <c r="F383" i="2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C379" i="2"/>
  <c r="L379" i="2" s="1"/>
  <c r="C377" i="2"/>
  <c r="L377" i="2" s="1"/>
  <c r="C378" i="2"/>
  <c r="L378" i="2" s="1"/>
  <c r="C381" i="2"/>
  <c r="L381" i="2" s="1"/>
  <c r="C380" i="2"/>
  <c r="L380" i="2" s="1"/>
  <c r="C376" i="2"/>
  <c r="L376" i="2" s="1"/>
  <c r="C373" i="2"/>
  <c r="L373" i="2" s="1"/>
  <c r="C375" i="2"/>
  <c r="L375" i="2" s="1"/>
  <c r="C374" i="2"/>
  <c r="L374" i="2" s="1"/>
  <c r="F434" i="2"/>
  <c r="F428" i="2"/>
  <c r="F436" i="2"/>
  <c r="F435" i="2"/>
  <c r="F432" i="2"/>
  <c r="F431" i="2"/>
  <c r="F433" i="2"/>
  <c r="F430" i="2"/>
  <c r="F429" i="2"/>
  <c r="L382" i="2" l="1"/>
  <c r="J371" i="2"/>
  <c r="J374" i="2"/>
  <c r="K374" i="2"/>
  <c r="J380" i="2"/>
  <c r="K380" i="2"/>
  <c r="J379" i="2"/>
  <c r="K379" i="2"/>
  <c r="J375" i="2"/>
  <c r="K375" i="2"/>
  <c r="J381" i="2"/>
  <c r="K381" i="2"/>
  <c r="J376" i="2"/>
  <c r="K376" i="2"/>
  <c r="J377" i="2"/>
  <c r="K377" i="2"/>
  <c r="K371" i="2"/>
  <c r="J373" i="2"/>
  <c r="K373" i="2"/>
  <c r="J378" i="2"/>
  <c r="K378" i="2"/>
  <c r="H371" i="2"/>
  <c r="H376" i="2"/>
  <c r="I376" i="2"/>
  <c r="H377" i="2"/>
  <c r="I377" i="2"/>
  <c r="H375" i="2"/>
  <c r="I375" i="2"/>
  <c r="H381" i="2"/>
  <c r="I381" i="2"/>
  <c r="H373" i="2"/>
  <c r="I373" i="2"/>
  <c r="H378" i="2"/>
  <c r="I378" i="2"/>
  <c r="H374" i="2"/>
  <c r="I374" i="2"/>
  <c r="H380" i="2"/>
  <c r="I380" i="2"/>
  <c r="H379" i="2"/>
  <c r="I379" i="2"/>
  <c r="I371" i="2"/>
  <c r="D445" i="2"/>
  <c r="D444" i="2"/>
  <c r="D443" i="2"/>
  <c r="D446" i="2"/>
  <c r="D442" i="2"/>
  <c r="D439" i="2"/>
  <c r="D440" i="2"/>
  <c r="D441" i="2"/>
  <c r="B150" i="1"/>
  <c r="D447" i="2"/>
  <c r="F394" i="2"/>
  <c r="A395" i="2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C390" i="2"/>
  <c r="L390" i="2" s="1"/>
  <c r="C385" i="2"/>
  <c r="L385" i="2" s="1"/>
  <c r="C389" i="2"/>
  <c r="L389" i="2" s="1"/>
  <c r="C386" i="2"/>
  <c r="L386" i="2" s="1"/>
  <c r="C388" i="2"/>
  <c r="L388" i="2" s="1"/>
  <c r="C387" i="2"/>
  <c r="L387" i="2" s="1"/>
  <c r="C384" i="2"/>
  <c r="L384" i="2" s="1"/>
  <c r="C392" i="2"/>
  <c r="L392" i="2" s="1"/>
  <c r="C391" i="2"/>
  <c r="L391" i="2" s="1"/>
  <c r="F440" i="2"/>
  <c r="F446" i="2"/>
  <c r="F441" i="2"/>
  <c r="F444" i="2"/>
  <c r="F439" i="2"/>
  <c r="F443" i="2"/>
  <c r="F447" i="2"/>
  <c r="F445" i="2"/>
  <c r="F442" i="2"/>
  <c r="L393" i="2" l="1"/>
  <c r="I382" i="2"/>
  <c r="J382" i="2"/>
  <c r="J392" i="2"/>
  <c r="K392" i="2"/>
  <c r="J386" i="2"/>
  <c r="K386" i="2"/>
  <c r="K382" i="2"/>
  <c r="J387" i="2"/>
  <c r="K387" i="2"/>
  <c r="J385" i="2"/>
  <c r="K385" i="2"/>
  <c r="J384" i="2"/>
  <c r="K384" i="2"/>
  <c r="J389" i="2"/>
  <c r="K389" i="2"/>
  <c r="J391" i="2"/>
  <c r="K391" i="2"/>
  <c r="J388" i="2"/>
  <c r="K388" i="2"/>
  <c r="J390" i="2"/>
  <c r="K390" i="2"/>
  <c r="H382" i="2"/>
  <c r="H392" i="2"/>
  <c r="I392" i="2"/>
  <c r="H386" i="2"/>
  <c r="I386" i="2"/>
  <c r="H391" i="2"/>
  <c r="I391" i="2"/>
  <c r="H388" i="2"/>
  <c r="I388" i="2"/>
  <c r="H390" i="2"/>
  <c r="I390" i="2"/>
  <c r="H384" i="2"/>
  <c r="I384" i="2"/>
  <c r="H389" i="2"/>
  <c r="I389" i="2"/>
  <c r="H387" i="2"/>
  <c r="I387" i="2"/>
  <c r="H385" i="2"/>
  <c r="I385" i="2"/>
  <c r="D450" i="2"/>
  <c r="D451" i="2"/>
  <c r="D453" i="2"/>
  <c r="D457" i="2"/>
  <c r="D454" i="2"/>
  <c r="D455" i="2"/>
  <c r="D452" i="2"/>
  <c r="D456" i="2"/>
  <c r="B151" i="1"/>
  <c r="D458" i="2"/>
  <c r="F405" i="2"/>
  <c r="A406" i="2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C397" i="2"/>
  <c r="L397" i="2" s="1"/>
  <c r="C403" i="2"/>
  <c r="L403" i="2" s="1"/>
  <c r="C399" i="2"/>
  <c r="L399" i="2" s="1"/>
  <c r="C402" i="2"/>
  <c r="L402" i="2" s="1"/>
  <c r="C401" i="2"/>
  <c r="L401" i="2" s="1"/>
  <c r="C398" i="2"/>
  <c r="L398" i="2" s="1"/>
  <c r="C400" i="2"/>
  <c r="L400" i="2" s="1"/>
  <c r="C396" i="2"/>
  <c r="L396" i="2" s="1"/>
  <c r="C395" i="2"/>
  <c r="L395" i="2" s="1"/>
  <c r="F450" i="2"/>
  <c r="F453" i="2"/>
  <c r="F457" i="2"/>
  <c r="F452" i="2"/>
  <c r="F451" i="2"/>
  <c r="F454" i="2"/>
  <c r="F456" i="2"/>
  <c r="F455" i="2"/>
  <c r="F458" i="2"/>
  <c r="L404" i="2" l="1"/>
  <c r="K393" i="2"/>
  <c r="J393" i="2"/>
  <c r="J395" i="2"/>
  <c r="K395" i="2"/>
  <c r="J401" i="2"/>
  <c r="K401" i="2"/>
  <c r="J397" i="2"/>
  <c r="K397" i="2"/>
  <c r="J400" i="2"/>
  <c r="K400" i="2"/>
  <c r="J399" i="2"/>
  <c r="K399" i="2"/>
  <c r="J396" i="2"/>
  <c r="K396" i="2"/>
  <c r="J402" i="2"/>
  <c r="K402" i="2"/>
  <c r="J398" i="2"/>
  <c r="K398" i="2"/>
  <c r="J403" i="2"/>
  <c r="K403" i="2"/>
  <c r="I393" i="2"/>
  <c r="H393" i="2"/>
  <c r="H395" i="2"/>
  <c r="I395" i="2"/>
  <c r="H401" i="2"/>
  <c r="I401" i="2"/>
  <c r="H397" i="2"/>
  <c r="I397" i="2"/>
  <c r="H398" i="2"/>
  <c r="I398" i="2"/>
  <c r="H403" i="2"/>
  <c r="I403" i="2"/>
  <c r="H396" i="2"/>
  <c r="I396" i="2"/>
  <c r="H402" i="2"/>
  <c r="I402" i="2"/>
  <c r="H400" i="2"/>
  <c r="I400" i="2"/>
  <c r="H399" i="2"/>
  <c r="I399" i="2"/>
  <c r="D466" i="2"/>
  <c r="D468" i="2"/>
  <c r="D464" i="2"/>
  <c r="D463" i="2"/>
  <c r="D462" i="2"/>
  <c r="D467" i="2"/>
  <c r="D465" i="2"/>
  <c r="D461" i="2"/>
  <c r="B152" i="1"/>
  <c r="D469" i="2"/>
  <c r="F416" i="2"/>
  <c r="A417" i="2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C410" i="2"/>
  <c r="L410" i="2" s="1"/>
  <c r="C411" i="2"/>
  <c r="L411" i="2" s="1"/>
  <c r="C409" i="2"/>
  <c r="L409" i="2" s="1"/>
  <c r="C406" i="2"/>
  <c r="L406" i="2" s="1"/>
  <c r="C408" i="2"/>
  <c r="L408" i="2" s="1"/>
  <c r="C407" i="2"/>
  <c r="L407" i="2" s="1"/>
  <c r="C414" i="2"/>
  <c r="L414" i="2" s="1"/>
  <c r="C413" i="2"/>
  <c r="L413" i="2" s="1"/>
  <c r="C412" i="2"/>
  <c r="L412" i="2" s="1"/>
  <c r="F465" i="2"/>
  <c r="F468" i="2"/>
  <c r="F462" i="2"/>
  <c r="F469" i="2"/>
  <c r="F461" i="2"/>
  <c r="F467" i="2"/>
  <c r="F466" i="2"/>
  <c r="F464" i="2"/>
  <c r="F463" i="2"/>
  <c r="J404" i="2" l="1"/>
  <c r="L415" i="2"/>
  <c r="I404" i="2"/>
  <c r="J407" i="2"/>
  <c r="K407" i="2"/>
  <c r="J411" i="2"/>
  <c r="K411" i="2"/>
  <c r="J412" i="2"/>
  <c r="K412" i="2"/>
  <c r="J408" i="2"/>
  <c r="K408" i="2"/>
  <c r="J410" i="2"/>
  <c r="K410" i="2"/>
  <c r="J406" i="2"/>
  <c r="K406" i="2"/>
  <c r="J414" i="2"/>
  <c r="K414" i="2"/>
  <c r="J409" i="2"/>
  <c r="K409" i="2"/>
  <c r="K404" i="2"/>
  <c r="J413" i="2"/>
  <c r="K413" i="2"/>
  <c r="H404" i="2"/>
  <c r="H412" i="2"/>
  <c r="I412" i="2"/>
  <c r="H408" i="2"/>
  <c r="I408" i="2"/>
  <c r="H410" i="2"/>
  <c r="I410" i="2"/>
  <c r="H407" i="2"/>
  <c r="I407" i="2"/>
  <c r="H411" i="2"/>
  <c r="I411" i="2"/>
  <c r="H413" i="2"/>
  <c r="I413" i="2"/>
  <c r="H406" i="2"/>
  <c r="I406" i="2"/>
  <c r="H414" i="2"/>
  <c r="I414" i="2"/>
  <c r="H409" i="2"/>
  <c r="I409" i="2"/>
  <c r="D478" i="2"/>
  <c r="D474" i="2"/>
  <c r="D475" i="2"/>
  <c r="D479" i="2"/>
  <c r="D476" i="2"/>
  <c r="D473" i="2"/>
  <c r="D477" i="2"/>
  <c r="D472" i="2"/>
  <c r="B153" i="1"/>
  <c r="D480" i="2"/>
  <c r="F427" i="2"/>
  <c r="A428" i="2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C419" i="2"/>
  <c r="L419" i="2" s="1"/>
  <c r="C417" i="2"/>
  <c r="L417" i="2" s="1"/>
  <c r="C425" i="2"/>
  <c r="L425" i="2" s="1"/>
  <c r="C424" i="2"/>
  <c r="L424" i="2" s="1"/>
  <c r="C423" i="2"/>
  <c r="L423" i="2" s="1"/>
  <c r="C418" i="2"/>
  <c r="L418" i="2" s="1"/>
  <c r="C422" i="2"/>
  <c r="L422" i="2" s="1"/>
  <c r="C421" i="2"/>
  <c r="L421" i="2" s="1"/>
  <c r="C420" i="2"/>
  <c r="L420" i="2" s="1"/>
  <c r="F472" i="2"/>
  <c r="F476" i="2"/>
  <c r="F475" i="2"/>
  <c r="F479" i="2"/>
  <c r="F477" i="2"/>
  <c r="F474" i="2"/>
  <c r="F480" i="2"/>
  <c r="F478" i="2"/>
  <c r="F473" i="2"/>
  <c r="L426" i="2" l="1"/>
  <c r="K415" i="2"/>
  <c r="J415" i="2"/>
  <c r="J422" i="2"/>
  <c r="K422" i="2"/>
  <c r="J425" i="2"/>
  <c r="K425" i="2"/>
  <c r="J418" i="2"/>
  <c r="K418" i="2"/>
  <c r="J417" i="2"/>
  <c r="K417" i="2"/>
  <c r="J420" i="2"/>
  <c r="K420" i="2"/>
  <c r="J423" i="2"/>
  <c r="K423" i="2"/>
  <c r="J419" i="2"/>
  <c r="K419" i="2"/>
  <c r="J421" i="2"/>
  <c r="K421" i="2"/>
  <c r="J424" i="2"/>
  <c r="K424" i="2"/>
  <c r="H415" i="2"/>
  <c r="H420" i="2"/>
  <c r="I420" i="2"/>
  <c r="H423" i="2"/>
  <c r="I423" i="2"/>
  <c r="H419" i="2"/>
  <c r="I419" i="2"/>
  <c r="I415" i="2"/>
  <c r="H418" i="2"/>
  <c r="I418" i="2"/>
  <c r="H417" i="2"/>
  <c r="I417" i="2"/>
  <c r="H421" i="2"/>
  <c r="I421" i="2"/>
  <c r="H424" i="2"/>
  <c r="I424" i="2"/>
  <c r="H422" i="2"/>
  <c r="I422" i="2"/>
  <c r="H425" i="2"/>
  <c r="I425" i="2"/>
  <c r="D484" i="2"/>
  <c r="D486" i="2"/>
  <c r="D487" i="2"/>
  <c r="D485" i="2"/>
  <c r="D488" i="2"/>
  <c r="D489" i="2"/>
  <c r="D490" i="2"/>
  <c r="D483" i="2"/>
  <c r="B154" i="1"/>
  <c r="D491" i="2"/>
  <c r="F438" i="2"/>
  <c r="A439" i="2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C430" i="2"/>
  <c r="L430" i="2" s="1"/>
  <c r="C429" i="2"/>
  <c r="L429" i="2" s="1"/>
  <c r="C428" i="2"/>
  <c r="L428" i="2" s="1"/>
  <c r="C435" i="2"/>
  <c r="L435" i="2" s="1"/>
  <c r="C431" i="2"/>
  <c r="L431" i="2" s="1"/>
  <c r="C436" i="2"/>
  <c r="L436" i="2" s="1"/>
  <c r="C434" i="2"/>
  <c r="L434" i="2" s="1"/>
  <c r="C433" i="2"/>
  <c r="L433" i="2" s="1"/>
  <c r="C432" i="2"/>
  <c r="L432" i="2" s="1"/>
  <c r="F484" i="2"/>
  <c r="F483" i="2"/>
  <c r="F486" i="2"/>
  <c r="F487" i="2"/>
  <c r="F489" i="2"/>
  <c r="F490" i="2"/>
  <c r="F488" i="2"/>
  <c r="F485" i="2"/>
  <c r="F491" i="2"/>
  <c r="L437" i="2" l="1"/>
  <c r="K426" i="2"/>
  <c r="J426" i="2"/>
  <c r="J436" i="2"/>
  <c r="K436" i="2"/>
  <c r="J429" i="2"/>
  <c r="K429" i="2"/>
  <c r="J432" i="2"/>
  <c r="K432" i="2"/>
  <c r="J431" i="2"/>
  <c r="K431" i="2"/>
  <c r="J430" i="2"/>
  <c r="K430" i="2"/>
  <c r="J433" i="2"/>
  <c r="K433" i="2"/>
  <c r="J435" i="2"/>
  <c r="J437" i="2" s="1"/>
  <c r="K435" i="2"/>
  <c r="K437" i="2" s="1"/>
  <c r="J434" i="2"/>
  <c r="K434" i="2"/>
  <c r="J428" i="2"/>
  <c r="K428" i="2"/>
  <c r="H426" i="2"/>
  <c r="H436" i="2"/>
  <c r="I436" i="2"/>
  <c r="H429" i="2"/>
  <c r="I429" i="2"/>
  <c r="H433" i="2"/>
  <c r="I433" i="2"/>
  <c r="H435" i="2"/>
  <c r="I435" i="2"/>
  <c r="H434" i="2"/>
  <c r="I434" i="2"/>
  <c r="H428" i="2"/>
  <c r="I428" i="2"/>
  <c r="I426" i="2"/>
  <c r="H432" i="2"/>
  <c r="I432" i="2"/>
  <c r="H431" i="2"/>
  <c r="I431" i="2"/>
  <c r="H430" i="2"/>
  <c r="I430" i="2"/>
  <c r="D500" i="2"/>
  <c r="D498" i="2"/>
  <c r="D496" i="2"/>
  <c r="D497" i="2"/>
  <c r="D499" i="2"/>
  <c r="D501" i="2"/>
  <c r="D494" i="2"/>
  <c r="D495" i="2"/>
  <c r="B155" i="1"/>
  <c r="D502" i="2"/>
  <c r="F449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C442" i="2"/>
  <c r="L442" i="2" s="1"/>
  <c r="C439" i="2"/>
  <c r="L439" i="2" s="1"/>
  <c r="C447" i="2"/>
  <c r="L447" i="2" s="1"/>
  <c r="C444" i="2"/>
  <c r="L444" i="2" s="1"/>
  <c r="C446" i="2"/>
  <c r="L446" i="2" s="1"/>
  <c r="C445" i="2"/>
  <c r="L445" i="2" s="1"/>
  <c r="C443" i="2"/>
  <c r="L443" i="2" s="1"/>
  <c r="C441" i="2"/>
  <c r="L441" i="2" s="1"/>
  <c r="C440" i="2"/>
  <c r="L440" i="2" s="1"/>
  <c r="F500" i="2"/>
  <c r="F501" i="2"/>
  <c r="F497" i="2"/>
  <c r="F498" i="2"/>
  <c r="F495" i="2"/>
  <c r="F494" i="2"/>
  <c r="F502" i="2"/>
  <c r="F499" i="2"/>
  <c r="F496" i="2"/>
  <c r="L448" i="2" l="1"/>
  <c r="J441" i="2"/>
  <c r="K441" i="2"/>
  <c r="J444" i="2"/>
  <c r="K444" i="2"/>
  <c r="J440" i="2"/>
  <c r="K440" i="2"/>
  <c r="J446" i="2"/>
  <c r="K446" i="2"/>
  <c r="J442" i="2"/>
  <c r="K442" i="2"/>
  <c r="J443" i="2"/>
  <c r="K443" i="2"/>
  <c r="J447" i="2"/>
  <c r="K447" i="2"/>
  <c r="J445" i="2"/>
  <c r="K445" i="2"/>
  <c r="J439" i="2"/>
  <c r="K439" i="2"/>
  <c r="H437" i="2"/>
  <c r="I437" i="2"/>
  <c r="H441" i="2"/>
  <c r="I441" i="2"/>
  <c r="H444" i="2"/>
  <c r="I444" i="2"/>
  <c r="H443" i="2"/>
  <c r="I443" i="2"/>
  <c r="H447" i="2"/>
  <c r="I447" i="2"/>
  <c r="H445" i="2"/>
  <c r="I445" i="2"/>
  <c r="H439" i="2"/>
  <c r="I439" i="2"/>
  <c r="H440" i="2"/>
  <c r="I440" i="2"/>
  <c r="H446" i="2"/>
  <c r="I446" i="2"/>
  <c r="H442" i="2"/>
  <c r="I442" i="2"/>
  <c r="D512" i="2"/>
  <c r="D508" i="2"/>
  <c r="D507" i="2"/>
  <c r="D509" i="2"/>
  <c r="D510" i="2"/>
  <c r="D505" i="2"/>
  <c r="D506" i="2"/>
  <c r="D511" i="2"/>
  <c r="B156" i="1"/>
  <c r="D513" i="2"/>
  <c r="F460" i="2"/>
  <c r="A461" i="2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C450" i="2"/>
  <c r="L450" i="2" s="1"/>
  <c r="C457" i="2"/>
  <c r="L457" i="2" s="1"/>
  <c r="C456" i="2"/>
  <c r="L456" i="2" s="1"/>
  <c r="C451" i="2"/>
  <c r="L451" i="2" s="1"/>
  <c r="C458" i="2"/>
  <c r="L458" i="2" s="1"/>
  <c r="C455" i="2"/>
  <c r="L455" i="2" s="1"/>
  <c r="C454" i="2"/>
  <c r="L454" i="2" s="1"/>
  <c r="C453" i="2"/>
  <c r="L453" i="2" s="1"/>
  <c r="C452" i="2"/>
  <c r="L452" i="2" s="1"/>
  <c r="F512" i="2"/>
  <c r="F510" i="2"/>
  <c r="F505" i="2"/>
  <c r="F509" i="2"/>
  <c r="F508" i="2"/>
  <c r="F511" i="2"/>
  <c r="F507" i="2"/>
  <c r="F513" i="2"/>
  <c r="F506" i="2"/>
  <c r="L459" i="2" l="1"/>
  <c r="J448" i="2"/>
  <c r="J453" i="2"/>
  <c r="K453" i="2"/>
  <c r="J452" i="2"/>
  <c r="K452" i="2"/>
  <c r="J458" i="2"/>
  <c r="K458" i="2"/>
  <c r="J450" i="2"/>
  <c r="K450" i="2"/>
  <c r="K448" i="2"/>
  <c r="J451" i="2"/>
  <c r="K451" i="2"/>
  <c r="J454" i="2"/>
  <c r="K454" i="2"/>
  <c r="J456" i="2"/>
  <c r="K456" i="2"/>
  <c r="J455" i="2"/>
  <c r="K455" i="2"/>
  <c r="J457" i="2"/>
  <c r="K457" i="2"/>
  <c r="I448" i="2"/>
  <c r="H448" i="2"/>
  <c r="H452" i="2"/>
  <c r="I452" i="2"/>
  <c r="H458" i="2"/>
  <c r="I458" i="2"/>
  <c r="H450" i="2"/>
  <c r="I450" i="2"/>
  <c r="H455" i="2"/>
  <c r="I455" i="2"/>
  <c r="H457" i="2"/>
  <c r="I457" i="2"/>
  <c r="H453" i="2"/>
  <c r="I453" i="2"/>
  <c r="H451" i="2"/>
  <c r="I451" i="2"/>
  <c r="H454" i="2"/>
  <c r="I454" i="2"/>
  <c r="H456" i="2"/>
  <c r="I456" i="2"/>
  <c r="D517" i="2"/>
  <c r="D516" i="2"/>
  <c r="D520" i="2"/>
  <c r="D518" i="2"/>
  <c r="D519" i="2"/>
  <c r="D521" i="2"/>
  <c r="D523" i="2"/>
  <c r="D522" i="2"/>
  <c r="B157" i="1"/>
  <c r="D524" i="2"/>
  <c r="F471" i="2"/>
  <c r="A472" i="2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C468" i="2"/>
  <c r="L468" i="2" s="1"/>
  <c r="C467" i="2"/>
  <c r="L467" i="2" s="1"/>
  <c r="C466" i="2"/>
  <c r="L466" i="2" s="1"/>
  <c r="C469" i="2"/>
  <c r="L469" i="2" s="1"/>
  <c r="C465" i="2"/>
  <c r="L465" i="2" s="1"/>
  <c r="C464" i="2"/>
  <c r="L464" i="2" s="1"/>
  <c r="C462" i="2"/>
  <c r="L462" i="2" s="1"/>
  <c r="C463" i="2"/>
  <c r="L463" i="2" s="1"/>
  <c r="C461" i="2"/>
  <c r="L461" i="2" s="1"/>
  <c r="F520" i="2"/>
  <c r="F524" i="2"/>
  <c r="F521" i="2"/>
  <c r="F519" i="2"/>
  <c r="F516" i="2"/>
  <c r="F517" i="2"/>
  <c r="F518" i="2"/>
  <c r="F523" i="2"/>
  <c r="F522" i="2"/>
  <c r="L470" i="2" l="1"/>
  <c r="K459" i="2"/>
  <c r="J459" i="2"/>
  <c r="J463" i="2"/>
  <c r="K463" i="2"/>
  <c r="J469" i="2"/>
  <c r="K469" i="2"/>
  <c r="J462" i="2"/>
  <c r="K462" i="2"/>
  <c r="J466" i="2"/>
  <c r="K466" i="2"/>
  <c r="J464" i="2"/>
  <c r="K464" i="2"/>
  <c r="J467" i="2"/>
  <c r="K467" i="2"/>
  <c r="J461" i="2"/>
  <c r="K461" i="2"/>
  <c r="J465" i="2"/>
  <c r="K465" i="2"/>
  <c r="J468" i="2"/>
  <c r="K468" i="2"/>
  <c r="H459" i="2"/>
  <c r="I459" i="2"/>
  <c r="H461" i="2"/>
  <c r="I461" i="2"/>
  <c r="H465" i="2"/>
  <c r="I465" i="2"/>
  <c r="H468" i="2"/>
  <c r="I468" i="2"/>
  <c r="H464" i="2"/>
  <c r="I464" i="2"/>
  <c r="H467" i="2"/>
  <c r="I467" i="2"/>
  <c r="H463" i="2"/>
  <c r="I463" i="2"/>
  <c r="H469" i="2"/>
  <c r="I469" i="2"/>
  <c r="H462" i="2"/>
  <c r="I462" i="2"/>
  <c r="H466" i="2"/>
  <c r="I466" i="2"/>
  <c r="D534" i="2"/>
  <c r="D532" i="2"/>
  <c r="D529" i="2"/>
  <c r="D527" i="2"/>
  <c r="D530" i="2"/>
  <c r="D531" i="2"/>
  <c r="D533" i="2"/>
  <c r="D528" i="2"/>
  <c r="B158" i="1"/>
  <c r="D535" i="2"/>
  <c r="F482" i="2"/>
  <c r="A483" i="2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C476" i="2"/>
  <c r="L476" i="2" s="1"/>
  <c r="C477" i="2"/>
  <c r="L477" i="2" s="1"/>
  <c r="C480" i="2"/>
  <c r="L480" i="2" s="1"/>
  <c r="C479" i="2"/>
  <c r="L479" i="2" s="1"/>
  <c r="C475" i="2"/>
  <c r="L475" i="2" s="1"/>
  <c r="C478" i="2"/>
  <c r="L478" i="2" s="1"/>
  <c r="C474" i="2"/>
  <c r="L474" i="2" s="1"/>
  <c r="C472" i="2"/>
  <c r="L472" i="2" s="1"/>
  <c r="C473" i="2"/>
  <c r="L473" i="2" s="1"/>
  <c r="F527" i="2"/>
  <c r="F528" i="2"/>
  <c r="F534" i="2"/>
  <c r="F533" i="2"/>
  <c r="F535" i="2"/>
  <c r="F530" i="2"/>
  <c r="F529" i="2"/>
  <c r="F532" i="2"/>
  <c r="F531" i="2"/>
  <c r="L481" i="2" l="1"/>
  <c r="J470" i="2"/>
  <c r="K470" i="2"/>
  <c r="J477" i="2"/>
  <c r="K477" i="2"/>
  <c r="J473" i="2"/>
  <c r="K473" i="2"/>
  <c r="J475" i="2"/>
  <c r="K475" i="2"/>
  <c r="J476" i="2"/>
  <c r="K476" i="2"/>
  <c r="J474" i="2"/>
  <c r="K474" i="2"/>
  <c r="J480" i="2"/>
  <c r="K480" i="2"/>
  <c r="J472" i="2"/>
  <c r="K472" i="2"/>
  <c r="J479" i="2"/>
  <c r="K479" i="2"/>
  <c r="J478" i="2"/>
  <c r="K478" i="2"/>
  <c r="H470" i="2"/>
  <c r="H473" i="2"/>
  <c r="I473" i="2"/>
  <c r="H475" i="2"/>
  <c r="I475" i="2"/>
  <c r="H476" i="2"/>
  <c r="I476" i="2"/>
  <c r="H478" i="2"/>
  <c r="I478" i="2"/>
  <c r="H477" i="2"/>
  <c r="I477" i="2"/>
  <c r="H472" i="2"/>
  <c r="I472" i="2"/>
  <c r="H479" i="2"/>
  <c r="I479" i="2"/>
  <c r="H474" i="2"/>
  <c r="I474" i="2"/>
  <c r="H480" i="2"/>
  <c r="I480" i="2"/>
  <c r="I470" i="2"/>
  <c r="D542" i="2"/>
  <c r="D540" i="2"/>
  <c r="D543" i="2"/>
  <c r="D541" i="2"/>
  <c r="D544" i="2"/>
  <c r="D538" i="2"/>
  <c r="D539" i="2"/>
  <c r="D545" i="2"/>
  <c r="B159" i="1"/>
  <c r="D546" i="2"/>
  <c r="F493" i="2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C488" i="2"/>
  <c r="L488" i="2" s="1"/>
  <c r="C487" i="2"/>
  <c r="L487" i="2" s="1"/>
  <c r="C484" i="2"/>
  <c r="L484" i="2" s="1"/>
  <c r="C486" i="2"/>
  <c r="L486" i="2" s="1"/>
  <c r="C485" i="2"/>
  <c r="L485" i="2" s="1"/>
  <c r="C489" i="2"/>
  <c r="L489" i="2" s="1"/>
  <c r="C483" i="2"/>
  <c r="L483" i="2" s="1"/>
  <c r="C491" i="2"/>
  <c r="L491" i="2" s="1"/>
  <c r="C490" i="2"/>
  <c r="L490" i="2" s="1"/>
  <c r="F541" i="2"/>
  <c r="F546" i="2"/>
  <c r="F540" i="2"/>
  <c r="F538" i="2"/>
  <c r="F544" i="2"/>
  <c r="F539" i="2"/>
  <c r="F543" i="2"/>
  <c r="F542" i="2"/>
  <c r="F545" i="2"/>
  <c r="J481" i="2" l="1"/>
  <c r="K481" i="2"/>
  <c r="L492" i="2"/>
  <c r="J489" i="2"/>
  <c r="K489" i="2"/>
  <c r="J487" i="2"/>
  <c r="K487" i="2"/>
  <c r="J490" i="2"/>
  <c r="K490" i="2"/>
  <c r="J485" i="2"/>
  <c r="K485" i="2"/>
  <c r="J488" i="2"/>
  <c r="K488" i="2"/>
  <c r="J491" i="2"/>
  <c r="K491" i="2"/>
  <c r="J486" i="2"/>
  <c r="K486" i="2"/>
  <c r="J483" i="2"/>
  <c r="K483" i="2"/>
  <c r="J484" i="2"/>
  <c r="K484" i="2"/>
  <c r="H481" i="2"/>
  <c r="H491" i="2"/>
  <c r="I491" i="2"/>
  <c r="H486" i="2"/>
  <c r="I486" i="2"/>
  <c r="H490" i="2"/>
  <c r="I490" i="2"/>
  <c r="H485" i="2"/>
  <c r="I485" i="2"/>
  <c r="H488" i="2"/>
  <c r="I488" i="2"/>
  <c r="H483" i="2"/>
  <c r="I483" i="2"/>
  <c r="H484" i="2"/>
  <c r="I484" i="2"/>
  <c r="H489" i="2"/>
  <c r="I489" i="2"/>
  <c r="H487" i="2"/>
  <c r="I487" i="2"/>
  <c r="I481" i="2"/>
  <c r="D551" i="2"/>
  <c r="D553" i="2"/>
  <c r="D556" i="2"/>
  <c r="D555" i="2"/>
  <c r="D552" i="2"/>
  <c r="D550" i="2"/>
  <c r="D554" i="2"/>
  <c r="D557" i="2"/>
  <c r="B160" i="1"/>
  <c r="D558" i="2"/>
  <c r="F504" i="2"/>
  <c r="A505" i="2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C495" i="2"/>
  <c r="L495" i="2" s="1"/>
  <c r="C497" i="2"/>
  <c r="L497" i="2" s="1"/>
  <c r="C496" i="2"/>
  <c r="L496" i="2" s="1"/>
  <c r="C502" i="2"/>
  <c r="L502" i="2" s="1"/>
  <c r="C501" i="2"/>
  <c r="L501" i="2" s="1"/>
  <c r="C500" i="2"/>
  <c r="L500" i="2" s="1"/>
  <c r="C499" i="2"/>
  <c r="L499" i="2" s="1"/>
  <c r="C498" i="2"/>
  <c r="L498" i="2" s="1"/>
  <c r="C494" i="2"/>
  <c r="L494" i="2" s="1"/>
  <c r="F550" i="2"/>
  <c r="F553" i="2"/>
  <c r="F555" i="2"/>
  <c r="F558" i="2"/>
  <c r="F552" i="2"/>
  <c r="F556" i="2"/>
  <c r="F551" i="2"/>
  <c r="F557" i="2"/>
  <c r="F554" i="2"/>
  <c r="L503" i="2" l="1"/>
  <c r="I492" i="2"/>
  <c r="J492" i="2"/>
  <c r="J494" i="2"/>
  <c r="K494" i="2"/>
  <c r="J501" i="2"/>
  <c r="K501" i="2"/>
  <c r="J495" i="2"/>
  <c r="K495" i="2"/>
  <c r="J500" i="2"/>
  <c r="K500" i="2"/>
  <c r="J497" i="2"/>
  <c r="K497" i="2"/>
  <c r="J498" i="2"/>
  <c r="K498" i="2"/>
  <c r="J502" i="2"/>
  <c r="K502" i="2"/>
  <c r="J499" i="2"/>
  <c r="K499" i="2"/>
  <c r="J496" i="2"/>
  <c r="K496" i="2"/>
  <c r="K492" i="2"/>
  <c r="H492" i="2"/>
  <c r="H498" i="2"/>
  <c r="I498" i="2"/>
  <c r="H502" i="2"/>
  <c r="I502" i="2"/>
  <c r="H494" i="2"/>
  <c r="I494" i="2"/>
  <c r="H501" i="2"/>
  <c r="I501" i="2"/>
  <c r="H495" i="2"/>
  <c r="I495" i="2"/>
  <c r="H499" i="2"/>
  <c r="I499" i="2"/>
  <c r="H496" i="2"/>
  <c r="I496" i="2"/>
  <c r="H500" i="2"/>
  <c r="I500" i="2"/>
  <c r="H497" i="2"/>
  <c r="I497" i="2"/>
  <c r="B161" i="1"/>
  <c r="F515" i="2"/>
  <c r="A516" i="2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C508" i="2"/>
  <c r="L508" i="2" s="1"/>
  <c r="C507" i="2"/>
  <c r="L507" i="2" s="1"/>
  <c r="C506" i="2"/>
  <c r="L506" i="2" s="1"/>
  <c r="C505" i="2"/>
  <c r="L505" i="2" s="1"/>
  <c r="C513" i="2"/>
  <c r="L513" i="2" s="1"/>
  <c r="C509" i="2"/>
  <c r="L509" i="2" s="1"/>
  <c r="C512" i="2"/>
  <c r="L512" i="2" s="1"/>
  <c r="C511" i="2"/>
  <c r="L511" i="2" s="1"/>
  <c r="C510" i="2"/>
  <c r="L510" i="2" s="1"/>
  <c r="I503" i="2" l="1"/>
  <c r="H503" i="2"/>
  <c r="L514" i="2"/>
  <c r="J503" i="2"/>
  <c r="J509" i="2"/>
  <c r="K509" i="2"/>
  <c r="J507" i="2"/>
  <c r="K507" i="2"/>
  <c r="K503" i="2"/>
  <c r="J511" i="2"/>
  <c r="K511" i="2"/>
  <c r="J505" i="2"/>
  <c r="K505" i="2"/>
  <c r="J510" i="2"/>
  <c r="K510" i="2"/>
  <c r="J513" i="2"/>
  <c r="K513" i="2"/>
  <c r="J508" i="2"/>
  <c r="K508" i="2"/>
  <c r="J512" i="2"/>
  <c r="K512" i="2"/>
  <c r="J506" i="2"/>
  <c r="K506" i="2"/>
  <c r="H509" i="2"/>
  <c r="I509" i="2"/>
  <c r="H507" i="2"/>
  <c r="I507" i="2"/>
  <c r="H512" i="2"/>
  <c r="I512" i="2"/>
  <c r="H506" i="2"/>
  <c r="I506" i="2"/>
  <c r="H510" i="2"/>
  <c r="I510" i="2"/>
  <c r="H513" i="2"/>
  <c r="I513" i="2"/>
  <c r="H508" i="2"/>
  <c r="I508" i="2"/>
  <c r="H511" i="2"/>
  <c r="I511" i="2"/>
  <c r="H505" i="2"/>
  <c r="I505" i="2"/>
  <c r="B162" i="1"/>
  <c r="F526" i="2"/>
  <c r="A527" i="2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C517" i="2"/>
  <c r="L517" i="2" s="1"/>
  <c r="C524" i="2"/>
  <c r="L524" i="2" s="1"/>
  <c r="C516" i="2"/>
  <c r="L516" i="2" s="1"/>
  <c r="C523" i="2"/>
  <c r="L523" i="2" s="1"/>
  <c r="C522" i="2"/>
  <c r="L522" i="2" s="1"/>
  <c r="C521" i="2"/>
  <c r="L521" i="2" s="1"/>
  <c r="C520" i="2"/>
  <c r="L520" i="2" s="1"/>
  <c r="C519" i="2"/>
  <c r="L519" i="2" s="1"/>
  <c r="C518" i="2"/>
  <c r="L518" i="2" s="1"/>
  <c r="J514" i="2" l="1"/>
  <c r="K514" i="2"/>
  <c r="L525" i="2"/>
  <c r="J520" i="2"/>
  <c r="K520" i="2"/>
  <c r="J516" i="2"/>
  <c r="K516" i="2"/>
  <c r="J518" i="2"/>
  <c r="K518" i="2"/>
  <c r="J522" i="2"/>
  <c r="K522" i="2"/>
  <c r="J517" i="2"/>
  <c r="K517" i="2"/>
  <c r="J521" i="2"/>
  <c r="K521" i="2"/>
  <c r="J524" i="2"/>
  <c r="K524" i="2"/>
  <c r="J519" i="2"/>
  <c r="K519" i="2"/>
  <c r="J523" i="2"/>
  <c r="K523" i="2"/>
  <c r="H514" i="2"/>
  <c r="H521" i="2"/>
  <c r="I521" i="2"/>
  <c r="H524" i="2"/>
  <c r="I524" i="2"/>
  <c r="H520" i="2"/>
  <c r="I520" i="2"/>
  <c r="H516" i="2"/>
  <c r="I516" i="2"/>
  <c r="H518" i="2"/>
  <c r="I518" i="2"/>
  <c r="H522" i="2"/>
  <c r="I522" i="2"/>
  <c r="H517" i="2"/>
  <c r="I517" i="2"/>
  <c r="H519" i="2"/>
  <c r="I519" i="2"/>
  <c r="H523" i="2"/>
  <c r="I523" i="2"/>
  <c r="I514" i="2"/>
  <c r="B163" i="1"/>
  <c r="F537" i="2"/>
  <c r="A538" i="2"/>
  <c r="A539" i="2" s="1"/>
  <c r="A540" i="2" s="1"/>
  <c r="A541" i="2" s="1"/>
  <c r="A542" i="2" s="1"/>
  <c r="A543" i="2" s="1"/>
  <c r="A544" i="2" s="1"/>
  <c r="A545" i="2" s="1"/>
  <c r="A546" i="2" s="1"/>
  <c r="A547" i="2" s="1"/>
  <c r="C528" i="2"/>
  <c r="L528" i="2" s="1"/>
  <c r="C535" i="2"/>
  <c r="L535" i="2" s="1"/>
  <c r="C534" i="2"/>
  <c r="L534" i="2" s="1"/>
  <c r="C527" i="2"/>
  <c r="L527" i="2" s="1"/>
  <c r="C533" i="2"/>
  <c r="L533" i="2" s="1"/>
  <c r="C529" i="2"/>
  <c r="L529" i="2" s="1"/>
  <c r="C532" i="2"/>
  <c r="L532" i="2" s="1"/>
  <c r="C531" i="2"/>
  <c r="L531" i="2" s="1"/>
  <c r="C530" i="2"/>
  <c r="L530" i="2" s="1"/>
  <c r="J525" i="2" l="1"/>
  <c r="L536" i="2"/>
  <c r="K525" i="2"/>
  <c r="J529" i="2"/>
  <c r="K529" i="2"/>
  <c r="J535" i="2"/>
  <c r="K535" i="2"/>
  <c r="J532" i="2"/>
  <c r="K532" i="2"/>
  <c r="J534" i="2"/>
  <c r="K534" i="2"/>
  <c r="J533" i="2"/>
  <c r="K533" i="2"/>
  <c r="J528" i="2"/>
  <c r="K528" i="2"/>
  <c r="J530" i="2"/>
  <c r="K530" i="2"/>
  <c r="J531" i="2"/>
  <c r="K531" i="2"/>
  <c r="J527" i="2"/>
  <c r="K527" i="2"/>
  <c r="H525" i="2"/>
  <c r="H530" i="2"/>
  <c r="I530" i="2"/>
  <c r="H533" i="2"/>
  <c r="I533" i="2"/>
  <c r="H528" i="2"/>
  <c r="I528" i="2"/>
  <c r="H531" i="2"/>
  <c r="I531" i="2"/>
  <c r="H527" i="2"/>
  <c r="I527" i="2"/>
  <c r="H532" i="2"/>
  <c r="I532" i="2"/>
  <c r="H534" i="2"/>
  <c r="I534" i="2"/>
  <c r="I525" i="2"/>
  <c r="H529" i="2"/>
  <c r="I529" i="2"/>
  <c r="H535" i="2"/>
  <c r="I535" i="2"/>
  <c r="B164" i="1"/>
  <c r="C546" i="2"/>
  <c r="L546" i="2" s="1"/>
  <c r="C545" i="2"/>
  <c r="L545" i="2" s="1"/>
  <c r="C544" i="2"/>
  <c r="L544" i="2" s="1"/>
  <c r="C543" i="2"/>
  <c r="L543" i="2" s="1"/>
  <c r="C542" i="2"/>
  <c r="L542" i="2" s="1"/>
  <c r="C541" i="2"/>
  <c r="L541" i="2" s="1"/>
  <c r="C540" i="2"/>
  <c r="L540" i="2" s="1"/>
  <c r="C539" i="2"/>
  <c r="L539" i="2" s="1"/>
  <c r="C538" i="2"/>
  <c r="L538" i="2" s="1"/>
  <c r="L547" i="2" l="1"/>
  <c r="K536" i="2"/>
  <c r="J536" i="2"/>
  <c r="L558" i="2"/>
  <c r="L554" i="2"/>
  <c r="L556" i="2"/>
  <c r="L553" i="2"/>
  <c r="L552" i="2"/>
  <c r="L551" i="2"/>
  <c r="M551" i="2" s="1"/>
  <c r="L550" i="2"/>
  <c r="L555" i="2"/>
  <c r="L557" i="2"/>
  <c r="J539" i="2"/>
  <c r="K539" i="2"/>
  <c r="J543" i="2"/>
  <c r="K543" i="2"/>
  <c r="J538" i="2"/>
  <c r="K538" i="2"/>
  <c r="J542" i="2"/>
  <c r="K542" i="2"/>
  <c r="J546" i="2"/>
  <c r="K546" i="2"/>
  <c r="J540" i="2"/>
  <c r="K540" i="2"/>
  <c r="J544" i="2"/>
  <c r="K544" i="2"/>
  <c r="J541" i="2"/>
  <c r="K541" i="2"/>
  <c r="J545" i="2"/>
  <c r="K545" i="2"/>
  <c r="H536" i="2"/>
  <c r="H540" i="2"/>
  <c r="I540" i="2"/>
  <c r="H544" i="2"/>
  <c r="I544" i="2"/>
  <c r="H539" i="2"/>
  <c r="I539" i="2"/>
  <c r="H543" i="2"/>
  <c r="I543" i="2"/>
  <c r="H541" i="2"/>
  <c r="I541" i="2"/>
  <c r="H545" i="2"/>
  <c r="I545" i="2"/>
  <c r="H538" i="2"/>
  <c r="I538" i="2"/>
  <c r="H542" i="2"/>
  <c r="I542" i="2"/>
  <c r="H546" i="2"/>
  <c r="I546" i="2"/>
  <c r="I536" i="2"/>
  <c r="B165" i="1"/>
  <c r="G66" i="2"/>
  <c r="G264" i="2"/>
  <c r="G110" i="2"/>
  <c r="G88" i="2"/>
  <c r="G407" i="2"/>
  <c r="G451" i="2"/>
  <c r="G352" i="2"/>
  <c r="G330" i="2"/>
  <c r="G209" i="2"/>
  <c r="G11" i="2"/>
  <c r="G198" i="2"/>
  <c r="G242" i="2"/>
  <c r="G132" i="2"/>
  <c r="G77" i="2"/>
  <c r="G253" i="2"/>
  <c r="G143" i="2"/>
  <c r="G385" i="2"/>
  <c r="G187" i="2"/>
  <c r="G121" i="2"/>
  <c r="G319" i="2"/>
  <c r="G55" i="2"/>
  <c r="G275" i="2"/>
  <c r="G67" i="2"/>
  <c r="M67" i="2" s="1"/>
  <c r="G331" i="2"/>
  <c r="G364" i="2"/>
  <c r="G122" i="2"/>
  <c r="M122" i="2" s="1"/>
  <c r="G78" i="2"/>
  <c r="M78" i="2" s="1"/>
  <c r="G243" i="2"/>
  <c r="G100" i="2"/>
  <c r="M100" i="2" s="1"/>
  <c r="G540" i="2"/>
  <c r="G210" i="2"/>
  <c r="G155" i="2"/>
  <c r="G452" i="2"/>
  <c r="G45" i="2"/>
  <c r="M45" i="2" s="1"/>
  <c r="G89" i="2"/>
  <c r="M89" i="2" s="1"/>
  <c r="G56" i="2"/>
  <c r="M56" i="2" s="1"/>
  <c r="G23" i="2"/>
  <c r="M23" i="2" s="1"/>
  <c r="G496" i="2"/>
  <c r="G375" i="2"/>
  <c r="G353" i="2"/>
  <c r="G408" i="2"/>
  <c r="G34" i="2"/>
  <c r="M34" i="2" s="1"/>
  <c r="G188" i="2"/>
  <c r="G430" i="2"/>
  <c r="G309" i="2"/>
  <c r="G441" i="2"/>
  <c r="G386" i="2"/>
  <c r="G144" i="2"/>
  <c r="G177" i="2"/>
  <c r="G254" i="2"/>
  <c r="G199" i="2"/>
  <c r="G485" i="2"/>
  <c r="G320" i="2"/>
  <c r="G298" i="2"/>
  <c r="G287" i="2"/>
  <c r="G133" i="2"/>
  <c r="G12" i="2"/>
  <c r="M12" i="2" s="1"/>
  <c r="G232" i="2"/>
  <c r="G166" i="2"/>
  <c r="G419" i="2"/>
  <c r="G342" i="2"/>
  <c r="G397" i="2"/>
  <c r="G463" i="2"/>
  <c r="G518" i="2"/>
  <c r="G265" i="2"/>
  <c r="G221" i="2"/>
  <c r="G276" i="2"/>
  <c r="G529" i="2"/>
  <c r="G474" i="2"/>
  <c r="G507" i="2"/>
  <c r="G111" i="2"/>
  <c r="M111" i="2" s="1"/>
  <c r="G453" i="2"/>
  <c r="G310" i="2"/>
  <c r="G288" i="2"/>
  <c r="G35" i="2"/>
  <c r="M35" i="2" s="1"/>
  <c r="G431" i="2"/>
  <c r="G464" i="2"/>
  <c r="G167" i="2"/>
  <c r="G299" i="2"/>
  <c r="G134" i="2"/>
  <c r="G332" i="2"/>
  <c r="G486" i="2"/>
  <c r="G233" i="2"/>
  <c r="G508" i="2"/>
  <c r="G101" i="2"/>
  <c r="M101" i="2" s="1"/>
  <c r="G46" i="2"/>
  <c r="M46" i="2" s="1"/>
  <c r="G244" i="2"/>
  <c r="G398" i="2"/>
  <c r="G530" i="2"/>
  <c r="G475" i="2"/>
  <c r="G112" i="2"/>
  <c r="M112" i="2" s="1"/>
  <c r="G442" i="2"/>
  <c r="G255" i="2"/>
  <c r="G420" i="2"/>
  <c r="G354" i="2"/>
  <c r="G277" i="2"/>
  <c r="G376" i="2"/>
  <c r="G409" i="2"/>
  <c r="G145" i="2"/>
  <c r="G68" i="2"/>
  <c r="M68" i="2" s="1"/>
  <c r="G497" i="2"/>
  <c r="G178" i="2"/>
  <c r="G343" i="2"/>
  <c r="G266" i="2"/>
  <c r="G123" i="2"/>
  <c r="M123" i="2" s="1"/>
  <c r="G541" i="2"/>
  <c r="G222" i="2"/>
  <c r="G200" i="2"/>
  <c r="G13" i="2"/>
  <c r="M13" i="2" s="1"/>
  <c r="G57" i="2"/>
  <c r="M57" i="2" s="1"/>
  <c r="G387" i="2"/>
  <c r="G156" i="2"/>
  <c r="G321" i="2"/>
  <c r="G79" i="2"/>
  <c r="M79" i="2" s="1"/>
  <c r="G519" i="2"/>
  <c r="G189" i="2"/>
  <c r="G365" i="2"/>
  <c r="G211" i="2"/>
  <c r="G24" i="2"/>
  <c r="M24" i="2" s="1"/>
  <c r="G90" i="2"/>
  <c r="M90" i="2" s="1"/>
  <c r="G124" i="2"/>
  <c r="M124" i="2" s="1"/>
  <c r="G47" i="2"/>
  <c r="M47" i="2" s="1"/>
  <c r="G311" i="2"/>
  <c r="G267" i="2"/>
  <c r="G399" i="2"/>
  <c r="G443" i="2"/>
  <c r="G157" i="2"/>
  <c r="G36" i="2"/>
  <c r="M36" i="2" s="1"/>
  <c r="G91" i="2"/>
  <c r="M91" i="2" s="1"/>
  <c r="G190" i="2"/>
  <c r="G421" i="2"/>
  <c r="G245" i="2"/>
  <c r="G58" i="2"/>
  <c r="M58" i="2" s="1"/>
  <c r="G14" i="2"/>
  <c r="G168" i="2"/>
  <c r="G322" i="2"/>
  <c r="G498" i="2"/>
  <c r="G476" i="2"/>
  <c r="G300" i="2"/>
  <c r="G212" i="2"/>
  <c r="G102" i="2"/>
  <c r="M102" i="2" s="1"/>
  <c r="G223" i="2"/>
  <c r="G377" i="2"/>
  <c r="G355" i="2"/>
  <c r="G344" i="2"/>
  <c r="G542" i="2"/>
  <c r="G487" i="2"/>
  <c r="G201" i="2"/>
  <c r="G289" i="2"/>
  <c r="G366" i="2"/>
  <c r="G69" i="2"/>
  <c r="M69" i="2" s="1"/>
  <c r="G25" i="2"/>
  <c r="M25" i="2" s="1"/>
  <c r="G465" i="2"/>
  <c r="G135" i="2"/>
  <c r="G520" i="2"/>
  <c r="G531" i="2"/>
  <c r="G278" i="2"/>
  <c r="G333" i="2"/>
  <c r="G388" i="2"/>
  <c r="G146" i="2"/>
  <c r="G179" i="2"/>
  <c r="G234" i="2"/>
  <c r="G113" i="2"/>
  <c r="M113" i="2" s="1"/>
  <c r="G410" i="2"/>
  <c r="G256" i="2"/>
  <c r="G80" i="2"/>
  <c r="M80" i="2" s="1"/>
  <c r="G509" i="2"/>
  <c r="G454" i="2"/>
  <c r="G432" i="2"/>
  <c r="G70" i="2"/>
  <c r="M70" i="2" s="1"/>
  <c r="G279" i="2"/>
  <c r="G125" i="2"/>
  <c r="M125" i="2" s="1"/>
  <c r="G301" i="2"/>
  <c r="G334" i="2"/>
  <c r="G477" i="2"/>
  <c r="G323" i="2"/>
  <c r="G48" i="2"/>
  <c r="M48" i="2" s="1"/>
  <c r="G290" i="2"/>
  <c r="G147" i="2"/>
  <c r="G433" i="2"/>
  <c r="G378" i="2"/>
  <c r="G191" i="2"/>
  <c r="G92" i="2"/>
  <c r="M92" i="2" s="1"/>
  <c r="G169" i="2"/>
  <c r="G521" i="2"/>
  <c r="G444" i="2"/>
  <c r="G15" i="2"/>
  <c r="M15" i="2" s="1"/>
  <c r="G400" i="2"/>
  <c r="G81" i="2"/>
  <c r="M81" i="2" s="1"/>
  <c r="G224" i="2"/>
  <c r="G202" i="2"/>
  <c r="G532" i="2"/>
  <c r="G103" i="2"/>
  <c r="M103" i="2" s="1"/>
  <c r="G37" i="2"/>
  <c r="M37" i="2" s="1"/>
  <c r="G356" i="2"/>
  <c r="G543" i="2"/>
  <c r="G510" i="2"/>
  <c r="G367" i="2"/>
  <c r="G235" i="2"/>
  <c r="G59" i="2"/>
  <c r="M59" i="2" s="1"/>
  <c r="G26" i="2"/>
  <c r="M26" i="2" s="1"/>
  <c r="G422" i="2"/>
  <c r="G499" i="2"/>
  <c r="G455" i="2"/>
  <c r="G246" i="2"/>
  <c r="G345" i="2"/>
  <c r="G158" i="2"/>
  <c r="G312" i="2"/>
  <c r="G180" i="2"/>
  <c r="G213" i="2"/>
  <c r="G114" i="2"/>
  <c r="M114" i="2" s="1"/>
  <c r="G257" i="2"/>
  <c r="G488" i="2"/>
  <c r="G268" i="2"/>
  <c r="G411" i="2"/>
  <c r="G136" i="2"/>
  <c r="G389" i="2"/>
  <c r="G466" i="2"/>
  <c r="G423" i="2"/>
  <c r="G269" i="2"/>
  <c r="G544" i="2"/>
  <c r="G16" i="2"/>
  <c r="M16" i="2" s="1"/>
  <c r="G379" i="2"/>
  <c r="G192" i="2"/>
  <c r="G258" i="2"/>
  <c r="G401" i="2"/>
  <c r="G82" i="2"/>
  <c r="M82" i="2" s="1"/>
  <c r="G357" i="2"/>
  <c r="G291" i="2"/>
  <c r="G214" i="2"/>
  <c r="G71" i="2"/>
  <c r="M71" i="2" s="1"/>
  <c r="G522" i="2"/>
  <c r="G313" i="2"/>
  <c r="G500" i="2"/>
  <c r="G115" i="2"/>
  <c r="M115" i="2" s="1"/>
  <c r="G148" i="2"/>
  <c r="G27" i="2"/>
  <c r="M27" i="2" s="1"/>
  <c r="G434" i="2"/>
  <c r="G489" i="2"/>
  <c r="G335" i="2"/>
  <c r="G104" i="2"/>
  <c r="M104" i="2" s="1"/>
  <c r="G478" i="2"/>
  <c r="G159" i="2"/>
  <c r="G225" i="2"/>
  <c r="G368" i="2"/>
  <c r="G390" i="2"/>
  <c r="G280" i="2"/>
  <c r="G126" i="2"/>
  <c r="M126" i="2" s="1"/>
  <c r="G203" i="2"/>
  <c r="G93" i="2"/>
  <c r="M93" i="2" s="1"/>
  <c r="G412" i="2"/>
  <c r="G181" i="2"/>
  <c r="G170" i="2"/>
  <c r="G236" i="2"/>
  <c r="G60" i="2"/>
  <c r="M60" i="2" s="1"/>
  <c r="G38" i="2"/>
  <c r="M38" i="2" s="1"/>
  <c r="G533" i="2"/>
  <c r="G137" i="2"/>
  <c r="G456" i="2"/>
  <c r="G511" i="2"/>
  <c r="G346" i="2"/>
  <c r="G467" i="2"/>
  <c r="G302" i="2"/>
  <c r="G445" i="2"/>
  <c r="G247" i="2"/>
  <c r="G324" i="2"/>
  <c r="G49" i="2"/>
  <c r="M49" i="2" s="1"/>
  <c r="G336" i="2"/>
  <c r="G391" i="2"/>
  <c r="G292" i="2"/>
  <c r="G83" i="2"/>
  <c r="M83" i="2" s="1"/>
  <c r="G413" i="2"/>
  <c r="G61" i="2"/>
  <c r="M61" i="2" s="1"/>
  <c r="G50" i="2"/>
  <c r="M50" i="2" s="1"/>
  <c r="G237" i="2"/>
  <c r="G479" i="2"/>
  <c r="G182" i="2"/>
  <c r="G204" i="2"/>
  <c r="G512" i="2"/>
  <c r="G149" i="2"/>
  <c r="G270" i="2"/>
  <c r="G39" i="2"/>
  <c r="M39" i="2" s="1"/>
  <c r="G424" i="2"/>
  <c r="G358" i="2"/>
  <c r="G28" i="2"/>
  <c r="M28" i="2" s="1"/>
  <c r="G94" i="2"/>
  <c r="M94" i="2" s="1"/>
  <c r="G281" i="2"/>
  <c r="G402" i="2"/>
  <c r="G435" i="2"/>
  <c r="G314" i="2"/>
  <c r="G116" i="2"/>
  <c r="M116" i="2" s="1"/>
  <c r="G380" i="2"/>
  <c r="G303" i="2"/>
  <c r="G17" i="2"/>
  <c r="M17" i="2" s="1"/>
  <c r="G523" i="2"/>
  <c r="G347" i="2"/>
  <c r="G138" i="2"/>
  <c r="G259" i="2"/>
  <c r="G446" i="2"/>
  <c r="G160" i="2"/>
  <c r="G171" i="2"/>
  <c r="G248" i="2"/>
  <c r="G215" i="2"/>
  <c r="G501" i="2"/>
  <c r="G457" i="2"/>
  <c r="G325" i="2"/>
  <c r="G369" i="2"/>
  <c r="G226" i="2"/>
  <c r="G545" i="2"/>
  <c r="G127" i="2"/>
  <c r="M127" i="2" s="1"/>
  <c r="G193" i="2"/>
  <c r="G468" i="2"/>
  <c r="G534" i="2"/>
  <c r="G490" i="2"/>
  <c r="G72" i="2"/>
  <c r="M72" i="2" s="1"/>
  <c r="G105" i="2"/>
  <c r="M105" i="2" s="1"/>
  <c r="G436" i="2"/>
  <c r="G293" i="2"/>
  <c r="G238" i="2"/>
  <c r="G524" i="2"/>
  <c r="G95" i="2"/>
  <c r="M95" i="2" s="1"/>
  <c r="G414" i="2"/>
  <c r="G216" i="2"/>
  <c r="G194" i="2"/>
  <c r="G40" i="2"/>
  <c r="M40" i="2" s="1"/>
  <c r="G282" i="2"/>
  <c r="G513" i="2"/>
  <c r="G271" i="2"/>
  <c r="G304" i="2"/>
  <c r="G403" i="2"/>
  <c r="G128" i="2"/>
  <c r="M128" i="2" s="1"/>
  <c r="G205" i="2"/>
  <c r="G392" i="2"/>
  <c r="G359" i="2"/>
  <c r="G117" i="2"/>
  <c r="M117" i="2" s="1"/>
  <c r="G172" i="2"/>
  <c r="G447" i="2"/>
  <c r="G458" i="2"/>
  <c r="G469" i="2"/>
  <c r="G260" i="2"/>
  <c r="G73" i="2"/>
  <c r="M73" i="2" s="1"/>
  <c r="G326" i="2"/>
  <c r="G425" i="2"/>
  <c r="G480" i="2"/>
  <c r="G381" i="2"/>
  <c r="G370" i="2"/>
  <c r="G51" i="2"/>
  <c r="M51" i="2" s="1"/>
  <c r="G227" i="2"/>
  <c r="G491" i="2"/>
  <c r="G348" i="2"/>
  <c r="G150" i="2"/>
  <c r="G315" i="2"/>
  <c r="G62" i="2"/>
  <c r="M62" i="2" s="1"/>
  <c r="G29" i="2"/>
  <c r="M29" i="2" s="1"/>
  <c r="G106" i="2"/>
  <c r="M106" i="2" s="1"/>
  <c r="G84" i="2"/>
  <c r="M84" i="2" s="1"/>
  <c r="G337" i="2"/>
  <c r="G535" i="2"/>
  <c r="G546" i="2"/>
  <c r="G249" i="2"/>
  <c r="G139" i="2"/>
  <c r="G502" i="2"/>
  <c r="G183" i="2"/>
  <c r="G161" i="2"/>
  <c r="G109" i="2"/>
  <c r="M109" i="2" s="1"/>
  <c r="G318" i="2"/>
  <c r="G439" i="2"/>
  <c r="G505" i="2"/>
  <c r="G406" i="2"/>
  <c r="G428" i="2"/>
  <c r="G516" i="2"/>
  <c r="G373" i="2"/>
  <c r="G186" i="2"/>
  <c r="G329" i="2"/>
  <c r="G10" i="2"/>
  <c r="M10" i="2" s="1"/>
  <c r="G153" i="2"/>
  <c r="G208" i="2"/>
  <c r="G461" i="2"/>
  <c r="G274" i="2"/>
  <c r="G483" i="2"/>
  <c r="G538" i="2"/>
  <c r="G285" i="2"/>
  <c r="G87" i="2"/>
  <c r="M87" i="2" s="1"/>
  <c r="G98" i="2"/>
  <c r="M98" i="2" s="1"/>
  <c r="G241" i="2"/>
  <c r="G230" i="2"/>
  <c r="G43" i="2"/>
  <c r="M43" i="2" s="1"/>
  <c r="G263" i="2"/>
  <c r="G175" i="2"/>
  <c r="G32" i="2"/>
  <c r="M32" i="2" s="1"/>
  <c r="G54" i="2"/>
  <c r="M54" i="2" s="1"/>
  <c r="G131" i="2"/>
  <c r="G164" i="2"/>
  <c r="G340" i="2"/>
  <c r="G450" i="2"/>
  <c r="G351" i="2"/>
  <c r="G65" i="2"/>
  <c r="M65" i="2" s="1"/>
  <c r="G142" i="2"/>
  <c r="G76" i="2"/>
  <c r="M76" i="2" s="1"/>
  <c r="G307" i="2"/>
  <c r="G252" i="2"/>
  <c r="G362" i="2"/>
  <c r="G417" i="2"/>
  <c r="G494" i="2"/>
  <c r="G472" i="2"/>
  <c r="G219" i="2"/>
  <c r="G384" i="2"/>
  <c r="G197" i="2"/>
  <c r="G395" i="2"/>
  <c r="G120" i="2"/>
  <c r="M120" i="2" s="1"/>
  <c r="G21" i="2"/>
  <c r="M21" i="2" s="1"/>
  <c r="G527" i="2"/>
  <c r="G296" i="2"/>
  <c r="G44" i="2"/>
  <c r="G429" i="2"/>
  <c r="G308" i="2"/>
  <c r="G462" i="2"/>
  <c r="G33" i="2"/>
  <c r="G396" i="2"/>
  <c r="G484" i="2"/>
  <c r="G506" i="2"/>
  <c r="G99" i="2"/>
  <c r="G528" i="2"/>
  <c r="G440" i="2"/>
  <c r="G286" i="2"/>
  <c r="G539" i="2"/>
  <c r="G495" i="2"/>
  <c r="G517" i="2"/>
  <c r="G176" i="2"/>
  <c r="G154" i="2"/>
  <c r="G22" i="2"/>
  <c r="G418" i="2"/>
  <c r="G341" i="2"/>
  <c r="G220" i="2"/>
  <c r="G473" i="2"/>
  <c r="G363" i="2"/>
  <c r="G231" i="2"/>
  <c r="G165" i="2"/>
  <c r="G374" i="2"/>
  <c r="G297" i="2"/>
  <c r="K547" i="2" l="1"/>
  <c r="J547" i="2"/>
  <c r="L559" i="2"/>
  <c r="O128" i="2"/>
  <c r="O120" i="2"/>
  <c r="O127" i="2"/>
  <c r="O122" i="2"/>
  <c r="O124" i="2"/>
  <c r="O123" i="2"/>
  <c r="O126" i="2"/>
  <c r="O125" i="2"/>
  <c r="O117" i="2"/>
  <c r="O116" i="2"/>
  <c r="O115" i="2"/>
  <c r="O114" i="2"/>
  <c r="O113" i="2"/>
  <c r="O112" i="2"/>
  <c r="O111" i="2"/>
  <c r="O109" i="2"/>
  <c r="O106" i="2"/>
  <c r="O104" i="2"/>
  <c r="O103" i="2"/>
  <c r="O102" i="2"/>
  <c r="O101" i="2"/>
  <c r="O100" i="2"/>
  <c r="O98" i="2"/>
  <c r="O105" i="2"/>
  <c r="O92" i="2"/>
  <c r="O89" i="2"/>
  <c r="O87" i="2"/>
  <c r="O94" i="2"/>
  <c r="O93" i="2"/>
  <c r="O95" i="2"/>
  <c r="O91" i="2"/>
  <c r="O90" i="2"/>
  <c r="O76" i="2"/>
  <c r="O83" i="2"/>
  <c r="O82" i="2"/>
  <c r="O78" i="2"/>
  <c r="O80" i="2"/>
  <c r="O79" i="2"/>
  <c r="O81" i="2"/>
  <c r="O84" i="2"/>
  <c r="O72" i="2"/>
  <c r="O71" i="2"/>
  <c r="O69" i="2"/>
  <c r="O67" i="2"/>
  <c r="O70" i="2"/>
  <c r="O65" i="2"/>
  <c r="O73" i="2"/>
  <c r="O68" i="2"/>
  <c r="O54" i="2"/>
  <c r="O60" i="2"/>
  <c r="O57" i="2"/>
  <c r="O62" i="2"/>
  <c r="O61" i="2"/>
  <c r="O58" i="2"/>
  <c r="O59" i="2"/>
  <c r="O56" i="2"/>
  <c r="O43" i="2"/>
  <c r="O51" i="2"/>
  <c r="O49" i="2"/>
  <c r="O50" i="2"/>
  <c r="O47" i="2"/>
  <c r="O46" i="2"/>
  <c r="O45" i="2"/>
  <c r="O48" i="2"/>
  <c r="O35" i="2"/>
  <c r="O39" i="2"/>
  <c r="O37" i="2"/>
  <c r="O34" i="2"/>
  <c r="O40" i="2"/>
  <c r="O32" i="2"/>
  <c r="O38" i="2"/>
  <c r="O36" i="2"/>
  <c r="O24" i="2"/>
  <c r="O29" i="2"/>
  <c r="O21" i="2"/>
  <c r="O28" i="2"/>
  <c r="O27" i="2"/>
  <c r="O26" i="2"/>
  <c r="O23" i="2"/>
  <c r="O25" i="2"/>
  <c r="O16" i="2"/>
  <c r="O15" i="2"/>
  <c r="O17" i="2"/>
  <c r="O13" i="2"/>
  <c r="O12" i="2"/>
  <c r="O10" i="2"/>
  <c r="I547" i="2"/>
  <c r="H547" i="2"/>
  <c r="B166" i="1"/>
  <c r="G283" i="2"/>
  <c r="G41" i="2"/>
  <c r="M41" i="2" s="1"/>
  <c r="G107" i="2"/>
  <c r="M107" i="2" s="1"/>
  <c r="G129" i="2"/>
  <c r="M129" i="2" s="1"/>
  <c r="G503" i="2"/>
  <c r="G382" i="2"/>
  <c r="G555" i="2"/>
  <c r="G393" i="2"/>
  <c r="G371" i="2"/>
  <c r="G327" i="2"/>
  <c r="G140" i="2"/>
  <c r="G470" i="2"/>
  <c r="G272" i="2"/>
  <c r="G481" i="2"/>
  <c r="G85" i="2"/>
  <c r="M85" i="2" s="1"/>
  <c r="G338" i="2"/>
  <c r="G305" i="2"/>
  <c r="G448" i="2"/>
  <c r="G74" i="2"/>
  <c r="M74" i="2" s="1"/>
  <c r="G547" i="2"/>
  <c r="G118" i="2"/>
  <c r="M118" i="2" s="1"/>
  <c r="G294" i="2"/>
  <c r="G195" i="2"/>
  <c r="G316" i="2"/>
  <c r="G151" i="2"/>
  <c r="G492" i="2"/>
  <c r="G261" i="2"/>
  <c r="G52" i="2"/>
  <c r="M52" i="2" s="1"/>
  <c r="G426" i="2"/>
  <c r="G217" i="2"/>
  <c r="G239" i="2"/>
  <c r="G437" i="2"/>
  <c r="G228" i="2"/>
  <c r="G404" i="2"/>
  <c r="G514" i="2"/>
  <c r="G63" i="2"/>
  <c r="M63" i="2" s="1"/>
  <c r="G554" i="2"/>
  <c r="G553" i="2"/>
  <c r="G551" i="2"/>
  <c r="G536" i="2"/>
  <c r="G250" i="2"/>
  <c r="G349" i="2"/>
  <c r="G96" i="2"/>
  <c r="M96" i="2" s="1"/>
  <c r="G184" i="2"/>
  <c r="G206" i="2"/>
  <c r="G459" i="2"/>
  <c r="G173" i="2"/>
  <c r="G525" i="2"/>
  <c r="G415" i="2"/>
  <c r="G556" i="2"/>
  <c r="G552" i="2"/>
  <c r="G550" i="2"/>
  <c r="G558" i="2"/>
  <c r="G19" i="2"/>
  <c r="G557" i="2"/>
  <c r="G30" i="2"/>
  <c r="M30" i="2" s="1"/>
  <c r="G360" i="2"/>
  <c r="G162" i="2"/>
  <c r="O129" i="2" l="1"/>
  <c r="O118" i="2"/>
  <c r="O74" i="2"/>
  <c r="O63" i="2"/>
  <c r="O52" i="2"/>
  <c r="O41" i="2"/>
  <c r="O30" i="2"/>
  <c r="B167" i="1"/>
  <c r="G559" i="2"/>
  <c r="B168" i="1" l="1"/>
  <c r="C13" i="32"/>
  <c r="C14" i="32" s="1"/>
  <c r="C16" i="32"/>
  <c r="B169" i="1" l="1"/>
  <c r="C18" i="32"/>
  <c r="C19" i="32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K14" i="2" s="1"/>
  <c r="K554" i="2" l="1"/>
  <c r="K553" i="2"/>
  <c r="K555" i="2"/>
  <c r="K558" i="2"/>
  <c r="K551" i="2"/>
  <c r="K552" i="2"/>
  <c r="K550" i="2"/>
  <c r="K556" i="2"/>
  <c r="K557" i="2"/>
  <c r="J18" i="2"/>
  <c r="J14" i="2"/>
  <c r="H18" i="2"/>
  <c r="I18" i="2"/>
  <c r="I14" i="2"/>
  <c r="M14" i="2" l="1"/>
  <c r="H557" i="2"/>
  <c r="M18" i="2"/>
  <c r="O18" i="2" s="1"/>
  <c r="H556" i="2"/>
  <c r="H550" i="2"/>
  <c r="H552" i="2"/>
  <c r="H551" i="2"/>
  <c r="H553" i="2"/>
  <c r="H555" i="2"/>
  <c r="H554" i="2"/>
  <c r="K559" i="2"/>
  <c r="H558" i="2"/>
  <c r="J554" i="2"/>
  <c r="J553" i="2"/>
  <c r="J550" i="2"/>
  <c r="J552" i="2"/>
  <c r="J555" i="2"/>
  <c r="J551" i="2"/>
  <c r="F7" i="32" s="1"/>
  <c r="H7" i="32" s="1"/>
  <c r="J556" i="2"/>
  <c r="J557" i="2"/>
  <c r="O14" i="2"/>
  <c r="I556" i="2"/>
  <c r="I550" i="2"/>
  <c r="I552" i="2"/>
  <c r="I555" i="2"/>
  <c r="I551" i="2"/>
  <c r="I557" i="2"/>
  <c r="I553" i="2"/>
  <c r="J19" i="2"/>
  <c r="J558" i="2"/>
  <c r="H19" i="2"/>
  <c r="I554" i="2"/>
  <c r="I19" i="2"/>
  <c r="I558" i="2"/>
  <c r="H559" i="2" l="1"/>
  <c r="M19" i="2"/>
  <c r="O19" i="2" s="1"/>
  <c r="M555" i="2"/>
  <c r="M550" i="2"/>
  <c r="M558" i="2"/>
  <c r="O558" i="2" s="1"/>
  <c r="M553" i="2"/>
  <c r="O553" i="2" s="1"/>
  <c r="M556" i="2"/>
  <c r="O556" i="2" s="1"/>
  <c r="M554" i="2"/>
  <c r="O554" i="2" s="1"/>
  <c r="M552" i="2"/>
  <c r="F10" i="32" s="1"/>
  <c r="H10" i="32" s="1"/>
  <c r="M557" i="2"/>
  <c r="O557" i="2" s="1"/>
  <c r="O555" i="2"/>
  <c r="F8" i="32"/>
  <c r="H8" i="32" s="1"/>
  <c r="J559" i="2"/>
  <c r="I559" i="2"/>
  <c r="O552" i="2" l="1"/>
  <c r="O550" i="2"/>
  <c r="F11" i="32"/>
  <c r="H11" i="32" s="1"/>
  <c r="F13" i="32"/>
  <c r="H13" i="32" s="1"/>
  <c r="F16" i="32"/>
  <c r="H16" i="32" s="1"/>
  <c r="F12" i="32" l="1"/>
  <c r="F18" i="32" s="1"/>
  <c r="H18" i="32" s="1"/>
  <c r="F21" i="32"/>
  <c r="F14" i="32" l="1"/>
  <c r="F19" i="32" s="1"/>
  <c r="H19" i="32" s="1"/>
  <c r="H12" i="32"/>
  <c r="H14" i="32" l="1"/>
</calcChain>
</file>

<file path=xl/sharedStrings.xml><?xml version="1.0" encoding="utf-8"?>
<sst xmlns="http://schemas.openxmlformats.org/spreadsheetml/2006/main" count="5836" uniqueCount="519">
  <si>
    <t>EBITDAR Coverage</t>
  </si>
  <si>
    <t>PAY_PAT_DAYS - Total Payor Patient Days</t>
  </si>
  <si>
    <t>T_BAD_DEBT - Tenant Bad Debt Expense</t>
  </si>
  <si>
    <t>x</t>
  </si>
  <si>
    <t>T_REVENUES - Total Tenant Revenues</t>
  </si>
  <si>
    <t>T_OPEX - Tenant Operating Expenses</t>
  </si>
  <si>
    <t>T_EBITDARM - EBITDARM</t>
  </si>
  <si>
    <t>T_MGMT_FEE - Tenant Management Fee - Actual</t>
  </si>
  <si>
    <t>T_EBITDAR - EBITDAR</t>
  </si>
  <si>
    <t>A_BEDS_TOTAL - Total Available Beds</t>
  </si>
  <si>
    <t>Days in Month</t>
  </si>
  <si>
    <t>EBITDAR</t>
  </si>
  <si>
    <t>EBITDARM</t>
  </si>
  <si>
    <t>Maryville</t>
  </si>
  <si>
    <t>Ashland Healthcare</t>
  </si>
  <si>
    <t>Bellefontaine Gardens</t>
  </si>
  <si>
    <t>Current  River Nursing Center</t>
  </si>
  <si>
    <t>Dixon Nursing &amp; Rehab</t>
  </si>
  <si>
    <t>Forsyth Nursing &amp; Rehab</t>
  </si>
  <si>
    <t>Glenwood Healthcare</t>
  </si>
  <si>
    <t>Silex Community Care</t>
  </si>
  <si>
    <t>South Hampton Place</t>
  </si>
  <si>
    <t>Strafford Care Center</t>
  </si>
  <si>
    <t>Windsor Healthcare &amp; Rehab</t>
  </si>
  <si>
    <t>12 Month Summary of Revenue &amp; Expenses</t>
  </si>
  <si>
    <t>January</t>
  </si>
  <si>
    <t>February</t>
  </si>
  <si>
    <t>March</t>
  </si>
  <si>
    <t>April</t>
  </si>
  <si>
    <t>May</t>
  </si>
  <si>
    <t xml:space="preserve">June </t>
  </si>
  <si>
    <t xml:space="preserve">July </t>
  </si>
  <si>
    <t>August</t>
  </si>
  <si>
    <t>September</t>
  </si>
  <si>
    <t>October</t>
  </si>
  <si>
    <t>November</t>
  </si>
  <si>
    <t xml:space="preserve">December </t>
  </si>
  <si>
    <t>Year to Date</t>
  </si>
  <si>
    <t>Average Census</t>
  </si>
  <si>
    <t xml:space="preserve"> </t>
  </si>
  <si>
    <t>Patient Days:</t>
  </si>
  <si>
    <t xml:space="preserve">PRIVATE  </t>
  </si>
  <si>
    <t>PRIVATE INSURANCE</t>
  </si>
  <si>
    <t xml:space="preserve">MEDICAID  </t>
  </si>
  <si>
    <t>MEDICAID PENDING</t>
  </si>
  <si>
    <t>MEDICAID RESERVE</t>
  </si>
  <si>
    <t>MEDICARE</t>
  </si>
  <si>
    <t>HOSPICE</t>
  </si>
  <si>
    <t>DAYCARE</t>
  </si>
  <si>
    <t>APARTMENT</t>
  </si>
  <si>
    <t>RESIDENTIAL CARE</t>
  </si>
  <si>
    <t>VA</t>
  </si>
  <si>
    <t>RESPITE</t>
  </si>
  <si>
    <t xml:space="preserve">     Total Patient Days</t>
  </si>
  <si>
    <t/>
  </si>
  <si>
    <t>Revenues:</t>
  </si>
  <si>
    <t>ROUTINE SERVICES</t>
  </si>
  <si>
    <t>ANCILLARY SERVICES</t>
  </si>
  <si>
    <t>OTHER REVENUES</t>
  </si>
  <si>
    <t xml:space="preserve">     Total Revenues</t>
  </si>
  <si>
    <t>Expenses:</t>
  </si>
  <si>
    <t>PATIENT CARE</t>
  </si>
  <si>
    <t>DIETARY</t>
  </si>
  <si>
    <t>LAUNDRY SERVICES</t>
  </si>
  <si>
    <t>HOUSEKEEPING</t>
  </si>
  <si>
    <t>PLANT OPERATION</t>
  </si>
  <si>
    <t>ADMINISTRATION</t>
  </si>
  <si>
    <t>CAPITAL RELATED EXPENSES</t>
  </si>
  <si>
    <t xml:space="preserve">     Total Expenses</t>
  </si>
  <si>
    <t xml:space="preserve">     Net Income (Loss)</t>
  </si>
  <si>
    <t xml:space="preserve">12 Month Summary of Revenue </t>
  </si>
  <si>
    <t>Routine Services:</t>
  </si>
  <si>
    <t>3010 MEDICAID REVENUE</t>
  </si>
  <si>
    <t>3015 MEDICAID PENDING REVENUE</t>
  </si>
  <si>
    <t>3020 MEDICAID/M'CARE DAYS</t>
  </si>
  <si>
    <t>3025 MEDICAID/M'CARE PENDING</t>
  </si>
  <si>
    <t>3030 MEDICAID/M'CARE CON ALLOW</t>
  </si>
  <si>
    <t>3040 MEDICAID MEDICAL SUPPLY</t>
  </si>
  <si>
    <t>3045 MEDICAID MEDICAL SUPPLY CA</t>
  </si>
  <si>
    <t>3050 MEDICAID RESERVE REVENUE</t>
  </si>
  <si>
    <t>3060 ROOM RATE DIFFERENCE</t>
  </si>
  <si>
    <t>3080 MEDICAID ADJUSTMENTS</t>
  </si>
  <si>
    <t>3085 MEDICAID PRIOR YEAR</t>
  </si>
  <si>
    <t>3090 MEDICAID MISC CHARGES</t>
  </si>
  <si>
    <t>3095 MEDICAID SETTLEMENT</t>
  </si>
  <si>
    <t>3110 MEDICARE PART A REVENUE</t>
  </si>
  <si>
    <t>3115 MEDICARE PART A REVENUE C/A</t>
  </si>
  <si>
    <t>3141 MEDICARE PART A PT</t>
  </si>
  <si>
    <t>3142 MEDICARE PART A OT</t>
  </si>
  <si>
    <t>3143 MEDICARE PART A ST</t>
  </si>
  <si>
    <t>3145 MEDICARE PART A TUBE FEED</t>
  </si>
  <si>
    <t>3147 MEDICARE PART A PHARMACY</t>
  </si>
  <si>
    <t>3148 MEDICARE PART A MED SURG</t>
  </si>
  <si>
    <t>3149 MEDICARE PART A RT</t>
  </si>
  <si>
    <t>3150 MEDICARE PART A LAB</t>
  </si>
  <si>
    <t>3151 MEDICARE PART A X RAY</t>
  </si>
  <si>
    <t>3152 HOSPITAL CHARGES PART A</t>
  </si>
  <si>
    <t>3154 MEDICARE PART A AMBULANCE</t>
  </si>
  <si>
    <t>3155 C/A PASS THRU PAYMENT</t>
  </si>
  <si>
    <t>3160 MEDICARE PART A ANCILLARY C/A</t>
  </si>
  <si>
    <t>3180 MEDICARE PART A ADJUST</t>
  </si>
  <si>
    <t>3190 MEDICARE PART A 2% SEQUESTRATION</t>
  </si>
  <si>
    <t>3310 PRIVATE REVENUE</t>
  </si>
  <si>
    <t>3311 PRIVATE INSURANCE REVENUE</t>
  </si>
  <si>
    <t>3380 PRIVATE ADJUSTMENTS</t>
  </si>
  <si>
    <t>3388 PRIVATE MEDICAL SUPPLY</t>
  </si>
  <si>
    <t>3410 RESIDENTIAL REVENUE</t>
  </si>
  <si>
    <t>3450 RESIDENTIAL RESERVE REVENUE</t>
  </si>
  <si>
    <t>3480 RESIDENTIAL ADJUSTMENTS</t>
  </si>
  <si>
    <t>3490 RESIDENTIAL MISC CHARGES</t>
  </si>
  <si>
    <t>3500 PRIVATE APARTMENTS</t>
  </si>
  <si>
    <t>3510 HOSPICE REVENUE</t>
  </si>
  <si>
    <t>3550 HOSPICE RESERVE DAYS</t>
  </si>
  <si>
    <t>3580 HOSPICE ADJUSTMENT</t>
  </si>
  <si>
    <t>3590 HOSPICE MISC. CHARGES</t>
  </si>
  <si>
    <t>3595 HOSPICE PRIOR YEAR</t>
  </si>
  <si>
    <t>3596 HOSPICE MEDICAL SUPPLY CA</t>
  </si>
  <si>
    <t>3598 HOSPICE MEDICAL SUPPLY</t>
  </si>
  <si>
    <t>3610 DAY CARE REVENUE</t>
  </si>
  <si>
    <t>3650 DAY CARE RESERVE</t>
  </si>
  <si>
    <t>3680 DAY CARE ADJUSTMENT</t>
  </si>
  <si>
    <t>3690 DAY CARE MISC. CHARGES</t>
  </si>
  <si>
    <t>3700 VA REVENUE</t>
  </si>
  <si>
    <t>3750 VA RESERVE</t>
  </si>
  <si>
    <t>3780 VA ADJUSTMENT</t>
  </si>
  <si>
    <t>3790 VA MISC.</t>
  </si>
  <si>
    <t>3800 RESPITE REVENUE</t>
  </si>
  <si>
    <t xml:space="preserve">     Total Routine Services</t>
  </si>
  <si>
    <t>Ancillary Services:</t>
  </si>
  <si>
    <t>3241 MEDICARE PART B PT</t>
  </si>
  <si>
    <t>3242 MEDICARE PART B OT</t>
  </si>
  <si>
    <t>3243 MEDICARE PART B ST</t>
  </si>
  <si>
    <t>3249 MEDICARE PART B FLU SHOTS</t>
  </si>
  <si>
    <t>3250 MEDICARE PART B LAB</t>
  </si>
  <si>
    <t>3251 MEDICARE PART B X RAY</t>
  </si>
  <si>
    <t>3260 MEDICARE PART B C/A</t>
  </si>
  <si>
    <t>3280 MEDICARE PART B ADJUST</t>
  </si>
  <si>
    <t>3290 MEDICARE PART B 2% SEQUESTRATION</t>
  </si>
  <si>
    <t>3295 MEDICARE PART B PRIOR YR</t>
  </si>
  <si>
    <t>3325 PT PRIVATE</t>
  </si>
  <si>
    <t>3326 OT PRIVATE</t>
  </si>
  <si>
    <t>3327 ST PRIVATE</t>
  </si>
  <si>
    <t xml:space="preserve">     Total Ancillary Services</t>
  </si>
  <si>
    <t>Other Revenues:</t>
  </si>
  <si>
    <t>4000 BARBER/BEAUTY INCOME</t>
  </si>
  <si>
    <t>4010 VENDING INCOME</t>
  </si>
  <si>
    <t>4020 GUEST MEALS INCOME</t>
  </si>
  <si>
    <t>4030 INTEREST INCOME</t>
  </si>
  <si>
    <t>4040 CNA EDUCATION INCOME</t>
  </si>
  <si>
    <t>4050 CABLE INCOME</t>
  </si>
  <si>
    <t>4060 BAD DEBTS</t>
  </si>
  <si>
    <t>4064 BAD DEBT CA PASS THRU</t>
  </si>
  <si>
    <t>4070 PRIOR PERIOD INCOME</t>
  </si>
  <si>
    <t>4090 MISCELLANEOUS INCOME</t>
  </si>
  <si>
    <t xml:space="preserve">     Total Other Revenues</t>
  </si>
  <si>
    <t>12 Month Summary of Expenses</t>
  </si>
  <si>
    <t>Patient Care:</t>
  </si>
  <si>
    <t>5010 MEDICAL DIRECTOR</t>
  </si>
  <si>
    <t>5020 CONSULTANT RN</t>
  </si>
  <si>
    <t>5030 CONSULTANT DENTAL</t>
  </si>
  <si>
    <t>5040 CONSULTANT SOCIAL SERVICE</t>
  </si>
  <si>
    <t>5050 CONSULTANT MEDICAL RECORD</t>
  </si>
  <si>
    <t>5070 CONSULTANT PHARMACY</t>
  </si>
  <si>
    <t>5101 NURS SAL MCARE</t>
  </si>
  <si>
    <t>5111 LPN SAL MCARE</t>
  </si>
  <si>
    <t>5121 AIDES SAL MCARE</t>
  </si>
  <si>
    <t>5131 CMT SAL MCARE</t>
  </si>
  <si>
    <t>5210 ACTIVITY SALARIES</t>
  </si>
  <si>
    <t>5220 ACTIVITY SUPPLIES</t>
  </si>
  <si>
    <t>5230 SPECIAL EVENTS</t>
  </si>
  <si>
    <t>5250 ACTIVITY FICA EXPENSE</t>
  </si>
  <si>
    <t>5260 ACTIVITY STATE UNEMPLOY.</t>
  </si>
  <si>
    <t>5265 ACTIVITY FED'L UNEMP TAX</t>
  </si>
  <si>
    <t>5270 ACTIVITY VACATION PAY</t>
  </si>
  <si>
    <t>5274 ACTIVITY HOLIDAY PAY</t>
  </si>
  <si>
    <t>5276 ACTIVITY SICK PAY</t>
  </si>
  <si>
    <t>5280 ACTIVITY EMPLOYEE BENEFIT</t>
  </si>
  <si>
    <t>5290 ACTIVITY W/COMP</t>
  </si>
  <si>
    <t>5310 SOCIAL SERVICE SALARIES</t>
  </si>
  <si>
    <t>5320 SOCIAL SERV SUPPLIES</t>
  </si>
  <si>
    <t>5350 SOC SERV FICA EXPENSE</t>
  </si>
  <si>
    <t>5360 SOC SERV STATE UNEMP</t>
  </si>
  <si>
    <t>5365 SOC SERV FED'L UMEMP TAX</t>
  </si>
  <si>
    <t>5370 SOC SERV VACATION PAY</t>
  </si>
  <si>
    <t>5374 SOC SERV HOLIDAY PAY</t>
  </si>
  <si>
    <t>5376 SOC SERV SICK PAY</t>
  </si>
  <si>
    <t>5380 SOC SERV EMP BENEFITS</t>
  </si>
  <si>
    <t>5390 SOC SERV WORK COMP</t>
  </si>
  <si>
    <t>5410 DIRECTOR OF NURSES</t>
  </si>
  <si>
    <t>5415 DON SAL MCARE</t>
  </si>
  <si>
    <t>5420 ASSIST. DIRECTOR OF NURSE</t>
  </si>
  <si>
    <t>5421 RN INSTRUCTOR</t>
  </si>
  <si>
    <t>5430 R.N.'S</t>
  </si>
  <si>
    <t>5440 LPN'S</t>
  </si>
  <si>
    <t>5460 NURSING ASSISTANTS</t>
  </si>
  <si>
    <t>5462 RCF SALARIES</t>
  </si>
  <si>
    <t>5465 SHOWER AIDES</t>
  </si>
  <si>
    <t>5470 MEDICAL TECHS</t>
  </si>
  <si>
    <t>5480 RESTORATIVE AIDES</t>
  </si>
  <si>
    <t>5485 REST SAL MCARE</t>
  </si>
  <si>
    <t>5520 NURSING SUPPLIES</t>
  </si>
  <si>
    <t>5525 MEDICAL SUPPLIES</t>
  </si>
  <si>
    <t>5526 MINOR MEDICAL EQUIPMENT</t>
  </si>
  <si>
    <t>5530 OXYGEN SUPPLIES</t>
  </si>
  <si>
    <t>5535 NURSING FORMS</t>
  </si>
  <si>
    <t>5540 NON PRESCRIPTION PHARMACY</t>
  </si>
  <si>
    <t>5545 INFECTIOUS WASTE</t>
  </si>
  <si>
    <t>5550 NURSING CONTRACTED SERV.</t>
  </si>
  <si>
    <t>5560 INCONTINENT SUPPLIES</t>
  </si>
  <si>
    <t>5570 CNA EDUCATION EXPENSE</t>
  </si>
  <si>
    <t>5650 PART D EXPENSES</t>
  </si>
  <si>
    <t>5651 INSURANCE PHARMACY</t>
  </si>
  <si>
    <t>5652 INSURANCE SUPPLIES</t>
  </si>
  <si>
    <t>5660 INSURANCE THERAPY</t>
  </si>
  <si>
    <t>5661 INSURANCE LAB</t>
  </si>
  <si>
    <t>5665 INSURANCE X RAY</t>
  </si>
  <si>
    <t>5666 INSURANCE PHYSICIAN SERVICES</t>
  </si>
  <si>
    <t>5670 NURSING VACATION PAY</t>
  </si>
  <si>
    <t>5671 MNS INSURANCE FEES</t>
  </si>
  <si>
    <t>5674 NURSING HOLIDAY PAY</t>
  </si>
  <si>
    <t>5675 NURS HOL MCARE</t>
  </si>
  <si>
    <t>5676 NURSING SICK PAY</t>
  </si>
  <si>
    <t>5677 NURS SICK MCARE</t>
  </si>
  <si>
    <t>5680 NURSING EMP BENEFITS</t>
  </si>
  <si>
    <t>5681 INSURANCE OTHER</t>
  </si>
  <si>
    <t>5682 DON EMP BEN MCARE</t>
  </si>
  <si>
    <t>5685 OSHA TRAINING</t>
  </si>
  <si>
    <t>5690 NURSING WORK COMP</t>
  </si>
  <si>
    <t>5693 NURS W/C MCARE</t>
  </si>
  <si>
    <t>6810 BARBER/BEAUTY SALARIES</t>
  </si>
  <si>
    <t>6815 BARBER/B CONTRACT SERVICE</t>
  </si>
  <si>
    <t>6820 BARBER/BEAUTY SUPPLIES</t>
  </si>
  <si>
    <t>6850 B SHOP FICA EXPENSE</t>
  </si>
  <si>
    <t>6860 B SHOP STATE UNEMPLOYMENT</t>
  </si>
  <si>
    <t>6865 B SHOP FED'L UNEMP TAX</t>
  </si>
  <si>
    <t>6870 B SHOP VACATION PAY</t>
  </si>
  <si>
    <t>6874 B SHOP HOLIDAY PAY</t>
  </si>
  <si>
    <t>6876 B SHOP SICK PAY</t>
  </si>
  <si>
    <t>6880 B SHOP EMP BENEFITS</t>
  </si>
  <si>
    <t>6890 B SHOP WORK COMP</t>
  </si>
  <si>
    <t xml:space="preserve">     Total Patient Care</t>
  </si>
  <si>
    <t>Dietary:</t>
  </si>
  <si>
    <t>5710 DIETARY SALARIES</t>
  </si>
  <si>
    <t>5810 DIETARY CONSULTANT</t>
  </si>
  <si>
    <t>5815 DIETARY SUPPLEMENTS</t>
  </si>
  <si>
    <t>5820 DIETARY SUPPLIES</t>
  </si>
  <si>
    <t>5825 DIETARY RAW FOOD</t>
  </si>
  <si>
    <t>5830 DIETARY OUTSIDE SERVICES</t>
  </si>
  <si>
    <t>5835 DIETARY CHEMICALS</t>
  </si>
  <si>
    <t>5850 DIETARY FICA EXPENSE</t>
  </si>
  <si>
    <t>5860 DIETARY STATE UNEMPLOY.</t>
  </si>
  <si>
    <t>5865 DIETARY FED'L UNEMP TAX</t>
  </si>
  <si>
    <t>5870 DIETARY VACATION EXPENSE</t>
  </si>
  <si>
    <t>5874 DIETARY HOLIDAY PAY</t>
  </si>
  <si>
    <t>5876 DIETARY SICK PAY</t>
  </si>
  <si>
    <t>5880 DIETARY EMP BENEFITS</t>
  </si>
  <si>
    <t>5890 DIETARY WORK COMP</t>
  </si>
  <si>
    <t xml:space="preserve">     Total Dietary</t>
  </si>
  <si>
    <t>6020 CHARTING FEE</t>
  </si>
  <si>
    <t>6030 PART A PHYSICIAN SERVICES</t>
  </si>
  <si>
    <t>6040 PART A PHYSICAL THERAPY</t>
  </si>
  <si>
    <t>6041 RT SALARIES</t>
  </si>
  <si>
    <t>6042 PART A PHY.THER SUPPLIES</t>
  </si>
  <si>
    <t>6043 THERAPY SUPERVISOR SAL</t>
  </si>
  <si>
    <t>6044 PT SUPPLIES</t>
  </si>
  <si>
    <t>6050 PART A OCCUPATIONAL THER</t>
  </si>
  <si>
    <t>6051 OT SAL</t>
  </si>
  <si>
    <t>6052 PART A OCC.THER. SUPPLIES</t>
  </si>
  <si>
    <t>6054 OT SUPPLIES</t>
  </si>
  <si>
    <t>6060 PART A PHARMACY/DRUG</t>
  </si>
  <si>
    <t>6062 PART A MED SUPPLIES</t>
  </si>
  <si>
    <t>6065 IV THERAPY</t>
  </si>
  <si>
    <t>6070 PART A SPEECH THERAPY</t>
  </si>
  <si>
    <t>6071 ST SAL</t>
  </si>
  <si>
    <t>6072 PART A SPEECH TH SUPPLIES</t>
  </si>
  <si>
    <t>6074 ST SUPPLIES</t>
  </si>
  <si>
    <t>6080 PART A LAB</t>
  </si>
  <si>
    <t>6085 MEDICARE PART A X RAY</t>
  </si>
  <si>
    <t>6090 PART A INHALATION THERAPY</t>
  </si>
  <si>
    <t>6092 PART A INHAL. THER.SUPPLY</t>
  </si>
  <si>
    <t>6093 PART A AMBULANCE</t>
  </si>
  <si>
    <t>6100 PART A RENTAL</t>
  </si>
  <si>
    <t>6200 VA EXPENSES</t>
  </si>
  <si>
    <t>6310 FLU &amp; VACCINES</t>
  </si>
  <si>
    <t>6315 PART B PT</t>
  </si>
  <si>
    <t>6320 PART B ST</t>
  </si>
  <si>
    <t>6325 PART B OT</t>
  </si>
  <si>
    <t>6350 PART B AMBULANCE</t>
  </si>
  <si>
    <t>6373 GLUCOSE MCD/MCR COSTS</t>
  </si>
  <si>
    <t>6374 FEE/LAB COSTS</t>
  </si>
  <si>
    <t>6375 PART B X RAY</t>
  </si>
  <si>
    <t>6415 MEDICAID PT</t>
  </si>
  <si>
    <t>6420 MEDICAID ST</t>
  </si>
  <si>
    <t>6425 MEDICAID OT</t>
  </si>
  <si>
    <t>6435 PRIVATE PT</t>
  </si>
  <si>
    <t>6440 PRIVATE ST</t>
  </si>
  <si>
    <t>6445 PRIVATE OT</t>
  </si>
  <si>
    <t>6550 CLAIMS PROCESSING</t>
  </si>
  <si>
    <t>6551 HOSPICE PHARMACY</t>
  </si>
  <si>
    <t>6552 HOSPICE SUPPLIES</t>
  </si>
  <si>
    <t>6560 HOSPICE THERAPY</t>
  </si>
  <si>
    <t>6561 HOSPICE LAB</t>
  </si>
  <si>
    <t>6565 HOSPICE X RAY</t>
  </si>
  <si>
    <t>6566 HOSPICE PHYSICIAN SERVICES</t>
  </si>
  <si>
    <t>6570 MEDICARE VACATION PAY</t>
  </si>
  <si>
    <t>6574 MEDICARE HOLIDAY PAY</t>
  </si>
  <si>
    <t>6576 MEDICARE SICK PAY</t>
  </si>
  <si>
    <t>6580 MEDICARE EMP BENEFITS</t>
  </si>
  <si>
    <t>6581 HOSPICE OTHER</t>
  </si>
  <si>
    <t>6590 MEDICARE WORK COMP</t>
  </si>
  <si>
    <t>6591 MCARE W/C</t>
  </si>
  <si>
    <t>Laundry:</t>
  </si>
  <si>
    <t>6610 LAUNDRY SALARIES</t>
  </si>
  <si>
    <t>6620 LAUNDRY SUPPLIES</t>
  </si>
  <si>
    <t>6625 LINEN AND BEDDING</t>
  </si>
  <si>
    <t>6630 OUTSIDE LAUNDRY SERVICE</t>
  </si>
  <si>
    <t>6635 LAUNDRY CHEMICALS</t>
  </si>
  <si>
    <t>6640 CONTRACTED LAUNDRY SERV.</t>
  </si>
  <si>
    <t>6650 LAUNDRY FICA EXPENSE</t>
  </si>
  <si>
    <t>6660 LAUNDRY STATE UNEMP TAX</t>
  </si>
  <si>
    <t>6665 LAUNDRY FED'L UNEMP TAX</t>
  </si>
  <si>
    <t>6670 LAUNDRY VACATION PAY</t>
  </si>
  <si>
    <t>6674 LAUNDRY HOLIDAY PAY</t>
  </si>
  <si>
    <t>6676 LAUNDRY SICK PAY</t>
  </si>
  <si>
    <t>6680 LAUNDRY EMP BENEFITS</t>
  </si>
  <si>
    <t>6690 LAUNDRY WORK COMP</t>
  </si>
  <si>
    <t xml:space="preserve">     Total Laundry</t>
  </si>
  <si>
    <t>Housekeeping:</t>
  </si>
  <si>
    <t>6710 HOUSEKEEPING SALARIES</t>
  </si>
  <si>
    <t>6720 HOUSEKEEPING SUPPLIES</t>
  </si>
  <si>
    <t>6730 OUTSIDE HOUSEKEEPING</t>
  </si>
  <si>
    <t>6735 HOUSEKEEPING CHEMICALS</t>
  </si>
  <si>
    <t>6740 CONTRACT HSKG SERVICE</t>
  </si>
  <si>
    <t>6750 HOUSEKEEPING FICA</t>
  </si>
  <si>
    <t>6760 HOUSEKEEPING STATE UNEMPL</t>
  </si>
  <si>
    <t>6765 HOUSEKPG FED'L UNEMP TAX</t>
  </si>
  <si>
    <t>6770 HOUSEKEEPING VACATION PAY</t>
  </si>
  <si>
    <t>6774 HOUSEKPG HOLIDAY PAY</t>
  </si>
  <si>
    <t>6776 HOUSEKPG SICK PAY</t>
  </si>
  <si>
    <t>6780 HOUSEKEEPING EMP. BENEFIT</t>
  </si>
  <si>
    <t>6790 HOUSEKEEPING W/COMP</t>
  </si>
  <si>
    <t xml:space="preserve">     Total Housekeeping</t>
  </si>
  <si>
    <t>Plant Operations:</t>
  </si>
  <si>
    <t>7010 PLANT SALARIES</t>
  </si>
  <si>
    <t>7015 PLANT REPAIRS &amp; MAINT.</t>
  </si>
  <si>
    <t>7020 PLANT SUPPLIES</t>
  </si>
  <si>
    <t>7025 PLANT OSHA SUPPLIES</t>
  </si>
  <si>
    <t>7030 PLANT PEST CONTROL</t>
  </si>
  <si>
    <t>7035 PLANT TRASH HAUL</t>
  </si>
  <si>
    <t>7040 PLANT CABLE</t>
  </si>
  <si>
    <t>7045 PLANT OUTSIDE LABOR</t>
  </si>
  <si>
    <t>7046 PLANT CONTRACTED SERVICES</t>
  </si>
  <si>
    <t>7050 PLANT GROUNDS MAINTENANCE</t>
  </si>
  <si>
    <t>7060 PLANT HOUSING MAINTENANCE</t>
  </si>
  <si>
    <t>7065 PLANT GROUNDS &amp; HOUSING SUPPLIES</t>
  </si>
  <si>
    <t>7070 PLANT VACATION PAY</t>
  </si>
  <si>
    <t>7074 PLANT HOLIDAY PAY</t>
  </si>
  <si>
    <t>7076 PLANT SICK PAY</t>
  </si>
  <si>
    <t>7080 PLANT EMP BENEFITS</t>
  </si>
  <si>
    <t>7085 PLANT STORAGE BLDG RENTAL</t>
  </si>
  <si>
    <t>7090 PLANT WORK COMP</t>
  </si>
  <si>
    <t>7100 PLANT ELECTRIC</t>
  </si>
  <si>
    <t>7110 PLANT GAS</t>
  </si>
  <si>
    <t>7120 PLANT WATER</t>
  </si>
  <si>
    <t xml:space="preserve">     Total Plant Operations</t>
  </si>
  <si>
    <t>Administration:</t>
  </si>
  <si>
    <t>7310 ADMINISTRATOR SALARY</t>
  </si>
  <si>
    <t>7315 BUSINESS OFFICE SALARY</t>
  </si>
  <si>
    <t>7320 MEDICAL RECORDS SALARY</t>
  </si>
  <si>
    <t>7325 MEDICAL RECORDS SUPPLIES</t>
  </si>
  <si>
    <t>7330 CLERICAL SALARIES</t>
  </si>
  <si>
    <t>7335 BILLING MANAGER SALARY</t>
  </si>
  <si>
    <t>7340 2011 NFRA TAX</t>
  </si>
  <si>
    <t>7350 ADMIN CONTRACT LABOR</t>
  </si>
  <si>
    <t>7355 UNION DUES</t>
  </si>
  <si>
    <t>7360 WOTC FEES</t>
  </si>
  <si>
    <t>7365 A/P REVIEW</t>
  </si>
  <si>
    <t>7370 ADMIN VACATION PAY</t>
  </si>
  <si>
    <t>7374 ADMIN HOLIDAY PAY</t>
  </si>
  <si>
    <t>7376 ADMIN SICK PAY</t>
  </si>
  <si>
    <t>7380 ADMIN EMP BENEFITS</t>
  </si>
  <si>
    <t>7390 W/COMP UNDER $500</t>
  </si>
  <si>
    <t>7400 PROPERTY TAX REVIEW</t>
  </si>
  <si>
    <t>7415 UNIFORMS</t>
  </si>
  <si>
    <t>7420 RECRUITER FEE</t>
  </si>
  <si>
    <t>7430 OWNER'S COMPENSATION</t>
  </si>
  <si>
    <t>7450 DIRECTORS FEES</t>
  </si>
  <si>
    <t>7460 CONSULTING FEES</t>
  </si>
  <si>
    <t>7510 LEGAL FEES</t>
  </si>
  <si>
    <t>7515 REHAB PROFESSIONAL FEES</t>
  </si>
  <si>
    <t>7520 ACCOUNTING FEES</t>
  </si>
  <si>
    <t>7530 ADVERTISING OTHER</t>
  </si>
  <si>
    <t>7535 ADVERTISING EMPLOYEE ADS</t>
  </si>
  <si>
    <t>7540 TELEPHONE</t>
  </si>
  <si>
    <t>7550 TRAVEL AND ENTERTAINMENT</t>
  </si>
  <si>
    <t>7555 SEMINARS</t>
  </si>
  <si>
    <t>7560 VEHICLE EXPENSE</t>
  </si>
  <si>
    <t>7565 VEHICLE DEPRECIATION</t>
  </si>
  <si>
    <t>7570 INTEREST PAID ON VEHICLE</t>
  </si>
  <si>
    <t>7575 INSURANCE PROPERTY</t>
  </si>
  <si>
    <t>7580 INSURANCE LIABILITY</t>
  </si>
  <si>
    <t>7585 INSURANCE VEHICLE</t>
  </si>
  <si>
    <t>7590 LEASE ABANDONMENT</t>
  </si>
  <si>
    <t>7595 WORKMEN'S COMPENSATION</t>
  </si>
  <si>
    <t>7615 POSTAGE</t>
  </si>
  <si>
    <t>7620 OFFICE SUPPLIES</t>
  </si>
  <si>
    <t>7625 DATA PROCESSING</t>
  </si>
  <si>
    <t>7630 DUES AND SUBSCRIPTIONS</t>
  </si>
  <si>
    <t>7635 FINES &amp; PENALTIES</t>
  </si>
  <si>
    <t>7640 TAXES AND LICENSES</t>
  </si>
  <si>
    <t>7645 PAYROLL TAXES</t>
  </si>
  <si>
    <t>7650 DECORATING</t>
  </si>
  <si>
    <t>7655 FLOWERS</t>
  </si>
  <si>
    <t>7670 SALES/USE TAX</t>
  </si>
  <si>
    <t>7680 RESIDENT EXPENSE</t>
  </si>
  <si>
    <t>7690 CONTRIBUTIONS</t>
  </si>
  <si>
    <t>7750 NFRA MONTHLY FEE</t>
  </si>
  <si>
    <t>7755 NFAC ADMINISTRATIVE FEE</t>
  </si>
  <si>
    <t>7760 COLLECTION FEES</t>
  </si>
  <si>
    <t>7872 INTERNET SERVICES</t>
  </si>
  <si>
    <t>7885 SETTLEMENTS</t>
  </si>
  <si>
    <t>7890 INCOME TAX</t>
  </si>
  <si>
    <t>7895 PRIOR PERIOD EXPENSE</t>
  </si>
  <si>
    <t xml:space="preserve">     Total Administration</t>
  </si>
  <si>
    <t>Capital Related Expenses:</t>
  </si>
  <si>
    <t>8000 MANAGEMENT FEES</t>
  </si>
  <si>
    <t>8010 AMORTIZATION</t>
  </si>
  <si>
    <t>8020 DEPRECIATION</t>
  </si>
  <si>
    <t>8030 FACILITY LEASE EXPENSE</t>
  </si>
  <si>
    <t>8040 EQUIPMENT RENTAL</t>
  </si>
  <si>
    <t>8115 INTEREST</t>
  </si>
  <si>
    <t>8120 INTEREST REAL ESTATE</t>
  </si>
  <si>
    <t>8125 INTEREST EQUIPMENT</t>
  </si>
  <si>
    <t>8130 REAL ESTATE TAXES</t>
  </si>
  <si>
    <t>8150 PERSONAL PROPERTY TAXES</t>
  </si>
  <si>
    <t xml:space="preserve">     Total Capital Related Expenses</t>
  </si>
  <si>
    <t>SABRA Properties Totals</t>
  </si>
  <si>
    <t>3153 SPECIALIZED BEDS PART A</t>
  </si>
  <si>
    <t>3321 PRIVATE IN MCARE BED CA</t>
  </si>
  <si>
    <t>3350 PRIVATE RESERVE REVENUE</t>
  </si>
  <si>
    <t>3390 PRIVATE MISC CHARGES</t>
  </si>
  <si>
    <t>3395 PRIVATE PRIOR YEAR</t>
  </si>
  <si>
    <t>3248 MEDICARE PART B MED SUPP</t>
  </si>
  <si>
    <t>3254 MEDICARE PART B AMBULANCE</t>
  </si>
  <si>
    <t>3941 OUTPATIENT PT</t>
  </si>
  <si>
    <t>3942 OUTPATIENT OT</t>
  </si>
  <si>
    <t>3943 OUTPATIENT ST</t>
  </si>
  <si>
    <t>3990 OUTPATIENT MISC. CHARGES</t>
  </si>
  <si>
    <t>5435 RN SAL MCARE</t>
  </si>
  <si>
    <t>5445 LPN MCARE</t>
  </si>
  <si>
    <t>5466 PSYCH WARD TEACHER</t>
  </si>
  <si>
    <t>5475 CMT SAL MCARE</t>
  </si>
  <si>
    <t>6455 OUTPATIENT PT</t>
  </si>
  <si>
    <t>6460 OUTPATIENT ST</t>
  </si>
  <si>
    <t>6465 OUTPATIENT OT</t>
  </si>
  <si>
    <t>7710 VENDING EXPENSE</t>
  </si>
  <si>
    <t>Total Patient Days</t>
  </si>
  <si>
    <t>EBITDARM Coverage</t>
  </si>
  <si>
    <t>Operating Beds</t>
  </si>
  <si>
    <t>Revenues</t>
  </si>
  <si>
    <t>Operating Expenses</t>
  </si>
  <si>
    <t>Adj Revenue</t>
  </si>
  <si>
    <t>Total Adj Operating Expense</t>
  </si>
  <si>
    <t xml:space="preserve">BPC Reconciliation </t>
  </si>
  <si>
    <t>TENANT FINANCIALS</t>
  </si>
  <si>
    <t>BPC</t>
  </si>
  <si>
    <t>Variance</t>
  </si>
  <si>
    <t>Comments:</t>
  </si>
  <si>
    <t>Census</t>
  </si>
  <si>
    <t>Management Fee</t>
  </si>
  <si>
    <t>Rent</t>
  </si>
  <si>
    <t>Health Systems</t>
  </si>
  <si>
    <t>T_RENT_EXP - Tenant Rent Expense</t>
  </si>
  <si>
    <t xml:space="preserve">Mgt Fee </t>
  </si>
  <si>
    <t>Bed Counts taken as per Operator Template Since data not available in Tenant Financials</t>
  </si>
  <si>
    <t>3195-PPP REVENUE</t>
  </si>
  <si>
    <t>4510-HHS REVENUE</t>
  </si>
  <si>
    <t>Net Income W/O PPP or HHS</t>
  </si>
  <si>
    <t>ASHLAND HEALTHCARE</t>
  </si>
  <si>
    <t>3153 MEDICARE PART A EQUIPMENT RENTAL</t>
  </si>
  <si>
    <t>3155 PASS THRU PAYMENT</t>
  </si>
  <si>
    <t>3321 PRIVATE INSURANCE CA</t>
  </si>
  <si>
    <t>3350 PRIVATE PHARMACY</t>
  </si>
  <si>
    <t>3380 ISNP REVENUE</t>
  </si>
  <si>
    <t>3390 PRIVATE LAB</t>
  </si>
  <si>
    <t>3395 PRIVATE X-RAY</t>
  </si>
  <si>
    <t>3248 MEDICARE PART B TELEHEALTH ORIGINATING SITE FACILITY FEE</t>
  </si>
  <si>
    <t>3254 MEDICARE PART B MOQI</t>
  </si>
  <si>
    <t>3941 LIKE PART B PT</t>
  </si>
  <si>
    <t>3942 LIKE PART B OT</t>
  </si>
  <si>
    <t>3943 LIKE PART B ST</t>
  </si>
  <si>
    <t>3990 LIKE PART B CA</t>
  </si>
  <si>
    <t>4064 BAD DEBT PASS THRU</t>
  </si>
  <si>
    <t>4065 BAD DEBT SANCTIONS</t>
  </si>
  <si>
    <t>5435 MDS-RN</t>
  </si>
  <si>
    <t>5445 MDS-LPN</t>
  </si>
  <si>
    <t>5466 BEHAVIORAL HEALTH</t>
  </si>
  <si>
    <t>5475 APARTMENT SALARIES</t>
  </si>
  <si>
    <t>5682 COVID19 EXPENSES</t>
  </si>
  <si>
    <t>6455 LIKE PART B PT</t>
  </si>
  <si>
    <t>6460 LIKE PART B ST</t>
  </si>
  <si>
    <t>6465 LIKE PART B OT</t>
  </si>
  <si>
    <t>7710 CREDIT CARD PROCESSING FEE</t>
  </si>
  <si>
    <t>8000 CONSULTING &amp; ADMINISTRATIVE SERVICES</t>
  </si>
  <si>
    <t>BELLEFONTAINE GARDENS NURSING &amp; REHAB</t>
  </si>
  <si>
    <t>CURRENT RIVER NURSING CENTER</t>
  </si>
  <si>
    <t>DIXON NURSING &amp; REHAB</t>
  </si>
  <si>
    <t>FORSYTH CARE CENTER</t>
  </si>
  <si>
    <t>GLENWOOD HEALTHCARE</t>
  </si>
  <si>
    <t>SILEX COMMUNITY CARE</t>
  </si>
  <si>
    <t>SOUTH HAMPTON PLACE</t>
  </si>
  <si>
    <t>STRAFFORD CARE CENTER</t>
  </si>
  <si>
    <t>WINDSOR HEALTHCARE &amp; REHAB CENTER</t>
  </si>
  <si>
    <t>MARYVILLE LIVING CENTER</t>
  </si>
  <si>
    <t>P&amp;L</t>
  </si>
  <si>
    <t>Delta</t>
  </si>
  <si>
    <t>5650 FUEL SURCHARGE</t>
  </si>
  <si>
    <t>YTD ending 06/30/2022</t>
  </si>
  <si>
    <t>8125 INTEREST EQUIPMENT-8120 INTEREST REAL ESTATE-8115 INTEREST-8030 FACILITY LEASE EXPENSE-8010 AMORTIZATION-8020 DEPRECIATION-8000 CONSULTING &amp; ADMINISTRATIVE SERVICES-7625 DATA PROCESSING-7570 INTEREST PAID ON VEHICLE-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</si>
</sst>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#,##0;\(#,###,##0\)"/>
    <numFmt numFmtId="166" formatCode="#,##0.00;\(#,##0.00\)"/>
    <numFmt numFmtId="167" formatCode="#,###,##0.00;\(#,###,##0.00\)"/>
    <numFmt numFmtId="168" formatCode="#,##0;\(#,##0\)"/>
    <numFmt numFmtId="169" formatCode="&quot;$&quot;#,##0.00;\(&quot;$&quot;#,##0.00\)"/>
    <numFmt numFmtId="170" formatCode="###0.0%;\(###0.0%\)"/>
    <numFmt numFmtId="171" formatCode="_(&quot;$&quot;* #,##0_);_(&quot;$&quot;* \(#,##0\);_(&quot;$&quot;* &quot;-&quot;??_);_(@_)"/>
    <numFmt numFmtId="172" formatCode="mmmm\ yyyy\ &quot;TTM&quot;"/>
    <numFmt numFmtId="173" formatCode="_(* #,##0_);_(* \(\ #,##0\ \);_(* &quot;-&quot;??_);_(\ @_ \)"/>
    <numFmt numFmtId="174" formatCode="&quot;$&quot;#,###,##0.00;\(&quot;$&quot;#,###,##0.00\)"/>
    <numFmt numFmtId="175" formatCode="&quot;$&quot;#,###,##0;\(&quot;$&quot;#,###,##0\)"/>
    <numFmt numFmtId="176" formatCode="#,##0.00%;\(#,##0.00%\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2"/>
      <color indexed="0"/>
      <name val="Microsoft Sans Serif"/>
      <family val="2"/>
    </font>
    <font>
      <sz val="10"/>
      <color indexed="0"/>
      <name val="Microsoft Sans Serif"/>
      <family val="2"/>
    </font>
    <font>
      <b/>
      <u/>
      <sz val="12"/>
      <color indexed="0"/>
      <name val="Microsoft Sans Serif"/>
      <family val="2"/>
    </font>
    <font>
      <b/>
      <sz val="10"/>
      <color indexed="0"/>
      <name val="Microsoft Sans Serif"/>
      <family val="2"/>
    </font>
    <font>
      <b/>
      <i/>
      <sz val="10"/>
      <color indexed="0"/>
      <name val="MS Reference Sans Serif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3" tint="0.39997558519241921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u val="singleAccounting"/>
      <sz val="10"/>
      <color indexed="17"/>
      <name val="Arial"/>
      <family val="2"/>
    </font>
    <font>
      <sz val="8.85"/>
      <color rgb="FF000000"/>
      <name val="Arial"/>
      <family val="2"/>
    </font>
    <font>
      <b/>
      <i/>
      <sz val="12"/>
      <color indexed="0"/>
      <name val="Arial"/>
      <family val="2"/>
    </font>
    <font>
      <sz val="12"/>
      <color indexed="0"/>
      <name val="Arial"/>
      <family val="2"/>
    </font>
    <font>
      <b/>
      <sz val="12"/>
      <color indexed="0"/>
      <name val="Arial"/>
      <family val="2"/>
    </font>
    <font>
      <b/>
      <i/>
      <sz val="16"/>
      <color indexed="2"/>
      <name val="Arial"/>
      <family val="2"/>
    </font>
    <font>
      <b/>
      <i/>
      <sz val="10"/>
      <color indexed="0"/>
      <name val="Arial"/>
      <family val="2"/>
    </font>
    <font>
      <b/>
      <sz val="9"/>
      <color indexed="0"/>
      <name val="Arial"/>
      <family val="2"/>
    </font>
    <font>
      <b/>
      <sz val="10"/>
      <color indexed="0"/>
      <name val="Arial"/>
      <family val="2"/>
    </font>
    <font>
      <i/>
      <sz val="10"/>
      <color indexed="0"/>
      <name val="Arial"/>
      <family val="2"/>
    </font>
    <font>
      <b/>
      <i/>
      <sz val="12"/>
      <color indexed="4"/>
      <name val="Arial"/>
      <family val="2"/>
    </font>
    <font>
      <b/>
      <i/>
      <sz val="9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1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6" fontId="6" fillId="0" borderId="0"/>
    <xf numFmtId="43" fontId="6" fillId="0" borderId="0" applyFont="0" applyFill="0" applyBorder="0" applyAlignment="0" applyProtection="0"/>
    <xf numFmtId="166" fontId="6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8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6" fontId="6" fillId="0" borderId="0"/>
    <xf numFmtId="168" fontId="6" fillId="0" borderId="0"/>
    <xf numFmtId="166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9" fontId="6" fillId="0" borderId="0"/>
    <xf numFmtId="170" fontId="6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4" borderId="0"/>
    <xf numFmtId="0" fontId="12" fillId="0" borderId="0"/>
    <xf numFmtId="43" fontId="3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8" fillId="0" borderId="7">
      <alignment horizontal="left" wrapText="1"/>
    </xf>
    <xf numFmtId="0" fontId="3" fillId="0" borderId="0"/>
    <xf numFmtId="0" fontId="3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165" fontId="6" fillId="0" borderId="0"/>
    <xf numFmtId="165" fontId="6" fillId="0" borderId="0"/>
    <xf numFmtId="174" fontId="6" fillId="0" borderId="0"/>
    <xf numFmtId="175" fontId="6" fillId="0" borderId="0"/>
    <xf numFmtId="175" fontId="6" fillId="0" borderId="0"/>
    <xf numFmtId="174" fontId="6" fillId="0" borderId="0"/>
    <xf numFmtId="174" fontId="6" fillId="0" borderId="0"/>
    <xf numFmtId="174" fontId="6" fillId="0" borderId="0"/>
    <xf numFmtId="175" fontId="6" fillId="0" borderId="0"/>
    <xf numFmtId="175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0" fontId="1" fillId="0" borderId="0"/>
    <xf numFmtId="0" fontId="1" fillId="0" borderId="0"/>
    <xf numFmtId="0" fontId="25" fillId="0" borderId="0" applyAlignment="0"/>
    <xf numFmtId="0" fontId="1" fillId="0" borderId="0"/>
    <xf numFmtId="0" fontId="1" fillId="6" borderId="16" applyNumberFormat="0" applyFont="0" applyAlignment="0" applyProtection="0"/>
    <xf numFmtId="0" fontId="1" fillId="6" borderId="16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6" fillId="0" borderId="0"/>
    <xf numFmtId="0" fontId="28" fillId="0" borderId="0"/>
    <xf numFmtId="0" fontId="29" fillId="0" borderId="0"/>
    <xf numFmtId="0" fontId="28" fillId="24" borderId="0"/>
    <xf numFmtId="0" fontId="28" fillId="24" borderId="0"/>
    <xf numFmtId="0" fontId="28" fillId="24" borderId="0"/>
    <xf numFmtId="0" fontId="29" fillId="0" borderId="0"/>
    <xf numFmtId="0" fontId="29" fillId="0" borderId="0"/>
    <xf numFmtId="0" fontId="29" fillId="0" borderId="0"/>
    <xf numFmtId="0" fontId="28" fillId="24" borderId="0"/>
    <xf numFmtId="0" fontId="30" fillId="0" borderId="0"/>
    <xf numFmtId="0" fontId="28" fillId="24" borderId="0"/>
    <xf numFmtId="0" fontId="30" fillId="0" borderId="0"/>
    <xf numFmtId="0" fontId="29" fillId="0" borderId="0"/>
    <xf numFmtId="0" fontId="30" fillId="0" borderId="0"/>
    <xf numFmtId="0" fontId="27" fillId="0" borderId="0"/>
    <xf numFmtId="0" fontId="28" fillId="24" borderId="0"/>
    <xf numFmtId="0" fontId="31" fillId="4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32" fillId="0" borderId="0"/>
    <xf numFmtId="0" fontId="32" fillId="0" borderId="0"/>
    <xf numFmtId="0" fontId="26" fillId="0" borderId="0"/>
    <xf numFmtId="0" fontId="28" fillId="24" borderId="0"/>
    <xf numFmtId="0" fontId="28" fillId="24" borderId="0"/>
    <xf numFmtId="0" fontId="26" fillId="0" borderId="0"/>
    <xf numFmtId="0" fontId="32" fillId="0" borderId="0"/>
    <xf numFmtId="0" fontId="32" fillId="0" borderId="0"/>
    <xf numFmtId="0" fontId="28" fillId="24" borderId="0"/>
    <xf numFmtId="0" fontId="28" fillId="24" borderId="0"/>
    <xf numFmtId="0" fontId="28" fillId="24" borderId="0"/>
    <xf numFmtId="0" fontId="33" fillId="0" borderId="0"/>
    <xf numFmtId="0" fontId="33" fillId="0" borderId="0"/>
    <xf numFmtId="0" fontId="34" fillId="4" borderId="0"/>
    <xf numFmtId="0" fontId="34" fillId="4" borderId="0"/>
    <xf numFmtId="0" fontId="28" fillId="24" borderId="0"/>
    <xf numFmtId="0" fontId="33" fillId="0" borderId="0"/>
    <xf numFmtId="0" fontId="28" fillId="24" borderId="0"/>
    <xf numFmtId="0" fontId="34" fillId="0" borderId="0"/>
    <xf numFmtId="0" fontId="27" fillId="0" borderId="0"/>
    <xf numFmtId="0" fontId="27" fillId="0" borderId="0"/>
    <xf numFmtId="0" fontId="34" fillId="0" borderId="0"/>
    <xf numFmtId="0" fontId="35" fillId="0" borderId="0"/>
    <xf numFmtId="0" fontId="34" fillId="0" borderId="0"/>
    <xf numFmtId="0" fontId="32" fillId="0" borderId="0"/>
    <xf numFmtId="0" fontId="32" fillId="0" borderId="0"/>
    <xf numFmtId="0" fontId="27" fillId="0" borderId="0"/>
    <xf numFmtId="0" fontId="32" fillId="0" borderId="0"/>
    <xf numFmtId="0" fontId="31" fillId="4" borderId="0"/>
    <xf numFmtId="0" fontId="28" fillId="0" borderId="0"/>
    <xf numFmtId="0" fontId="6" fillId="0" borderId="0"/>
    <xf numFmtId="0" fontId="6" fillId="0" borderId="0"/>
    <xf numFmtId="0" fontId="34" fillId="4" borderId="0"/>
    <xf numFmtId="0" fontId="28" fillId="0" borderId="0"/>
    <xf numFmtId="0" fontId="6" fillId="0" borderId="0"/>
    <xf numFmtId="0" fontId="6" fillId="0" borderId="0"/>
    <xf numFmtId="0" fontId="36" fillId="0" borderId="0"/>
    <xf numFmtId="9" fontId="1" fillId="0" borderId="0" applyFont="0" applyFill="0" applyBorder="0" applyAlignment="0" applyProtection="0"/>
    <xf numFmtId="0" fontId="37" fillId="0" borderId="0"/>
    <xf numFmtId="0" fontId="38" fillId="0" borderId="0"/>
    <xf numFmtId="44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2"/>
    </xf>
    <xf numFmtId="0" fontId="2" fillId="0" borderId="1" xfId="0" applyFont="1" applyBorder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4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43" fontId="0" fillId="3" borderId="4" xfId="1" applyFont="1" applyFill="1" applyBorder="1"/>
    <xf numFmtId="0" fontId="0" fillId="3" borderId="4" xfId="0" applyFill="1" applyBorder="1"/>
    <xf numFmtId="43" fontId="0" fillId="3" borderId="3" xfId="1" applyFont="1" applyFill="1" applyBorder="1"/>
    <xf numFmtId="0" fontId="0" fillId="0" borderId="0" xfId="0" applyNumberFormat="1" applyAlignment="1">
      <alignment horizontal="left" indent="3"/>
    </xf>
    <xf numFmtId="0" fontId="0" fillId="0" borderId="0" xfId="0" applyNumberFormat="1" applyAlignment="1">
      <alignment horizontal="left" indent="5"/>
    </xf>
    <xf numFmtId="0" fontId="2" fillId="0" borderId="0" xfId="0" applyFont="1" applyBorder="1"/>
    <xf numFmtId="0" fontId="2" fillId="2" borderId="3" xfId="0" applyFont="1" applyFill="1" applyBorder="1"/>
    <xf numFmtId="164" fontId="0" fillId="3" borderId="4" xfId="1" applyNumberFormat="1" applyFont="1" applyFill="1" applyBorder="1"/>
    <xf numFmtId="43" fontId="0" fillId="3" borderId="4" xfId="1" applyFont="1" applyFill="1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NumberFormat="1" applyAlignment="1"/>
    <xf numFmtId="1" fontId="0" fillId="0" borderId="0" xfId="0" applyNumberFormat="1" applyFill="1"/>
    <xf numFmtId="14" fontId="0" fillId="0" borderId="0" xfId="0" applyNumberFormat="1" applyFill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164" fontId="0" fillId="0" borderId="0" xfId="1" applyNumberFormat="1" applyFont="1" applyFill="1" applyBorder="1"/>
    <xf numFmtId="0" fontId="19" fillId="5" borderId="0" xfId="99" applyFont="1" applyFill="1" applyAlignment="1"/>
    <xf numFmtId="0" fontId="3" fillId="5" borderId="0" xfId="99" applyFont="1" applyFill="1" applyAlignment="1">
      <alignment wrapText="1"/>
    </xf>
    <xf numFmtId="0" fontId="6" fillId="5" borderId="0" xfId="0" applyFont="1" applyFill="1"/>
    <xf numFmtId="0" fontId="20" fillId="5" borderId="0" xfId="99" applyFont="1" applyFill="1"/>
    <xf numFmtId="0" fontId="0" fillId="5" borderId="0" xfId="0" applyFill="1"/>
    <xf numFmtId="0" fontId="21" fillId="19" borderId="8" xfId="99" applyFont="1" applyFill="1" applyBorder="1" applyAlignment="1">
      <alignment horizontal="centerContinuous" vertical="justify"/>
    </xf>
    <xf numFmtId="0" fontId="21" fillId="19" borderId="10" xfId="99" applyFont="1" applyFill="1" applyBorder="1" applyAlignment="1">
      <alignment horizontal="centerContinuous" vertical="justify"/>
    </xf>
    <xf numFmtId="0" fontId="21" fillId="19" borderId="8" xfId="99" applyFont="1" applyFill="1" applyBorder="1"/>
    <xf numFmtId="0" fontId="21" fillId="19" borderId="9" xfId="99" applyFont="1" applyFill="1" applyBorder="1"/>
    <xf numFmtId="0" fontId="21" fillId="19" borderId="10" xfId="99" applyFont="1" applyFill="1" applyBorder="1"/>
    <xf numFmtId="172" fontId="18" fillId="5" borderId="11" xfId="99" applyNumberFormat="1" applyFont="1" applyFill="1" applyBorder="1" applyAlignment="1">
      <alignment horizontal="center" wrapText="1"/>
    </xf>
    <xf numFmtId="0" fontId="22" fillId="5" borderId="14" xfId="99" applyFont="1" applyFill="1" applyBorder="1" applyAlignment="1">
      <alignment horizontal="center" wrapText="1"/>
    </xf>
    <xf numFmtId="0" fontId="0" fillId="5" borderId="11" xfId="0" applyFill="1" applyBorder="1"/>
    <xf numFmtId="0" fontId="0" fillId="5" borderId="0" xfId="0" applyFill="1" applyBorder="1"/>
    <xf numFmtId="0" fontId="0" fillId="5" borderId="14" xfId="0" applyFill="1" applyBorder="1"/>
    <xf numFmtId="172" fontId="18" fillId="5" borderId="11" xfId="99" applyNumberFormat="1" applyFont="1" applyFill="1" applyBorder="1" applyAlignment="1">
      <alignment horizontal="left" wrapText="1"/>
    </xf>
    <xf numFmtId="164" fontId="22" fillId="20" borderId="17" xfId="1" applyNumberFormat="1" applyFont="1" applyFill="1" applyBorder="1" applyAlignment="1">
      <alignment horizontal="center" wrapText="1"/>
    </xf>
    <xf numFmtId="43" fontId="0" fillId="5" borderId="11" xfId="1" applyFont="1" applyFill="1" applyBorder="1"/>
    <xf numFmtId="0" fontId="3" fillId="5" borderId="11" xfId="99" applyFont="1" applyFill="1" applyBorder="1" applyAlignment="1">
      <alignment wrapText="1"/>
    </xf>
    <xf numFmtId="43" fontId="0" fillId="5" borderId="0" xfId="1" applyFont="1" applyFill="1" applyBorder="1"/>
    <xf numFmtId="173" fontId="23" fillId="21" borderId="14" xfId="1" applyNumberFormat="1" applyFont="1" applyFill="1" applyBorder="1"/>
    <xf numFmtId="173" fontId="24" fillId="21" borderId="14" xfId="1" applyNumberFormat="1" applyFont="1" applyFill="1" applyBorder="1"/>
    <xf numFmtId="173" fontId="3" fillId="21" borderId="14" xfId="1" applyNumberFormat="1" applyFont="1" applyFill="1" applyBorder="1"/>
    <xf numFmtId="173" fontId="23" fillId="5" borderId="14" xfId="1" applyNumberFormat="1" applyFont="1" applyFill="1" applyBorder="1"/>
    <xf numFmtId="173" fontId="23" fillId="22" borderId="17" xfId="1" applyNumberFormat="1" applyFont="1" applyFill="1" applyBorder="1"/>
    <xf numFmtId="43" fontId="0" fillId="23" borderId="14" xfId="1" applyFont="1" applyFill="1" applyBorder="1"/>
    <xf numFmtId="0" fontId="0" fillId="5" borderId="12" xfId="0" applyFill="1" applyBorder="1"/>
    <xf numFmtId="43" fontId="0" fillId="23" borderId="15" xfId="1" applyFont="1" applyFill="1" applyBorder="1"/>
    <xf numFmtId="43" fontId="0" fillId="5" borderId="12" xfId="1" applyFont="1" applyFill="1" applyBorder="1"/>
    <xf numFmtId="43" fontId="0" fillId="5" borderId="13" xfId="1" applyFont="1" applyFill="1" applyBorder="1"/>
    <xf numFmtId="0" fontId="0" fillId="5" borderId="15" xfId="0" applyFill="1" applyBorder="1"/>
    <xf numFmtId="37" fontId="0" fillId="5" borderId="0" xfId="0" applyNumberFormat="1" applyFill="1"/>
    <xf numFmtId="43" fontId="0" fillId="5" borderId="0" xfId="0" applyNumberFormat="1" applyFill="1"/>
    <xf numFmtId="0" fontId="0" fillId="0" borderId="0" xfId="0" quotePrefix="1" applyNumberFormat="1"/>
    <xf numFmtId="9" fontId="0" fillId="5" borderId="0" xfId="209" applyFont="1" applyFill="1"/>
    <xf numFmtId="10" fontId="0" fillId="5" borderId="0" xfId="209" applyNumberFormat="1" applyFont="1" applyFill="1"/>
    <xf numFmtId="0" fontId="2" fillId="5" borderId="0" xfId="0" applyFont="1" applyFill="1"/>
    <xf numFmtId="0" fontId="0" fillId="5" borderId="14" xfId="0" applyFill="1" applyBorder="1" applyAlignment="1">
      <alignment wrapText="1"/>
    </xf>
    <xf numFmtId="0" fontId="15" fillId="0" borderId="0" xfId="0" applyFont="1"/>
    <xf numFmtId="0" fontId="0" fillId="0" borderId="0" xfId="0" applyAlignment="1"/>
    <xf numFmtId="164" fontId="15" fillId="0" borderId="0" xfId="94" applyNumberFormat="1" applyFont="1"/>
    <xf numFmtId="164" fontId="15" fillId="0" borderId="0" xfId="87" applyNumberFormat="1" applyFont="1"/>
    <xf numFmtId="164" fontId="16" fillId="0" borderId="0" xfId="87" applyNumberFormat="1" applyFont="1" applyAlignment="1">
      <alignment horizontal="center"/>
    </xf>
    <xf numFmtId="164" fontId="15" fillId="0" borderId="0" xfId="87" applyNumberFormat="1" applyFont="1" applyAlignment="1">
      <alignment horizontal="center"/>
    </xf>
    <xf numFmtId="0" fontId="15" fillId="0" borderId="0" xfId="87" applyNumberFormat="1" applyFont="1" applyAlignment="1">
      <alignment horizontal="center"/>
    </xf>
    <xf numFmtId="164" fontId="15" fillId="0" borderId="1" xfId="87" applyNumberFormat="1" applyFont="1" applyBorder="1" applyAlignment="1">
      <alignment horizontal="right"/>
    </xf>
    <xf numFmtId="164" fontId="15" fillId="0" borderId="5" xfId="87" applyNumberFormat="1" applyFont="1" applyBorder="1"/>
    <xf numFmtId="171" fontId="15" fillId="0" borderId="5" xfId="12" applyNumberFormat="1" applyFont="1" applyBorder="1"/>
    <xf numFmtId="171" fontId="16" fillId="0" borderId="5" xfId="12" applyNumberFormat="1" applyFont="1" applyBorder="1"/>
    <xf numFmtId="0" fontId="15" fillId="0" borderId="0" xfId="87" applyNumberFormat="1" applyFont="1"/>
    <xf numFmtId="171" fontId="15" fillId="0" borderId="6" xfId="12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164" fontId="15" fillId="0" borderId="0" xfId="0" applyNumberFormat="1" applyFont="1"/>
    <xf numFmtId="171" fontId="15" fillId="0" borderId="0" xfId="0" applyNumberFormat="1" applyFont="1"/>
    <xf numFmtId="164" fontId="16" fillId="0" borderId="0" xfId="87" applyNumberFormat="1" applyFont="1"/>
    <xf numFmtId="164" fontId="16" fillId="0" borderId="1" xfId="87" applyNumberFormat="1" applyFon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164" fontId="0" fillId="0" borderId="4" xfId="1" applyNumberFormat="1" applyFont="1" applyFill="1" applyBorder="1"/>
    <xf numFmtId="43" fontId="0" fillId="0" borderId="4" xfId="1" applyFont="1" applyFill="1" applyBorder="1"/>
    <xf numFmtId="43" fontId="0" fillId="0" borderId="4" xfId="1" applyFont="1" applyFill="1" applyBorder="1" applyAlignment="1">
      <alignment horizontal="right"/>
    </xf>
    <xf numFmtId="0" fontId="0" fillId="0" borderId="4" xfId="0" applyFill="1" applyBorder="1"/>
    <xf numFmtId="43" fontId="0" fillId="0" borderId="3" xfId="1" applyFont="1" applyFill="1" applyBorder="1"/>
    <xf numFmtId="40" fontId="16" fillId="0" borderId="0" xfId="87" applyNumberFormat="1" applyFont="1" applyBorder="1"/>
    <xf numFmtId="164" fontId="15" fillId="0" borderId="0" xfId="87" applyNumberFormat="1" applyFont="1" applyBorder="1"/>
    <xf numFmtId="40" fontId="15" fillId="0" borderId="0" xfId="87" applyNumberFormat="1" applyFont="1" applyBorder="1"/>
    <xf numFmtId="171" fontId="15" fillId="0" borderId="0" xfId="12" applyNumberFormat="1" applyFont="1" applyBorder="1"/>
    <xf numFmtId="0" fontId="13" fillId="0" borderId="0" xfId="126" applyFont="1"/>
    <xf numFmtId="0" fontId="1" fillId="0" borderId="0" xfId="126"/>
    <xf numFmtId="43" fontId="15" fillId="0" borderId="0" xfId="87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Border="1"/>
    <xf numFmtId="164" fontId="0" fillId="0" borderId="0" xfId="0" applyNumberFormat="1" applyFont="1" applyBorder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164" fontId="1" fillId="0" borderId="1" xfId="1" applyNumberFormat="1" applyFont="1" applyBorder="1"/>
    <xf numFmtId="164" fontId="1" fillId="0" borderId="0" xfId="1" applyNumberFormat="1" applyFont="1" applyBorder="1"/>
    <xf numFmtId="164" fontId="1" fillId="2" borderId="0" xfId="1" applyNumberFormat="1" applyFont="1" applyFill="1"/>
    <xf numFmtId="164" fontId="1" fillId="0" borderId="0" xfId="1" applyNumberFormat="1" applyFont="1" applyFill="1" applyBorder="1"/>
    <xf numFmtId="164" fontId="1" fillId="0" borderId="0" xfId="1" applyNumberFormat="1" applyFont="1" applyFill="1"/>
  </cellXfs>
  <cellStyles count="213">
    <cellStyle name="20% - Accent1 2" xfId="100" xr:uid="{00000000-0005-0000-0000-000000000000}"/>
    <cellStyle name="20% - Accent2 2" xfId="101" xr:uid="{00000000-0005-0000-0000-000001000000}"/>
    <cellStyle name="20% - Accent3 2" xfId="102" xr:uid="{00000000-0005-0000-0000-000002000000}"/>
    <cellStyle name="20% - Accent4 2" xfId="103" xr:uid="{00000000-0005-0000-0000-000003000000}"/>
    <cellStyle name="20% - Accent5 2" xfId="104" xr:uid="{00000000-0005-0000-0000-000004000000}"/>
    <cellStyle name="20% - Accent6 2" xfId="105" xr:uid="{00000000-0005-0000-0000-000005000000}"/>
    <cellStyle name="40% - Accent1 2" xfId="106" xr:uid="{00000000-0005-0000-0000-000006000000}"/>
    <cellStyle name="40% - Accent2 2" xfId="107" xr:uid="{00000000-0005-0000-0000-000007000000}"/>
    <cellStyle name="40% - Accent3 2" xfId="108" xr:uid="{00000000-0005-0000-0000-000008000000}"/>
    <cellStyle name="40% - Accent4 2" xfId="109" xr:uid="{00000000-0005-0000-0000-000009000000}"/>
    <cellStyle name="40% - Accent5 2" xfId="110" xr:uid="{00000000-0005-0000-0000-00000A000000}"/>
    <cellStyle name="40% - Accent6 2" xfId="111" xr:uid="{00000000-0005-0000-0000-00000B000000}"/>
    <cellStyle name="ColumnHeading" xfId="97" xr:uid="{00000000-0005-0000-0000-00000C000000}"/>
    <cellStyle name="Comma" xfId="1" builtinId="3"/>
    <cellStyle name="Comma 13" xfId="94" xr:uid="{00000000-0005-0000-0000-00000E000000}"/>
    <cellStyle name="Comma 2" xfId="4" xr:uid="{00000000-0005-0000-0000-00000F000000}"/>
    <cellStyle name="Comma 2 2" xfId="87" xr:uid="{00000000-0005-0000-0000-000010000000}"/>
    <cellStyle name="Comma 2 3" xfId="90" xr:uid="{00000000-0005-0000-0000-000011000000}"/>
    <cellStyle name="Comma 3" xfId="6" xr:uid="{00000000-0005-0000-0000-000012000000}"/>
    <cellStyle name="Comma 3 2" xfId="96" xr:uid="{00000000-0005-0000-0000-000013000000}"/>
    <cellStyle name="Comma 4" xfId="10" xr:uid="{00000000-0005-0000-0000-000014000000}"/>
    <cellStyle name="Comma 5" xfId="89" xr:uid="{00000000-0005-0000-0000-000015000000}"/>
    <cellStyle name="Comma 6" xfId="91" xr:uid="{00000000-0005-0000-0000-000016000000}"/>
    <cellStyle name="Currency 2" xfId="12" xr:uid="{00000000-0005-0000-0000-000017000000}"/>
    <cellStyle name="Currency 2 2" xfId="212" xr:uid="{00000000-0005-0000-0000-000018000000}"/>
    <cellStyle name="Currency 3" xfId="13" xr:uid="{00000000-0005-0000-0000-000019000000}"/>
    <cellStyle name="Currency 4" xfId="92" xr:uid="{00000000-0005-0000-0000-00001A000000}"/>
    <cellStyle name="FRxAmtStyle" xfId="9" xr:uid="{00000000-0005-0000-0000-00001B000000}"/>
    <cellStyle name="FRxAmtStyle 10" xfId="14" xr:uid="{00000000-0005-0000-0000-00001C000000}"/>
    <cellStyle name="FRxAmtStyle 11" xfId="15" xr:uid="{00000000-0005-0000-0000-00001D000000}"/>
    <cellStyle name="FRxAmtStyle 12" xfId="16" xr:uid="{00000000-0005-0000-0000-00001E000000}"/>
    <cellStyle name="FRxAmtStyle 13" xfId="17" xr:uid="{00000000-0005-0000-0000-00001F000000}"/>
    <cellStyle name="FRxAmtStyle 14" xfId="18" xr:uid="{00000000-0005-0000-0000-000020000000}"/>
    <cellStyle name="FRxAmtStyle 15" xfId="19" xr:uid="{00000000-0005-0000-0000-000021000000}"/>
    <cellStyle name="FRxAmtStyle 16" xfId="20" xr:uid="{00000000-0005-0000-0000-000022000000}"/>
    <cellStyle name="FRxAmtStyle 17" xfId="21" xr:uid="{00000000-0005-0000-0000-000023000000}"/>
    <cellStyle name="FRxAmtStyle 18" xfId="22" xr:uid="{00000000-0005-0000-0000-000024000000}"/>
    <cellStyle name="FRxAmtStyle 19" xfId="23" xr:uid="{00000000-0005-0000-0000-000025000000}"/>
    <cellStyle name="FRxAmtStyle 2" xfId="24" xr:uid="{00000000-0005-0000-0000-000026000000}"/>
    <cellStyle name="FRxAmtStyle 2 2" xfId="112" xr:uid="{00000000-0005-0000-0000-000027000000}"/>
    <cellStyle name="FRxAmtStyle 20" xfId="25" xr:uid="{00000000-0005-0000-0000-000028000000}"/>
    <cellStyle name="FRxAmtStyle 21" xfId="26" xr:uid="{00000000-0005-0000-0000-000029000000}"/>
    <cellStyle name="FRxAmtStyle 22" xfId="27" xr:uid="{00000000-0005-0000-0000-00002A000000}"/>
    <cellStyle name="FRxAmtStyle 23" xfId="28" xr:uid="{00000000-0005-0000-0000-00002B000000}"/>
    <cellStyle name="FRxAmtStyle 24" xfId="29" xr:uid="{00000000-0005-0000-0000-00002C000000}"/>
    <cellStyle name="FRxAmtStyle 25" xfId="30" xr:uid="{00000000-0005-0000-0000-00002D000000}"/>
    <cellStyle name="FRxAmtStyle 26" xfId="31" xr:uid="{00000000-0005-0000-0000-00002E000000}"/>
    <cellStyle name="FRxAmtStyle 27" xfId="32" xr:uid="{00000000-0005-0000-0000-00002F000000}"/>
    <cellStyle name="FRxAmtStyle 28" xfId="33" xr:uid="{00000000-0005-0000-0000-000030000000}"/>
    <cellStyle name="FRxAmtStyle 29" xfId="34" xr:uid="{00000000-0005-0000-0000-000031000000}"/>
    <cellStyle name="FRxAmtStyle 3" xfId="35" xr:uid="{00000000-0005-0000-0000-000032000000}"/>
    <cellStyle name="FRxAmtStyle 30" xfId="36" xr:uid="{00000000-0005-0000-0000-000033000000}"/>
    <cellStyle name="FRxAmtStyle 31" xfId="37" xr:uid="{00000000-0005-0000-0000-000034000000}"/>
    <cellStyle name="FRxAmtStyle 32" xfId="38" xr:uid="{00000000-0005-0000-0000-000035000000}"/>
    <cellStyle name="FRxAmtStyle 33" xfId="39" xr:uid="{00000000-0005-0000-0000-000036000000}"/>
    <cellStyle name="FRxAmtStyle 34" xfId="40" xr:uid="{00000000-0005-0000-0000-000037000000}"/>
    <cellStyle name="FRxAmtStyle 35" xfId="41" xr:uid="{00000000-0005-0000-0000-000038000000}"/>
    <cellStyle name="FRxAmtStyle 36" xfId="11" xr:uid="{00000000-0005-0000-0000-000039000000}"/>
    <cellStyle name="FRxAmtStyle 4" xfId="42" xr:uid="{00000000-0005-0000-0000-00003A000000}"/>
    <cellStyle name="FRxAmtStyle 5" xfId="43" xr:uid="{00000000-0005-0000-0000-00003B000000}"/>
    <cellStyle name="FRxAmtStyle 6" xfId="44" xr:uid="{00000000-0005-0000-0000-00003C000000}"/>
    <cellStyle name="FRxAmtStyle 7" xfId="45" xr:uid="{00000000-0005-0000-0000-00003D000000}"/>
    <cellStyle name="FRxAmtStyle 8" xfId="46" xr:uid="{00000000-0005-0000-0000-00003E000000}"/>
    <cellStyle name="FRxAmtStyle 9" xfId="47" xr:uid="{00000000-0005-0000-0000-00003F000000}"/>
    <cellStyle name="FRxAmtStyle_Controll Sum" xfId="113" xr:uid="{00000000-0005-0000-0000-000040000000}"/>
    <cellStyle name="FRxCurrStyle" xfId="48" xr:uid="{00000000-0005-0000-0000-000041000000}"/>
    <cellStyle name="FRxCurrStyle 2" xfId="114" xr:uid="{00000000-0005-0000-0000-000042000000}"/>
    <cellStyle name="FRxCurrStyle 2 2" xfId="115" xr:uid="{00000000-0005-0000-0000-000043000000}"/>
    <cellStyle name="FRxCurrStyle 2 3" xfId="116" xr:uid="{00000000-0005-0000-0000-000044000000}"/>
    <cellStyle name="FRxCurrStyle 3" xfId="117" xr:uid="{00000000-0005-0000-0000-000045000000}"/>
    <cellStyle name="FRxCurrStyle 4" xfId="118" xr:uid="{00000000-0005-0000-0000-000046000000}"/>
    <cellStyle name="FRxCurrStyle 5" xfId="119" xr:uid="{00000000-0005-0000-0000-000047000000}"/>
    <cellStyle name="FRxCurrStyle 6" xfId="120" xr:uid="{00000000-0005-0000-0000-000048000000}"/>
    <cellStyle name="FRxCurrStyle_Controll Sum" xfId="121" xr:uid="{00000000-0005-0000-0000-000049000000}"/>
    <cellStyle name="FRxPcntStyle" xfId="49" xr:uid="{00000000-0005-0000-0000-00004A000000}"/>
    <cellStyle name="FRxPcntStyle 2" xfId="122" xr:uid="{00000000-0005-0000-0000-00004B000000}"/>
    <cellStyle name="FRxPcntStyle 3" xfId="123" xr:uid="{00000000-0005-0000-0000-00004C000000}"/>
    <cellStyle name="FRxPcntStyle 4" xfId="124" xr:uid="{00000000-0005-0000-0000-00004D000000}"/>
    <cellStyle name="FRxPcntStyle_Controll Sum" xfId="125" xr:uid="{00000000-0005-0000-0000-00004E000000}"/>
    <cellStyle name="Heading 4 2" xfId="50" xr:uid="{00000000-0005-0000-0000-00004F000000}"/>
    <cellStyle name="Normal" xfId="0" builtinId="0"/>
    <cellStyle name="Normal 10" xfId="51" xr:uid="{00000000-0005-0000-0000-000051000000}"/>
    <cellStyle name="Normal 11" xfId="52" xr:uid="{00000000-0005-0000-0000-000052000000}"/>
    <cellStyle name="Normal 12" xfId="53" xr:uid="{00000000-0005-0000-0000-000053000000}"/>
    <cellStyle name="Normal 13" xfId="54" xr:uid="{00000000-0005-0000-0000-000054000000}"/>
    <cellStyle name="Normal 14" xfId="55" xr:uid="{00000000-0005-0000-0000-000055000000}"/>
    <cellStyle name="Normal 15" xfId="56" xr:uid="{00000000-0005-0000-0000-000056000000}"/>
    <cellStyle name="Normal 16" xfId="57" xr:uid="{00000000-0005-0000-0000-000057000000}"/>
    <cellStyle name="Normal 17" xfId="58" xr:uid="{00000000-0005-0000-0000-000058000000}"/>
    <cellStyle name="Normal 18" xfId="59" xr:uid="{00000000-0005-0000-0000-000059000000}"/>
    <cellStyle name="Normal 19" xfId="60" xr:uid="{00000000-0005-0000-0000-00005A000000}"/>
    <cellStyle name="Normal 2" xfId="2" xr:uid="{00000000-0005-0000-0000-00005B000000}"/>
    <cellStyle name="Normal 2 2" xfId="126" xr:uid="{00000000-0005-0000-0000-00005C000000}"/>
    <cellStyle name="Normal 2 2 2" xfId="98" xr:uid="{00000000-0005-0000-0000-00005D000000}"/>
    <cellStyle name="Normal 20" xfId="61" xr:uid="{00000000-0005-0000-0000-00005E000000}"/>
    <cellStyle name="Normal 21" xfId="62" xr:uid="{00000000-0005-0000-0000-00005F000000}"/>
    <cellStyle name="Normal 22" xfId="63" xr:uid="{00000000-0005-0000-0000-000060000000}"/>
    <cellStyle name="Normal 23" xfId="64" xr:uid="{00000000-0005-0000-0000-000061000000}"/>
    <cellStyle name="Normal 24" xfId="65" xr:uid="{00000000-0005-0000-0000-000062000000}"/>
    <cellStyle name="Normal 25" xfId="66" xr:uid="{00000000-0005-0000-0000-000063000000}"/>
    <cellStyle name="Normal 26" xfId="67" xr:uid="{00000000-0005-0000-0000-000064000000}"/>
    <cellStyle name="Normal 27" xfId="68" xr:uid="{00000000-0005-0000-0000-000065000000}"/>
    <cellStyle name="Normal 28" xfId="69" xr:uid="{00000000-0005-0000-0000-000066000000}"/>
    <cellStyle name="Normal 29" xfId="70" xr:uid="{00000000-0005-0000-0000-000067000000}"/>
    <cellStyle name="Normal 3" xfId="3" xr:uid="{00000000-0005-0000-0000-000068000000}"/>
    <cellStyle name="Normal 3 2" xfId="127" xr:uid="{00000000-0005-0000-0000-000069000000}"/>
    <cellStyle name="Normal 30" xfId="71" xr:uid="{00000000-0005-0000-0000-00006A000000}"/>
    <cellStyle name="Normal 31" xfId="72" xr:uid="{00000000-0005-0000-0000-00006B000000}"/>
    <cellStyle name="Normal 32" xfId="73" xr:uid="{00000000-0005-0000-0000-00006C000000}"/>
    <cellStyle name="Normal 33" xfId="74" xr:uid="{00000000-0005-0000-0000-00006D000000}"/>
    <cellStyle name="Normal 34" xfId="88" xr:uid="{00000000-0005-0000-0000-00006E000000}"/>
    <cellStyle name="Normal 35" xfId="128" xr:uid="{00000000-0005-0000-0000-00006F000000}"/>
    <cellStyle name="Normal 36" xfId="208" xr:uid="{00000000-0005-0000-0000-000070000000}"/>
    <cellStyle name="Normal 37" xfId="210" xr:uid="{00000000-0005-0000-0000-000071000000}"/>
    <cellStyle name="Normal 38" xfId="211" xr:uid="{00000000-0005-0000-0000-000072000000}"/>
    <cellStyle name="Normal 4" xfId="8" xr:uid="{00000000-0005-0000-0000-000073000000}"/>
    <cellStyle name="Normal 4 2" xfId="129" xr:uid="{00000000-0005-0000-0000-000074000000}"/>
    <cellStyle name="Normal 5" xfId="75" xr:uid="{00000000-0005-0000-0000-000075000000}"/>
    <cellStyle name="Normal 6" xfId="76" xr:uid="{00000000-0005-0000-0000-000076000000}"/>
    <cellStyle name="Normal 7" xfId="77" xr:uid="{00000000-0005-0000-0000-000077000000}"/>
    <cellStyle name="Normal 8" xfId="78" xr:uid="{00000000-0005-0000-0000-000078000000}"/>
    <cellStyle name="Normal 9" xfId="79" xr:uid="{00000000-0005-0000-0000-000079000000}"/>
    <cellStyle name="Normal_Summerville Covenant Compliance Worksheet - 200510062" xfId="99" xr:uid="{00000000-0005-0000-0000-00007A000000}"/>
    <cellStyle name="Note 2" xfId="130" xr:uid="{00000000-0005-0000-0000-00007B000000}"/>
    <cellStyle name="Note 3" xfId="131" xr:uid="{00000000-0005-0000-0000-00007C000000}"/>
    <cellStyle name="Percent" xfId="209" builtinId="5"/>
    <cellStyle name="Percent 2" xfId="5" xr:uid="{00000000-0005-0000-0000-00007E000000}"/>
    <cellStyle name="Percent 2 2" xfId="93" xr:uid="{00000000-0005-0000-0000-00007F000000}"/>
    <cellStyle name="Percent 3" xfId="7" xr:uid="{00000000-0005-0000-0000-000080000000}"/>
    <cellStyle name="Percent 4" xfId="95" xr:uid="{00000000-0005-0000-0000-000081000000}"/>
    <cellStyle name="STYLE1" xfId="80" xr:uid="{00000000-0005-0000-0000-000082000000}"/>
    <cellStyle name="STYLE1 2" xfId="132" xr:uid="{00000000-0005-0000-0000-000083000000}"/>
    <cellStyle name="STYLE1 3" xfId="133" xr:uid="{00000000-0005-0000-0000-000084000000}"/>
    <cellStyle name="STYLE1 4" xfId="134" xr:uid="{00000000-0005-0000-0000-000085000000}"/>
    <cellStyle name="STYLE1_Controll Sum" xfId="135" xr:uid="{00000000-0005-0000-0000-000086000000}"/>
    <cellStyle name="STYLE2" xfId="81" xr:uid="{00000000-0005-0000-0000-000087000000}"/>
    <cellStyle name="STYLE2 2" xfId="136" xr:uid="{00000000-0005-0000-0000-000088000000}"/>
    <cellStyle name="STYLE2 2 2" xfId="137" xr:uid="{00000000-0005-0000-0000-000089000000}"/>
    <cellStyle name="STYLE2 2 3" xfId="138" xr:uid="{00000000-0005-0000-0000-00008A000000}"/>
    <cellStyle name="STYLE2 3" xfId="139" xr:uid="{00000000-0005-0000-0000-00008B000000}"/>
    <cellStyle name="STYLE2 3 2" xfId="140" xr:uid="{00000000-0005-0000-0000-00008C000000}"/>
    <cellStyle name="STYLE2 3 3" xfId="141" xr:uid="{00000000-0005-0000-0000-00008D000000}"/>
    <cellStyle name="STYLE2 4" xfId="142" xr:uid="{00000000-0005-0000-0000-00008E000000}"/>
    <cellStyle name="STYLE2 5" xfId="143" xr:uid="{00000000-0005-0000-0000-00008F000000}"/>
    <cellStyle name="STYLE2 6" xfId="144" xr:uid="{00000000-0005-0000-0000-000090000000}"/>
    <cellStyle name="STYLE2 7" xfId="145" xr:uid="{00000000-0005-0000-0000-000091000000}"/>
    <cellStyle name="STYLE2 8" xfId="146" xr:uid="{00000000-0005-0000-0000-000092000000}"/>
    <cellStyle name="STYLE2 9" xfId="147" xr:uid="{00000000-0005-0000-0000-000093000000}"/>
    <cellStyle name="STYLE2_Controll Sum" xfId="148" xr:uid="{00000000-0005-0000-0000-000094000000}"/>
    <cellStyle name="STYLE3" xfId="82" xr:uid="{00000000-0005-0000-0000-000095000000}"/>
    <cellStyle name="STYLE3 2" xfId="149" xr:uid="{00000000-0005-0000-0000-000096000000}"/>
    <cellStyle name="STYLE3 2 2" xfId="150" xr:uid="{00000000-0005-0000-0000-000097000000}"/>
    <cellStyle name="STYLE3 2 3" xfId="151" xr:uid="{00000000-0005-0000-0000-000098000000}"/>
    <cellStyle name="STYLE3 3" xfId="152" xr:uid="{00000000-0005-0000-0000-000099000000}"/>
    <cellStyle name="STYLE3 3 2" xfId="153" xr:uid="{00000000-0005-0000-0000-00009A000000}"/>
    <cellStyle name="STYLE3 3 3" xfId="154" xr:uid="{00000000-0005-0000-0000-00009B000000}"/>
    <cellStyle name="STYLE3 4" xfId="155" xr:uid="{00000000-0005-0000-0000-00009C000000}"/>
    <cellStyle name="STYLE3 5" xfId="156" xr:uid="{00000000-0005-0000-0000-00009D000000}"/>
    <cellStyle name="STYLE3 6" xfId="157" xr:uid="{00000000-0005-0000-0000-00009E000000}"/>
    <cellStyle name="STYLE3 7" xfId="158" xr:uid="{00000000-0005-0000-0000-00009F000000}"/>
    <cellStyle name="STYLE3 8" xfId="159" xr:uid="{00000000-0005-0000-0000-0000A0000000}"/>
    <cellStyle name="STYLE3 9" xfId="160" xr:uid="{00000000-0005-0000-0000-0000A1000000}"/>
    <cellStyle name="STYLE3_Controll Sum" xfId="161" xr:uid="{00000000-0005-0000-0000-0000A2000000}"/>
    <cellStyle name="STYLE4" xfId="83" xr:uid="{00000000-0005-0000-0000-0000A3000000}"/>
    <cellStyle name="STYLE4 10" xfId="162" xr:uid="{00000000-0005-0000-0000-0000A4000000}"/>
    <cellStyle name="STYLE4 11" xfId="163" xr:uid="{00000000-0005-0000-0000-0000A5000000}"/>
    <cellStyle name="STYLE4 12" xfId="164" xr:uid="{00000000-0005-0000-0000-0000A6000000}"/>
    <cellStyle name="STYLE4 2" xfId="165" xr:uid="{00000000-0005-0000-0000-0000A7000000}"/>
    <cellStyle name="STYLE4 2 2" xfId="166" xr:uid="{00000000-0005-0000-0000-0000A8000000}"/>
    <cellStyle name="STYLE4 2 3" xfId="167" xr:uid="{00000000-0005-0000-0000-0000A9000000}"/>
    <cellStyle name="STYLE4 3" xfId="168" xr:uid="{00000000-0005-0000-0000-0000AA000000}"/>
    <cellStyle name="STYLE4 3 2" xfId="169" xr:uid="{00000000-0005-0000-0000-0000AB000000}"/>
    <cellStyle name="STYLE4 3 3" xfId="170" xr:uid="{00000000-0005-0000-0000-0000AC000000}"/>
    <cellStyle name="STYLE4 4" xfId="171" xr:uid="{00000000-0005-0000-0000-0000AD000000}"/>
    <cellStyle name="STYLE4 4 2" xfId="172" xr:uid="{00000000-0005-0000-0000-0000AE000000}"/>
    <cellStyle name="STYLE4 4 3" xfId="173" xr:uid="{00000000-0005-0000-0000-0000AF000000}"/>
    <cellStyle name="STYLE4 5" xfId="174" xr:uid="{00000000-0005-0000-0000-0000B0000000}"/>
    <cellStyle name="STYLE4 6" xfId="175" xr:uid="{00000000-0005-0000-0000-0000B1000000}"/>
    <cellStyle name="STYLE4 7" xfId="176" xr:uid="{00000000-0005-0000-0000-0000B2000000}"/>
    <cellStyle name="STYLE4 8" xfId="177" xr:uid="{00000000-0005-0000-0000-0000B3000000}"/>
    <cellStyle name="STYLE4 9" xfId="178" xr:uid="{00000000-0005-0000-0000-0000B4000000}"/>
    <cellStyle name="STYLE4_Controll Sum" xfId="179" xr:uid="{00000000-0005-0000-0000-0000B5000000}"/>
    <cellStyle name="STYLE5" xfId="84" xr:uid="{00000000-0005-0000-0000-0000B6000000}"/>
    <cellStyle name="STYLE5 2" xfId="180" xr:uid="{00000000-0005-0000-0000-0000B7000000}"/>
    <cellStyle name="STYLE5 2 2" xfId="181" xr:uid="{00000000-0005-0000-0000-0000B8000000}"/>
    <cellStyle name="STYLE5 2 3" xfId="182" xr:uid="{00000000-0005-0000-0000-0000B9000000}"/>
    <cellStyle name="STYLE5 3" xfId="183" xr:uid="{00000000-0005-0000-0000-0000BA000000}"/>
    <cellStyle name="STYLE5 4" xfId="184" xr:uid="{00000000-0005-0000-0000-0000BB000000}"/>
    <cellStyle name="STYLE5 5" xfId="185" xr:uid="{00000000-0005-0000-0000-0000BC000000}"/>
    <cellStyle name="STYLE5 6" xfId="186" xr:uid="{00000000-0005-0000-0000-0000BD000000}"/>
    <cellStyle name="STYLE5 7" xfId="187" xr:uid="{00000000-0005-0000-0000-0000BE000000}"/>
    <cellStyle name="STYLE5 8" xfId="188" xr:uid="{00000000-0005-0000-0000-0000BF000000}"/>
    <cellStyle name="STYLE5_Controll Sum" xfId="189" xr:uid="{00000000-0005-0000-0000-0000C0000000}"/>
    <cellStyle name="STYLE6" xfId="85" xr:uid="{00000000-0005-0000-0000-0000C1000000}"/>
    <cellStyle name="STYLE6 2" xfId="190" xr:uid="{00000000-0005-0000-0000-0000C2000000}"/>
    <cellStyle name="STYLE6 2 2" xfId="191" xr:uid="{00000000-0005-0000-0000-0000C3000000}"/>
    <cellStyle name="STYLE6 2 3" xfId="192" xr:uid="{00000000-0005-0000-0000-0000C4000000}"/>
    <cellStyle name="STYLE6 3" xfId="193" xr:uid="{00000000-0005-0000-0000-0000C5000000}"/>
    <cellStyle name="STYLE6 4" xfId="194" xr:uid="{00000000-0005-0000-0000-0000C6000000}"/>
    <cellStyle name="STYLE6 5" xfId="195" xr:uid="{00000000-0005-0000-0000-0000C7000000}"/>
    <cellStyle name="STYLE7" xfId="86" xr:uid="{00000000-0005-0000-0000-0000C8000000}"/>
    <cellStyle name="STYLE7 2" xfId="196" xr:uid="{00000000-0005-0000-0000-0000C9000000}"/>
    <cellStyle name="STYLE7 3" xfId="197" xr:uid="{00000000-0005-0000-0000-0000CA000000}"/>
    <cellStyle name="STYLE7 4" xfId="198" xr:uid="{00000000-0005-0000-0000-0000CB000000}"/>
    <cellStyle name="STYLE7 5" xfId="199" xr:uid="{00000000-0005-0000-0000-0000CC000000}"/>
    <cellStyle name="STYLE7 6" xfId="200" xr:uid="{00000000-0005-0000-0000-0000CD000000}"/>
    <cellStyle name="STYLE8" xfId="201" xr:uid="{00000000-0005-0000-0000-0000CE000000}"/>
    <cellStyle name="STYLE8 2" xfId="202" xr:uid="{00000000-0005-0000-0000-0000CF000000}"/>
    <cellStyle name="STYLE8 3" xfId="203" xr:uid="{00000000-0005-0000-0000-0000D0000000}"/>
    <cellStyle name="STYLE8 4" xfId="204" xr:uid="{00000000-0005-0000-0000-0000D1000000}"/>
    <cellStyle name="STYLE8 5" xfId="205" xr:uid="{00000000-0005-0000-0000-0000D2000000}"/>
    <cellStyle name="STYLE9" xfId="206" xr:uid="{00000000-0005-0000-0000-0000D3000000}"/>
    <cellStyle name="STYLE9 2" xfId="207" xr:uid="{00000000-0005-0000-0000-0000D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681990</xdr:colOff>
          <xdr:row>0</xdr:row>
          <xdr:rowOff>0</xdr:rowOff>
        </xdr:to>
        <xdr:sp macro="" textlink="">
          <xdr:nvSpPr>
            <xdr:cNvPr id="3073" name="FPMExcelClientSheetOptionstb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1196340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1196340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1196340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1196340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2049" name="FPMExcelClientSheetOptions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4097" name="FPMExcelClientSheetOptionstb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26625" name="FPMExcelClientSheetOptionstb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F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ublic%20Files\Asset%20Management\Asset%20Management%20Web%20App\Relationships\M_00059%20-%20Health%20Systems\Monthly%20Financials\2018\2018.01%20-%20Health%20Syste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rla/My%20Documents/2017/Missouri/Trial%20Balance%20-%20Facilities-A-J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psr02\nvision\Layout\CTRS_PAYR_OS_GHC_NSG.xn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ReportingTemplate_unlocked"/>
      <sheetName val="Ashland"/>
      <sheetName val="Bellefontaine"/>
      <sheetName val="Current_River"/>
      <sheetName val="Dixon"/>
      <sheetName val="Forsyth"/>
      <sheetName val="Glenwood"/>
      <sheetName val="Maryville"/>
      <sheetName val="Silex"/>
      <sheetName val="South_Hampton"/>
      <sheetName val="Strafford"/>
      <sheetName val="Windsor"/>
      <sheetName val="Definitions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Segments"/>
      <sheetName val="AccountSegments"/>
      <sheetName val="AccountGroups"/>
      <sheetName val="Acc Structure"/>
      <sheetName val="FiscalYearDetail"/>
      <sheetName val="Settings"/>
      <sheetName val="Currency"/>
      <sheetName val="OpeningBalance"/>
      <sheetName val="Actuals"/>
      <sheetName val="Budgets"/>
      <sheetName val="Quantity"/>
      <sheetName val="Notes"/>
      <sheetName val="ALL"/>
      <sheetName val="ADV"/>
      <sheetName val="ASH"/>
      <sheetName val="BEL"/>
      <sheetName val="BET"/>
      <sheetName val="BLO"/>
      <sheetName val="BRO"/>
      <sheetName val="CAL"/>
      <sheetName val="CAM"/>
      <sheetName val="CAH"/>
      <sheetName val="CED"/>
      <sheetName val="CHA"/>
      <sheetName val="CLA"/>
      <sheetName val="CLE"/>
      <sheetName val="COH"/>
      <sheetName val="COU"/>
      <sheetName val="CRE"/>
      <sheetName val="CRO"/>
      <sheetName val="CUB"/>
      <sheetName val="CUR"/>
      <sheetName val="DEX"/>
      <sheetName val="DIX"/>
      <sheetName val="EAS"/>
      <sheetName val="ELD"/>
      <sheetName val="EXC"/>
      <sheetName val="FAY"/>
      <sheetName val="FOR"/>
      <sheetName val="FUL"/>
      <sheetName val="GAM"/>
      <sheetName val="GER"/>
      <sheetName val="GLA"/>
      <sheetName val="GAR"/>
      <sheetName val="GLE"/>
      <sheetName val="LMC"/>
      <sheetName val="GRA"/>
      <sheetName val="HAR"/>
      <sheetName val="HER"/>
      <sheetName val="HCC"/>
      <sheetName val="HIL"/>
      <sheetName val="JON"/>
      <sheetName val="JOP"/>
      <sheetName val="GHR"/>
      <sheetName val="Z-ALL"/>
      <sheetName val="Z-ADV"/>
      <sheetName val="Z-ASH"/>
      <sheetName val="Z-BEL"/>
      <sheetName val="Z-BET"/>
      <sheetName val="Z-BLO"/>
      <sheetName val="Z-BRO"/>
      <sheetName val="Z-CAL"/>
      <sheetName val="Z-CAM"/>
      <sheetName val="Z-CAH"/>
      <sheetName val="Z-CED"/>
      <sheetName val="Z-CHA"/>
      <sheetName val="Z-CLA"/>
      <sheetName val="Z-CLE"/>
      <sheetName val="Z-COH"/>
      <sheetName val="Z-COU"/>
      <sheetName val="Z-CRE"/>
      <sheetName val="Z-CRO"/>
      <sheetName val="Z-CUB"/>
      <sheetName val="Z-CUR"/>
      <sheetName val="Z-DEX"/>
      <sheetName val="Z-DIX"/>
      <sheetName val="Z-EAS"/>
      <sheetName val="Z-ELD"/>
      <sheetName val="Z-EXC"/>
      <sheetName val="Z-FAY"/>
      <sheetName val="Z-FOR"/>
      <sheetName val="Z-FUL"/>
      <sheetName val="Z-GAM"/>
      <sheetName val="Z-GER"/>
      <sheetName val="Z-GLA"/>
      <sheetName val="Z-GAR"/>
      <sheetName val="Z-GLE"/>
      <sheetName val="Z-LMC"/>
      <sheetName val="Z-GRA"/>
      <sheetName val="Z-HAR"/>
      <sheetName val="Z-HER"/>
      <sheetName val="Z-HCC"/>
      <sheetName val="Z-HIL"/>
      <sheetName val="Z-JON"/>
      <sheetName val="Z-JOP"/>
      <sheetName val="Z-G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>
            <v>42978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stance_Hook"/>
      <sheetName val="History"/>
      <sheetName val="Options"/>
      <sheetName val="Operating Statement"/>
    </sheetNames>
    <sheetDataSet>
      <sheetData sheetId="0" refreshError="1"/>
      <sheetData sheetId="1" refreshError="1"/>
      <sheetData sheetId="2" refreshError="1"/>
      <sheetData sheetId="3" refreshError="1">
        <row r="101">
          <cell r="A101" t="str">
            <v>%,FCHARTFIELD1,TPG_OP_STATE,X,NINS,FACCOUNT,VDAYS,FCURRENCY_CD,V,VUSD</v>
          </cell>
          <cell r="D101" t="str">
            <v>Insurance</v>
          </cell>
          <cell r="M101">
            <v>0</v>
          </cell>
          <cell r="T101">
            <v>0</v>
          </cell>
        </row>
        <row r="103">
          <cell r="A103" t="str">
            <v>%,FCHARTFIELD1,TPG_OP_STATE,X,NMCAID_SNF,FACCOUNT,VDAYS,FCURRENCY_CD,V,VUSD</v>
          </cell>
          <cell r="D103" t="str">
            <v>Medicaid</v>
          </cell>
          <cell r="M103">
            <v>0</v>
          </cell>
          <cell r="T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image" Target="../media/image1.emf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8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customProperty" Target="../customProperty4.bin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vmlDrawing" Target="../drawings/vmlDrawing2.vml"/><Relationship Id="rId10" Type="http://schemas.openxmlformats.org/officeDocument/2006/relationships/control" Target="../activeX/activeX4.xml"/><Relationship Id="rId4" Type="http://schemas.openxmlformats.org/officeDocument/2006/relationships/drawing" Target="../drawings/drawing2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7" Type="http://schemas.openxmlformats.org/officeDocument/2006/relationships/image" Target="../media/image6.emf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23"/>
  <sheetViews>
    <sheetView zoomScale="85" zoomScaleNormal="85" workbookViewId="0">
      <selection activeCell="C16" sqref="C16"/>
    </sheetView>
  </sheetViews>
  <sheetFormatPr defaultColWidth="9.140625" defaultRowHeight="15" x14ac:dyDescent="0.25"/>
  <cols>
    <col min="1" max="1" width="3.5703125" style="37" customWidth="1"/>
    <col min="2" max="2" width="19.42578125" style="37" bestFit="1" customWidth="1"/>
    <col min="3" max="3" width="19" style="37" customWidth="1"/>
    <col min="4" max="4" width="4.7109375" style="37" customWidth="1"/>
    <col min="5" max="5" width="19.140625" style="37" bestFit="1" customWidth="1"/>
    <col min="6" max="6" width="16" style="37" customWidth="1"/>
    <col min="7" max="7" width="6.42578125" style="37" customWidth="1"/>
    <col min="8" max="8" width="15.28515625" style="37" bestFit="1" customWidth="1"/>
    <col min="9" max="9" width="2.5703125" style="37" customWidth="1"/>
    <col min="10" max="10" width="81" style="37" customWidth="1"/>
    <col min="11" max="11" width="9.140625" style="37" customWidth="1"/>
    <col min="12" max="16384" width="9.140625" style="37"/>
  </cols>
  <sheetData>
    <row r="1" spans="1:12" s="35" customFormat="1" ht="12.75" x14ac:dyDescent="0.2">
      <c r="A1" s="33" t="s">
        <v>471</v>
      </c>
      <c r="B1" s="34"/>
    </row>
    <row r="2" spans="1:12" s="35" customFormat="1" ht="12.75" x14ac:dyDescent="0.2">
      <c r="A2" s="36" t="s">
        <v>463</v>
      </c>
      <c r="B2" s="34"/>
    </row>
    <row r="3" spans="1:12" s="35" customFormat="1" ht="12.75" x14ac:dyDescent="0.2">
      <c r="A3" s="36" t="s">
        <v>517</v>
      </c>
      <c r="B3" s="34"/>
    </row>
    <row r="4" spans="1:12" ht="15.75" thickBot="1" x14ac:dyDescent="0.3"/>
    <row r="5" spans="1:12" ht="15.75" thickBot="1" x14ac:dyDescent="0.3">
      <c r="B5" s="38" t="s">
        <v>464</v>
      </c>
      <c r="C5" s="39"/>
      <c r="E5" s="38" t="s">
        <v>465</v>
      </c>
      <c r="F5" s="39"/>
      <c r="H5" s="40" t="s">
        <v>466</v>
      </c>
      <c r="I5" s="41"/>
      <c r="J5" s="42" t="s">
        <v>467</v>
      </c>
    </row>
    <row r="6" spans="1:12" x14ac:dyDescent="0.25">
      <c r="B6" s="43"/>
      <c r="C6" s="44"/>
      <c r="E6" s="43"/>
      <c r="F6" s="44"/>
      <c r="H6" s="45"/>
      <c r="I6" s="46"/>
      <c r="J6" s="47"/>
    </row>
    <row r="7" spans="1:12" x14ac:dyDescent="0.25">
      <c r="B7" s="48" t="s">
        <v>458</v>
      </c>
      <c r="C7" s="49">
        <v>913</v>
      </c>
      <c r="E7" s="48" t="s">
        <v>458</v>
      </c>
      <c r="F7" s="49">
        <f ca="1">+Summary!M551</f>
        <v>913</v>
      </c>
      <c r="H7" s="50">
        <f ca="1">C7-F7</f>
        <v>0</v>
      </c>
      <c r="I7" s="46"/>
      <c r="J7" s="70" t="s">
        <v>474</v>
      </c>
    </row>
    <row r="8" spans="1:12" x14ac:dyDescent="0.25">
      <c r="B8" s="51" t="s">
        <v>468</v>
      </c>
      <c r="C8" s="49">
        <f>Summary!N550</f>
        <v>94021</v>
      </c>
      <c r="E8" s="51" t="s">
        <v>468</v>
      </c>
      <c r="F8" s="49">
        <f ca="1">Summary!M550</f>
        <v>94021</v>
      </c>
      <c r="H8" s="50">
        <f ca="1">C8-F8</f>
        <v>0</v>
      </c>
      <c r="I8" s="52"/>
      <c r="J8" s="70"/>
    </row>
    <row r="9" spans="1:12" x14ac:dyDescent="0.25">
      <c r="B9" s="51"/>
      <c r="C9" s="44"/>
      <c r="E9" s="51"/>
      <c r="F9" s="44"/>
      <c r="H9" s="45"/>
      <c r="I9" s="46"/>
      <c r="J9" s="47"/>
    </row>
    <row r="10" spans="1:12" x14ac:dyDescent="0.25">
      <c r="B10" s="51" t="s">
        <v>459</v>
      </c>
      <c r="C10" s="53" t="e">
        <f>+Summary!N552</f>
        <v>#VALUE!</v>
      </c>
      <c r="E10" s="51" t="s">
        <v>459</v>
      </c>
      <c r="F10" s="53">
        <f ca="1">Summary!M552</f>
        <v>18843505.039999999</v>
      </c>
      <c r="H10" s="50" t="e">
        <f ca="1">C10-F10</f>
        <v>#VALUE!</v>
      </c>
      <c r="I10" s="52"/>
      <c r="J10" s="70"/>
    </row>
    <row r="11" spans="1:12" ht="16.5" x14ac:dyDescent="0.35">
      <c r="B11" s="51" t="s">
        <v>460</v>
      </c>
      <c r="C11" s="54">
        <f>+Summary!N553</f>
        <v>17210505.789999999</v>
      </c>
      <c r="E11" s="51" t="s">
        <v>460</v>
      </c>
      <c r="F11" s="54">
        <f ca="1">Summary!M553</f>
        <v>17210505.789999999</v>
      </c>
      <c r="H11" s="50">
        <f ca="1">C11-F11</f>
        <v>0</v>
      </c>
      <c r="I11" s="52"/>
      <c r="J11" s="70"/>
    </row>
    <row r="12" spans="1:12" x14ac:dyDescent="0.25">
      <c r="B12" s="51" t="s">
        <v>12</v>
      </c>
      <c r="C12" s="55" t="e">
        <f>C10-C11</f>
        <v>#VALUE!</v>
      </c>
      <c r="E12" s="51" t="s">
        <v>12</v>
      </c>
      <c r="F12" s="55">
        <f ca="1">F10-F11</f>
        <v>1632999.25</v>
      </c>
      <c r="H12" s="50" t="e">
        <f ca="1">C12-F12</f>
        <v>#VALUE!</v>
      </c>
      <c r="I12" s="52"/>
      <c r="J12" s="47"/>
    </row>
    <row r="13" spans="1:12" ht="16.5" x14ac:dyDescent="0.35">
      <c r="B13" s="51" t="s">
        <v>469</v>
      </c>
      <c r="C13" s="54">
        <f>Summary!N556</f>
        <v>1321477.43</v>
      </c>
      <c r="E13" s="51" t="s">
        <v>469</v>
      </c>
      <c r="F13" s="54">
        <f ca="1">Summary!M556</f>
        <v>1321477.4300000002</v>
      </c>
      <c r="H13" s="50">
        <f ca="1">C13-F13</f>
        <v>0</v>
      </c>
      <c r="I13" s="52"/>
      <c r="J13" s="70"/>
      <c r="L13" s="67"/>
    </row>
    <row r="14" spans="1:12" x14ac:dyDescent="0.25">
      <c r="B14" s="51" t="s">
        <v>11</v>
      </c>
      <c r="C14" s="55" t="e">
        <f>C12-C13</f>
        <v>#VALUE!</v>
      </c>
      <c r="E14" s="51" t="s">
        <v>11</v>
      </c>
      <c r="F14" s="55">
        <f ca="1">F12-F13</f>
        <v>311521.81999999983</v>
      </c>
      <c r="H14" s="50" t="e">
        <f ca="1">C14-F14</f>
        <v>#VALUE!</v>
      </c>
      <c r="I14" s="52"/>
      <c r="J14" s="47"/>
    </row>
    <row r="15" spans="1:12" x14ac:dyDescent="0.25">
      <c r="B15" s="51"/>
      <c r="C15" s="56"/>
      <c r="E15" s="51"/>
      <c r="F15" s="56"/>
      <c r="H15" s="45"/>
      <c r="I15" s="46"/>
      <c r="J15" s="47"/>
    </row>
    <row r="16" spans="1:12" x14ac:dyDescent="0.25">
      <c r="B16" s="51" t="s">
        <v>470</v>
      </c>
      <c r="C16" s="57">
        <f>Summary!N558</f>
        <v>3200825.42</v>
      </c>
      <c r="E16" s="51" t="s">
        <v>470</v>
      </c>
      <c r="F16" s="57">
        <f ca="1">Summary!M558</f>
        <v>3200825.4200000004</v>
      </c>
      <c r="H16" s="50">
        <f ca="1">C16-F16</f>
        <v>0</v>
      </c>
      <c r="I16" s="52"/>
      <c r="J16" s="70"/>
    </row>
    <row r="17" spans="2:10" x14ac:dyDescent="0.25">
      <c r="B17" s="45"/>
      <c r="C17" s="47"/>
      <c r="E17" s="45"/>
      <c r="F17" s="47"/>
      <c r="H17" s="45"/>
      <c r="I17" s="46"/>
      <c r="J17" s="47"/>
    </row>
    <row r="18" spans="2:10" x14ac:dyDescent="0.25">
      <c r="B18" s="45" t="s">
        <v>457</v>
      </c>
      <c r="C18" s="58" t="e">
        <f>C12/C16</f>
        <v>#VALUE!</v>
      </c>
      <c r="E18" s="45" t="s">
        <v>457</v>
      </c>
      <c r="F18" s="58">
        <f ca="1">F12/F16</f>
        <v>0.51018066771039317</v>
      </c>
      <c r="H18" s="50" t="e">
        <f ca="1">C18-F18</f>
        <v>#VALUE!</v>
      </c>
      <c r="I18" s="52"/>
      <c r="J18" s="47"/>
    </row>
    <row r="19" spans="2:10" ht="15.75" thickBot="1" x14ac:dyDescent="0.3">
      <c r="B19" s="59" t="s">
        <v>0</v>
      </c>
      <c r="C19" s="60" t="e">
        <f>C14/C16</f>
        <v>#VALUE!</v>
      </c>
      <c r="E19" s="59" t="s">
        <v>0</v>
      </c>
      <c r="F19" s="60">
        <f ca="1">F14/F16</f>
        <v>9.7325464254779573E-2</v>
      </c>
      <c r="H19" s="61" t="e">
        <f ca="1">C19-F19</f>
        <v>#VALUE!</v>
      </c>
      <c r="I19" s="62"/>
      <c r="J19" s="63"/>
    </row>
    <row r="21" spans="2:10" x14ac:dyDescent="0.25">
      <c r="E21" s="69" t="s">
        <v>473</v>
      </c>
      <c r="F21" s="68">
        <f ca="1">F13/F10</f>
        <v>7.0129067134529252E-2</v>
      </c>
    </row>
    <row r="22" spans="2:10" x14ac:dyDescent="0.25">
      <c r="C22" s="64"/>
      <c r="F22" s="65"/>
    </row>
    <row r="23" spans="2:10" x14ac:dyDescent="0.25">
      <c r="F23" s="65"/>
    </row>
  </sheetData>
  <pageMargins left="0.7" right="0.7" top="0.75" bottom="0.75" header="0.3" footer="0.3"/>
  <pageSetup orientation="portrait" horizontalDpi="4294967295" verticalDpi="4294967295" r:id="rId1"/>
  <customProperties>
    <customPr name="FPMExcelClientCellBasedFunctionStatus" r:id="rId2"/>
    <customPr name="FPMExcelClientRefreshTime" r:id="rId3"/>
  </customProperties>
  <ignoredErrors>
    <ignoredError sqref="F13 C13" formula="1"/>
  </ignoredErrors>
  <drawing r:id="rId4"/>
  <legacyDrawing r:id="rId5"/>
  <controls>
    <mc:AlternateContent xmlns:mc="http://schemas.openxmlformats.org/markup-compatibility/2006">
      <mc:Choice Requires="x14">
        <control shapeId="3073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685800</xdr:colOff>
                <xdr:row>0</xdr:row>
                <xdr:rowOff>0</xdr:rowOff>
              </to>
            </anchor>
          </controlPr>
        </control>
      </mc:Choice>
      <mc:Fallback>
        <control shapeId="3073" r:id="rId6" name="FPMExcelClientSheetOptionstb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506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36.258064516129032</v>
      </c>
      <c r="D8" s="97">
        <v>37.821428571428569</v>
      </c>
      <c r="E8" s="97">
        <v>39.903225806451616</v>
      </c>
      <c r="F8" s="97">
        <v>44.8</v>
      </c>
      <c r="G8" s="97">
        <v>42.806451612903224</v>
      </c>
      <c r="H8" s="97">
        <v>42.6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99</v>
      </c>
      <c r="D11" s="74">
        <v>62</v>
      </c>
      <c r="E11" s="74">
        <v>62</v>
      </c>
      <c r="F11" s="74">
        <v>60</v>
      </c>
      <c r="G11" s="74">
        <v>62</v>
      </c>
      <c r="H11" s="74">
        <v>57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402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5">
      <c r="A13" s="71" t="s">
        <v>43</v>
      </c>
      <c r="C13" s="74">
        <v>586</v>
      </c>
      <c r="D13" s="74">
        <v>532</v>
      </c>
      <c r="E13" s="74">
        <v>584</v>
      </c>
      <c r="F13" s="74">
        <v>559</v>
      </c>
      <c r="G13" s="74">
        <v>620</v>
      </c>
      <c r="H13" s="74">
        <v>587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3468</v>
      </c>
    </row>
    <row r="14" spans="1:15" x14ac:dyDescent="0.25">
      <c r="A14" s="71" t="s">
        <v>44</v>
      </c>
      <c r="C14" s="74">
        <v>60</v>
      </c>
      <c r="D14" s="74">
        <v>62</v>
      </c>
      <c r="E14" s="74">
        <v>118</v>
      </c>
      <c r="F14" s="74">
        <v>179</v>
      </c>
      <c r="G14" s="74">
        <v>96</v>
      </c>
      <c r="H14" s="74">
        <v>75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590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5">
      <c r="A16" s="71" t="s">
        <v>46</v>
      </c>
      <c r="C16" s="74">
        <v>43</v>
      </c>
      <c r="D16" s="74">
        <v>95</v>
      </c>
      <c r="E16" s="74">
        <v>42</v>
      </c>
      <c r="F16" s="74">
        <v>25</v>
      </c>
      <c r="G16" s="74">
        <v>55</v>
      </c>
      <c r="H16" s="74">
        <v>62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322</v>
      </c>
    </row>
    <row r="17" spans="1:18" x14ac:dyDescent="0.25">
      <c r="A17" s="71" t="s">
        <v>47</v>
      </c>
      <c r="C17" s="74">
        <v>0</v>
      </c>
      <c r="D17" s="74">
        <v>40</v>
      </c>
      <c r="E17" s="74">
        <v>62</v>
      </c>
      <c r="F17" s="74">
        <v>60</v>
      </c>
      <c r="G17" s="74">
        <v>62</v>
      </c>
      <c r="H17" s="74">
        <v>97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321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336</v>
      </c>
      <c r="D21" s="74">
        <v>268</v>
      </c>
      <c r="E21" s="74">
        <v>369</v>
      </c>
      <c r="F21" s="74">
        <v>461</v>
      </c>
      <c r="G21" s="74">
        <v>432</v>
      </c>
      <c r="H21" s="74">
        <v>400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2266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1124</v>
      </c>
      <c r="D23" s="79">
        <v>1059</v>
      </c>
      <c r="E23" s="79">
        <v>1237</v>
      </c>
      <c r="F23" s="79">
        <v>1344</v>
      </c>
      <c r="G23" s="79">
        <v>1327</v>
      </c>
      <c r="H23" s="79">
        <v>1278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7369</v>
      </c>
      <c r="P23" s="86">
        <v>7369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213148.53000000003</v>
      </c>
      <c r="D26" s="74">
        <v>217645.53000000003</v>
      </c>
      <c r="E26" s="74">
        <v>238566.33</v>
      </c>
      <c r="F26" s="74">
        <v>254251.1</v>
      </c>
      <c r="G26" s="74">
        <v>257914.81</v>
      </c>
      <c r="H26" s="74">
        <v>243450.28999999998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1424976.59</v>
      </c>
      <c r="P26" s="86"/>
    </row>
    <row r="27" spans="1:18" x14ac:dyDescent="0.25">
      <c r="A27" s="71" t="s">
        <v>57</v>
      </c>
      <c r="C27" s="74">
        <v>-329.36</v>
      </c>
      <c r="D27" s="74">
        <v>-1449.81</v>
      </c>
      <c r="E27" s="74">
        <v>2525.0899999999997</v>
      </c>
      <c r="F27" s="74">
        <v>5813.52</v>
      </c>
      <c r="G27" s="74">
        <v>3763.0300000000007</v>
      </c>
      <c r="H27" s="74">
        <v>5266.6500000000005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15589.120000000003</v>
      </c>
      <c r="P27" s="86"/>
    </row>
    <row r="28" spans="1:18" x14ac:dyDescent="0.25">
      <c r="A28" s="71" t="s">
        <v>58</v>
      </c>
      <c r="C28" s="74">
        <v>-57.329999999999984</v>
      </c>
      <c r="D28" s="74">
        <v>5649.45</v>
      </c>
      <c r="E28" s="74">
        <v>-5900.11</v>
      </c>
      <c r="F28" s="74">
        <v>370.93</v>
      </c>
      <c r="G28" s="74">
        <v>-229.32999999999998</v>
      </c>
      <c r="H28" s="74">
        <v>-197.32999999999998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-363.71999999999974</v>
      </c>
      <c r="P28" s="86"/>
    </row>
    <row r="29" spans="1:18" ht="18.75" thickBot="1" x14ac:dyDescent="0.3">
      <c r="A29" s="71" t="s">
        <v>59</v>
      </c>
      <c r="C29" s="80">
        <v>212761.84000000005</v>
      </c>
      <c r="D29" s="80">
        <v>221845.17000000004</v>
      </c>
      <c r="E29" s="80">
        <v>235191.31</v>
      </c>
      <c r="F29" s="80">
        <v>260435.55</v>
      </c>
      <c r="G29" s="80">
        <v>261448.51</v>
      </c>
      <c r="H29" s="80">
        <v>248519.61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1440201.9900000002</v>
      </c>
      <c r="P29" s="86">
        <v>1440201.9900000002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68380.33</v>
      </c>
      <c r="D32" s="74">
        <v>63036.639999999999</v>
      </c>
      <c r="E32" s="74">
        <v>76300.36</v>
      </c>
      <c r="F32" s="74">
        <v>72740.09</v>
      </c>
      <c r="G32" s="74">
        <v>80652.240000000005</v>
      </c>
      <c r="H32" s="74">
        <v>84114.580000000016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445224.24000000005</v>
      </c>
      <c r="P32" s="86"/>
    </row>
    <row r="33" spans="1:18" x14ac:dyDescent="0.25">
      <c r="A33" s="71" t="s">
        <v>62</v>
      </c>
      <c r="C33" s="74">
        <v>24302.100000000002</v>
      </c>
      <c r="D33" s="74">
        <v>22450.07</v>
      </c>
      <c r="E33" s="74">
        <v>25999.61</v>
      </c>
      <c r="F33" s="74">
        <v>21590.070000000003</v>
      </c>
      <c r="G33" s="74">
        <v>25105.93</v>
      </c>
      <c r="H33" s="74">
        <v>25277.100000000002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144724.88</v>
      </c>
      <c r="P33" s="86"/>
    </row>
    <row r="34" spans="1:18" x14ac:dyDescent="0.25">
      <c r="A34" s="71" t="s">
        <v>57</v>
      </c>
      <c r="C34" s="74">
        <v>17268.099999999999</v>
      </c>
      <c r="D34" s="74">
        <v>20987.02</v>
      </c>
      <c r="E34" s="74">
        <v>22265.210000000003</v>
      </c>
      <c r="F34" s="74">
        <v>26560.36</v>
      </c>
      <c r="G34" s="74">
        <v>52251.58</v>
      </c>
      <c r="H34" s="74">
        <v>22420.81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161753.08000000002</v>
      </c>
      <c r="P34" s="86"/>
    </row>
    <row r="35" spans="1:18" x14ac:dyDescent="0.25">
      <c r="A35" s="71" t="s">
        <v>63</v>
      </c>
      <c r="C35" s="74">
        <v>2185.96</v>
      </c>
      <c r="D35" s="74">
        <v>580.79</v>
      </c>
      <c r="E35" s="74">
        <v>1047.05</v>
      </c>
      <c r="F35" s="74">
        <v>1141.03</v>
      </c>
      <c r="G35" s="74">
        <v>985.6</v>
      </c>
      <c r="H35" s="74">
        <v>944.15000000000009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6884.58</v>
      </c>
      <c r="P35" s="86"/>
    </row>
    <row r="36" spans="1:18" x14ac:dyDescent="0.25">
      <c r="A36" s="71" t="s">
        <v>64</v>
      </c>
      <c r="C36" s="74">
        <v>10067.34</v>
      </c>
      <c r="D36" s="74">
        <v>7916.5000000000009</v>
      </c>
      <c r="E36" s="74">
        <v>10277.1</v>
      </c>
      <c r="F36" s="74">
        <v>8919.4500000000007</v>
      </c>
      <c r="G36" s="74">
        <v>9379.8500000000022</v>
      </c>
      <c r="H36" s="74">
        <v>9438.16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55998.400000000009</v>
      </c>
      <c r="P36" s="86"/>
    </row>
    <row r="37" spans="1:18" x14ac:dyDescent="0.25">
      <c r="A37" s="71" t="s">
        <v>65</v>
      </c>
      <c r="C37" s="74">
        <v>16153.13</v>
      </c>
      <c r="D37" s="74">
        <v>14850.4</v>
      </c>
      <c r="E37" s="74">
        <v>15809.67</v>
      </c>
      <c r="F37" s="74">
        <v>15327.210000000001</v>
      </c>
      <c r="G37" s="74">
        <v>11421.259999999998</v>
      </c>
      <c r="H37" s="74">
        <v>13685.27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87246.94</v>
      </c>
      <c r="P37" s="86"/>
    </row>
    <row r="38" spans="1:18" x14ac:dyDescent="0.25">
      <c r="A38" s="71" t="s">
        <v>66</v>
      </c>
      <c r="C38" s="74">
        <v>48488.75</v>
      </c>
      <c r="D38" s="74">
        <v>49285.3</v>
      </c>
      <c r="E38" s="74">
        <v>50938.6</v>
      </c>
      <c r="F38" s="74">
        <v>51038.75</v>
      </c>
      <c r="G38" s="74">
        <v>51629.090000000004</v>
      </c>
      <c r="H38" s="74">
        <v>49367.169999999991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300747.65999999997</v>
      </c>
      <c r="P38" s="86"/>
    </row>
    <row r="39" spans="1:18" x14ac:dyDescent="0.25">
      <c r="A39" s="71" t="s">
        <v>67</v>
      </c>
      <c r="C39" s="74">
        <v>44567.420000000006</v>
      </c>
      <c r="D39" s="74">
        <v>45841.21</v>
      </c>
      <c r="E39" s="74">
        <v>46817.18</v>
      </c>
      <c r="F39" s="74">
        <v>44474.9</v>
      </c>
      <c r="G39" s="74">
        <v>44580.35</v>
      </c>
      <c r="H39" s="74">
        <v>47418.060000000005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273699.12</v>
      </c>
      <c r="P39" s="86"/>
    </row>
    <row r="40" spans="1:18" ht="18.75" thickBot="1" x14ac:dyDescent="0.3">
      <c r="A40" s="71" t="s">
        <v>68</v>
      </c>
      <c r="C40" s="80">
        <v>231413.13</v>
      </c>
      <c r="D40" s="80">
        <v>224947.92999999996</v>
      </c>
      <c r="E40" s="80">
        <v>249454.78000000003</v>
      </c>
      <c r="F40" s="80">
        <v>241791.86</v>
      </c>
      <c r="G40" s="80">
        <v>276005.90000000002</v>
      </c>
      <c r="H40" s="80">
        <v>252665.3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1476278.9</v>
      </c>
      <c r="P40" s="86">
        <v>1476278.9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-18651.28999999995</v>
      </c>
      <c r="D41" s="81">
        <v>-3102.759999999922</v>
      </c>
      <c r="E41" s="81">
        <v>-14263.47000000003</v>
      </c>
      <c r="F41" s="81">
        <v>18643.690000000002</v>
      </c>
      <c r="G41" s="81">
        <v>-14557.390000000014</v>
      </c>
      <c r="H41" s="81">
        <v>-4145.6900000000023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-36076.909999999683</v>
      </c>
      <c r="P41" s="86">
        <v>-36076.909999999683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32857.800000000054</v>
      </c>
      <c r="D43" s="74">
        <v>48612.830000000082</v>
      </c>
      <c r="E43" s="74">
        <v>41525.449999999975</v>
      </c>
      <c r="F43" s="74">
        <v>74324.010000000009</v>
      </c>
      <c r="G43" s="74">
        <v>42136.989999999991</v>
      </c>
      <c r="H43" s="76">
        <v>51375.47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290832.55000000034</v>
      </c>
      <c r="P43" s="71">
        <v>290832.55000000028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506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98834.76</v>
      </c>
      <c r="D50" s="74">
        <v>89727.12</v>
      </c>
      <c r="E50" s="74">
        <v>98497.44</v>
      </c>
      <c r="F50" s="74">
        <v>94280.94</v>
      </c>
      <c r="G50" s="74">
        <v>104569.2</v>
      </c>
      <c r="H50" s="74">
        <v>99003.42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584912.88</v>
      </c>
    </row>
    <row r="51" spans="1:15" x14ac:dyDescent="0.25">
      <c r="A51" s="71" t="s">
        <v>73</v>
      </c>
      <c r="B51" s="82"/>
      <c r="C51" s="74">
        <v>10268.48</v>
      </c>
      <c r="D51" s="74">
        <v>10456.92</v>
      </c>
      <c r="E51" s="74">
        <v>20060.71</v>
      </c>
      <c r="F51" s="74">
        <v>30190.14</v>
      </c>
      <c r="G51" s="74">
        <v>16191.36</v>
      </c>
      <c r="H51" s="74">
        <v>12649.5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99817.11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17200</v>
      </c>
      <c r="D63" s="74">
        <v>38000</v>
      </c>
      <c r="E63" s="74">
        <v>16800</v>
      </c>
      <c r="F63" s="74">
        <v>10000</v>
      </c>
      <c r="G63" s="74">
        <v>22000</v>
      </c>
      <c r="H63" s="74">
        <v>24800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128800</v>
      </c>
    </row>
    <row r="64" spans="1:15" x14ac:dyDescent="0.25">
      <c r="A64" s="71" t="s">
        <v>86</v>
      </c>
      <c r="B64" s="82"/>
      <c r="C64" s="74">
        <v>3296.7</v>
      </c>
      <c r="D64" s="74">
        <v>5069.05</v>
      </c>
      <c r="E64" s="74">
        <v>3264.36</v>
      </c>
      <c r="F64" s="74">
        <v>2494.4899999999998</v>
      </c>
      <c r="G64" s="74">
        <v>3925.08</v>
      </c>
      <c r="H64" s="74">
        <v>6548.31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24597.99</v>
      </c>
    </row>
    <row r="65" spans="1:15" x14ac:dyDescent="0.25">
      <c r="A65" s="71" t="s">
        <v>87</v>
      </c>
      <c r="B65" s="82"/>
      <c r="C65" s="74">
        <v>1771.12</v>
      </c>
      <c r="D65" s="74">
        <v>5320.4</v>
      </c>
      <c r="E65" s="74">
        <v>1761.38</v>
      </c>
      <c r="F65" s="74">
        <v>1390.75</v>
      </c>
      <c r="G65" s="74">
        <v>3710.57</v>
      </c>
      <c r="H65" s="74">
        <v>5829.08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19783.3</v>
      </c>
    </row>
    <row r="66" spans="1:15" x14ac:dyDescent="0.25">
      <c r="A66" s="71" t="s">
        <v>88</v>
      </c>
      <c r="B66" s="82"/>
      <c r="C66" s="74">
        <v>1962.09</v>
      </c>
      <c r="D66" s="74">
        <v>4324.9799999999996</v>
      </c>
      <c r="E66" s="74">
        <v>2621.93</v>
      </c>
      <c r="F66" s="74">
        <v>1641.03</v>
      </c>
      <c r="G66" s="74">
        <v>3687.74</v>
      </c>
      <c r="H66" s="74">
        <v>6502.72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20740.490000000002</v>
      </c>
    </row>
    <row r="67" spans="1:15" x14ac:dyDescent="0.25">
      <c r="A67" s="71" t="s">
        <v>89</v>
      </c>
      <c r="B67" s="82"/>
      <c r="C67" s="74">
        <v>109.88</v>
      </c>
      <c r="D67" s="74">
        <v>606.35</v>
      </c>
      <c r="E67" s="74">
        <v>0</v>
      </c>
      <c r="F67" s="74">
        <v>980.1</v>
      </c>
      <c r="G67" s="74">
        <v>769.16</v>
      </c>
      <c r="H67" s="74">
        <v>121.35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2586.8399999999997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1488.48</v>
      </c>
      <c r="D69" s="74">
        <v>3437.65</v>
      </c>
      <c r="E69" s="74">
        <v>1016.77</v>
      </c>
      <c r="F69" s="74">
        <v>153.41</v>
      </c>
      <c r="G69" s="74">
        <v>3305.73</v>
      </c>
      <c r="H69" s="74">
        <v>4043.6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13445.64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376.99</v>
      </c>
      <c r="D72" s="74">
        <v>314.39</v>
      </c>
      <c r="E72" s="74">
        <v>0</v>
      </c>
      <c r="F72" s="74">
        <v>0</v>
      </c>
      <c r="G72" s="74">
        <v>387.86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1079.24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99</v>
      </c>
      <c r="B78" s="82"/>
      <c r="C78" s="74">
        <v>-5708.56</v>
      </c>
      <c r="D78" s="74">
        <v>-14003.77</v>
      </c>
      <c r="E78" s="74">
        <v>-5400.08</v>
      </c>
      <c r="F78" s="74">
        <v>-4165.29</v>
      </c>
      <c r="G78" s="74">
        <v>-11861.06</v>
      </c>
      <c r="H78" s="74">
        <v>-16496.75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-57635.51</v>
      </c>
    </row>
    <row r="79" spans="1:15" x14ac:dyDescent="0.25">
      <c r="A79" s="71" t="s">
        <v>100</v>
      </c>
      <c r="B79" s="82"/>
      <c r="C79" s="74">
        <v>0.14000000000000001</v>
      </c>
      <c r="D79" s="74">
        <v>0.23</v>
      </c>
      <c r="E79" s="74">
        <v>0.17</v>
      </c>
      <c r="F79" s="74">
        <v>-0.05</v>
      </c>
      <c r="G79" s="74">
        <v>-0.08</v>
      </c>
      <c r="H79" s="74">
        <v>-887.32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-886.91000000000008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-30.85</v>
      </c>
      <c r="H80" s="74">
        <v>-298.38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-329.23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16380</v>
      </c>
      <c r="D82" s="74">
        <v>9852</v>
      </c>
      <c r="E82" s="74">
        <v>9672</v>
      </c>
      <c r="F82" s="74">
        <v>9360</v>
      </c>
      <c r="G82" s="74">
        <v>9672</v>
      </c>
      <c r="H82" s="74">
        <v>9054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63990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5">
      <c r="A84" s="71" t="s">
        <v>481</v>
      </c>
      <c r="B84" s="82"/>
      <c r="C84" s="74">
        <v>0</v>
      </c>
      <c r="D84" s="74">
        <v>516.79</v>
      </c>
      <c r="E84" s="74">
        <v>-2738.95</v>
      </c>
      <c r="F84" s="74">
        <v>-1609.76</v>
      </c>
      <c r="G84" s="74">
        <v>-693.68</v>
      </c>
      <c r="H84" s="74">
        <v>-3995.04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-8520.64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5">
      <c r="A86" s="71" t="s">
        <v>483</v>
      </c>
      <c r="B86" s="82"/>
      <c r="C86" s="74">
        <v>3710</v>
      </c>
      <c r="D86" s="74">
        <v>5830</v>
      </c>
      <c r="E86" s="74">
        <v>5300</v>
      </c>
      <c r="F86" s="74">
        <v>5300</v>
      </c>
      <c r="G86" s="74">
        <v>5300</v>
      </c>
      <c r="H86" s="74">
        <v>4770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30210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37.5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37.5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0</v>
      </c>
      <c r="D95" s="74">
        <v>7127.88</v>
      </c>
      <c r="E95" s="74">
        <v>10994.46</v>
      </c>
      <c r="F95" s="74">
        <v>10639.8</v>
      </c>
      <c r="G95" s="74">
        <v>10994.46</v>
      </c>
      <c r="H95" s="74">
        <v>17030.22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56786.82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63171.37</v>
      </c>
      <c r="D106" s="74">
        <v>50922</v>
      </c>
      <c r="E106" s="74">
        <v>64501.919999999998</v>
      </c>
      <c r="F106" s="74">
        <v>91738.38</v>
      </c>
      <c r="G106" s="74">
        <v>84208.66</v>
      </c>
      <c r="H106" s="74">
        <v>74775.58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429317.91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12176.72</v>
      </c>
      <c r="F108" s="74">
        <v>1713.62</v>
      </c>
      <c r="G108" s="74">
        <v>1778.66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15669</v>
      </c>
    </row>
    <row r="109" spans="1:16" x14ac:dyDescent="0.25">
      <c r="A109" s="71" t="s">
        <v>125</v>
      </c>
      <c r="B109" s="82"/>
      <c r="C109" s="83">
        <v>287.08</v>
      </c>
      <c r="D109" s="83">
        <v>143.54</v>
      </c>
      <c r="E109" s="83">
        <v>0</v>
      </c>
      <c r="F109" s="83">
        <v>143.54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574.16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213148.53</v>
      </c>
      <c r="D111" s="74">
        <v>217645.53000000003</v>
      </c>
      <c r="E111" s="74">
        <v>238566.33</v>
      </c>
      <c r="F111" s="74">
        <v>254251.1</v>
      </c>
      <c r="G111" s="74">
        <v>257914.81</v>
      </c>
      <c r="H111" s="74">
        <v>243450.28999999998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1424976.5899999999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333.77</v>
      </c>
      <c r="D114" s="74">
        <v>298.68</v>
      </c>
      <c r="E114" s="74">
        <v>843.89</v>
      </c>
      <c r="F114" s="74">
        <v>4488.76</v>
      </c>
      <c r="G114" s="74">
        <v>5052.97</v>
      </c>
      <c r="H114" s="74">
        <v>1576.18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12594.25</v>
      </c>
    </row>
    <row r="115" spans="1:15" x14ac:dyDescent="0.25">
      <c r="A115" s="71" t="s">
        <v>130</v>
      </c>
      <c r="B115" s="74"/>
      <c r="C115" s="74">
        <v>0</v>
      </c>
      <c r="D115" s="74">
        <v>0</v>
      </c>
      <c r="E115" s="74">
        <v>0</v>
      </c>
      <c r="F115" s="74">
        <v>2217.19</v>
      </c>
      <c r="G115" s="74">
        <v>1075.06</v>
      </c>
      <c r="H115" s="74">
        <v>952.33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4244.58</v>
      </c>
    </row>
    <row r="116" spans="1:15" x14ac:dyDescent="0.25">
      <c r="A116" s="71" t="s">
        <v>131</v>
      </c>
      <c r="B116" s="74"/>
      <c r="C116" s="74">
        <v>0</v>
      </c>
      <c r="D116" s="74">
        <v>0</v>
      </c>
      <c r="E116" s="74">
        <v>0</v>
      </c>
      <c r="F116" s="74">
        <v>1212.7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1212.7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-141.94999999999999</v>
      </c>
      <c r="D122" s="74">
        <v>-128.66999999999999</v>
      </c>
      <c r="E122" s="74">
        <v>-407.48</v>
      </c>
      <c r="F122" s="74">
        <v>-3714.89</v>
      </c>
      <c r="G122" s="74">
        <v>-3057.86</v>
      </c>
      <c r="H122" s="74">
        <v>-1243.23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-8694.08</v>
      </c>
    </row>
    <row r="123" spans="1:15" x14ac:dyDescent="0.25">
      <c r="A123" s="71" t="s">
        <v>136</v>
      </c>
      <c r="B123" s="74"/>
      <c r="C123" s="74">
        <v>0.04</v>
      </c>
      <c r="D123" s="74">
        <v>-18.87</v>
      </c>
      <c r="E123" s="74">
        <v>-4.6399999999999997</v>
      </c>
      <c r="F123" s="74">
        <v>0</v>
      </c>
      <c r="G123" s="74">
        <v>31.92</v>
      </c>
      <c r="H123" s="74">
        <v>10.19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18.64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-32.74</v>
      </c>
      <c r="H124" s="74">
        <v>-23.86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-56.6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5">
      <c r="A127" s="71" t="s">
        <v>489</v>
      </c>
      <c r="B127" s="74"/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121.35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121.35</v>
      </c>
    </row>
    <row r="129" spans="1:16" x14ac:dyDescent="0.25">
      <c r="A129" s="71" t="s">
        <v>491</v>
      </c>
      <c r="B129" s="74"/>
      <c r="C129" s="74">
        <v>-521.22</v>
      </c>
      <c r="D129" s="74">
        <v>-1600.95</v>
      </c>
      <c r="E129" s="74">
        <v>-766.98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-2889.15</v>
      </c>
    </row>
    <row r="130" spans="1:16" x14ac:dyDescent="0.25">
      <c r="A130" s="71" t="s">
        <v>139</v>
      </c>
      <c r="B130" s="74"/>
      <c r="C130" s="74">
        <v>0</v>
      </c>
      <c r="D130" s="74">
        <v>0</v>
      </c>
      <c r="E130" s="74">
        <v>2038.99</v>
      </c>
      <c r="F130" s="74">
        <v>1609.76</v>
      </c>
      <c r="G130" s="74">
        <v>394.11</v>
      </c>
      <c r="H130" s="74">
        <v>2494.44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6537.3</v>
      </c>
    </row>
    <row r="131" spans="1:16" x14ac:dyDescent="0.25">
      <c r="A131" s="71" t="s">
        <v>140</v>
      </c>
      <c r="C131" s="83">
        <v>0</v>
      </c>
      <c r="D131" s="83">
        <v>0</v>
      </c>
      <c r="E131" s="83">
        <v>699.96</v>
      </c>
      <c r="F131" s="83">
        <v>0</v>
      </c>
      <c r="G131" s="83">
        <v>299.57</v>
      </c>
      <c r="H131" s="83">
        <v>1500.6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2500.13</v>
      </c>
      <c r="P131" s="86"/>
    </row>
    <row r="132" spans="1:16" x14ac:dyDescent="0.25">
      <c r="A132" s="71" t="s">
        <v>141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6" x14ac:dyDescent="0.25">
      <c r="A133" s="71" t="s">
        <v>142</v>
      </c>
      <c r="C133" s="74">
        <v>-329.36</v>
      </c>
      <c r="D133" s="74">
        <v>-1449.81</v>
      </c>
      <c r="E133" s="74">
        <v>2525.09</v>
      </c>
      <c r="F133" s="74">
        <v>5813.52</v>
      </c>
      <c r="G133" s="74">
        <v>3763.0300000000011</v>
      </c>
      <c r="H133" s="74">
        <v>5266.65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15589.120000000003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236</v>
      </c>
      <c r="D138" s="74">
        <v>200</v>
      </c>
      <c r="E138" s="74">
        <v>136</v>
      </c>
      <c r="F138" s="74">
        <v>128</v>
      </c>
      <c r="G138" s="74">
        <v>64</v>
      </c>
      <c r="H138" s="74">
        <v>96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860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536.26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536.26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-293.33</v>
      </c>
      <c r="D142" s="74">
        <v>-293.33</v>
      </c>
      <c r="E142" s="74">
        <v>-293.33</v>
      </c>
      <c r="F142" s="74">
        <v>-293.33</v>
      </c>
      <c r="G142" s="74">
        <v>-293.33</v>
      </c>
      <c r="H142" s="74">
        <v>-293.33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-1759.9799999999998</v>
      </c>
    </row>
    <row r="143" spans="1:16" x14ac:dyDescent="0.25">
      <c r="A143" s="71" t="s">
        <v>492</v>
      </c>
      <c r="B143" s="74"/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5742.78</v>
      </c>
      <c r="E145" s="74">
        <v>-5742.78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-57.329999999999984</v>
      </c>
      <c r="D148" s="81">
        <v>5649.45</v>
      </c>
      <c r="E148" s="81">
        <v>-5900.11</v>
      </c>
      <c r="F148" s="81">
        <v>370.93</v>
      </c>
      <c r="G148" s="81">
        <v>-229.32999999999998</v>
      </c>
      <c r="H148" s="81">
        <v>-197.32999999999998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-363.7199999999998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212761.84</v>
      </c>
      <c r="D150" s="74">
        <v>221845.17000000004</v>
      </c>
      <c r="E150" s="74">
        <v>235191.31</v>
      </c>
      <c r="F150" s="74">
        <v>260435.55000000002</v>
      </c>
      <c r="G150" s="74">
        <v>261448.51</v>
      </c>
      <c r="H150" s="76">
        <v>248519.61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1440201.9899999998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506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1200</v>
      </c>
      <c r="D157" s="74">
        <v>1200</v>
      </c>
      <c r="E157" s="74">
        <v>0</v>
      </c>
      <c r="F157" s="74">
        <v>1200</v>
      </c>
      <c r="G157" s="74">
        <v>2400</v>
      </c>
      <c r="H157" s="74">
        <v>1200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7200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287</v>
      </c>
      <c r="D162" s="74">
        <v>297.5</v>
      </c>
      <c r="E162" s="74">
        <v>364</v>
      </c>
      <c r="F162" s="74">
        <v>343</v>
      </c>
      <c r="G162" s="74">
        <v>322</v>
      </c>
      <c r="H162" s="74">
        <v>383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1996.5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2574.66</v>
      </c>
      <c r="D167" s="74">
        <v>2163.5</v>
      </c>
      <c r="E167" s="74">
        <v>2379.23</v>
      </c>
      <c r="F167" s="74">
        <v>1820.95</v>
      </c>
      <c r="G167" s="74">
        <v>2528.85</v>
      </c>
      <c r="H167" s="74">
        <v>2291.62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13758.810000000001</v>
      </c>
    </row>
    <row r="168" spans="1:15" x14ac:dyDescent="0.25">
      <c r="A168" s="71" t="s">
        <v>168</v>
      </c>
      <c r="B168" s="74"/>
      <c r="C168" s="74">
        <v>36.799999999999997</v>
      </c>
      <c r="D168" s="74">
        <v>60.02</v>
      </c>
      <c r="E168" s="74">
        <v>0</v>
      </c>
      <c r="F168" s="74">
        <v>39.119999999999997</v>
      </c>
      <c r="G168" s="74">
        <v>55.2</v>
      </c>
      <c r="H168" s="74">
        <v>35.03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226.17</v>
      </c>
    </row>
    <row r="169" spans="1:15" x14ac:dyDescent="0.25">
      <c r="A169" s="71" t="s">
        <v>169</v>
      </c>
      <c r="B169" s="74"/>
      <c r="C169" s="74">
        <v>52.46</v>
      </c>
      <c r="D169" s="74">
        <v>0</v>
      </c>
      <c r="E169" s="74">
        <v>52.65</v>
      </c>
      <c r="F169" s="74">
        <v>0</v>
      </c>
      <c r="G169" s="74">
        <v>46.66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151.76999999999998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232</v>
      </c>
      <c r="F173" s="74">
        <v>116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348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348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348</v>
      </c>
    </row>
    <row r="176" spans="1:15" x14ac:dyDescent="0.25">
      <c r="A176" s="71" t="s">
        <v>176</v>
      </c>
      <c r="B176" s="74"/>
      <c r="C176" s="74">
        <v>7.17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7.17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2397.17</v>
      </c>
      <c r="D178" s="74">
        <v>1840.57</v>
      </c>
      <c r="E178" s="74">
        <v>2828.7</v>
      </c>
      <c r="F178" s="74">
        <v>1767.34</v>
      </c>
      <c r="G178" s="74">
        <v>2824.44</v>
      </c>
      <c r="H178" s="74">
        <v>2805.09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14463.31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650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650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5">
      <c r="A186" s="71" t="s">
        <v>186</v>
      </c>
      <c r="B186" s="74"/>
      <c r="C186" s="74">
        <v>36.26</v>
      </c>
      <c r="D186" s="74">
        <v>36.26</v>
      </c>
      <c r="E186" s="74">
        <v>35.630000000000003</v>
      </c>
      <c r="F186" s="74">
        <v>35.630000000000003</v>
      </c>
      <c r="G186" s="74">
        <v>35.630000000000003</v>
      </c>
      <c r="H186" s="74">
        <v>35.630000000000003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215.04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6058.24</v>
      </c>
      <c r="D188" s="74">
        <v>6058.24</v>
      </c>
      <c r="E188" s="74">
        <v>6058.24</v>
      </c>
      <c r="F188" s="74">
        <v>6058.24</v>
      </c>
      <c r="G188" s="74">
        <v>6058.24</v>
      </c>
      <c r="H188" s="74">
        <v>6058.24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36349.439999999995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10274.94</v>
      </c>
      <c r="D192" s="74">
        <v>10226.67</v>
      </c>
      <c r="E192" s="74">
        <v>11800.67</v>
      </c>
      <c r="F192" s="74">
        <v>8834.01</v>
      </c>
      <c r="G192" s="74">
        <v>7779.56</v>
      </c>
      <c r="H192" s="74">
        <v>11241.43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60157.279999999999</v>
      </c>
    </row>
    <row r="193" spans="1:15" x14ac:dyDescent="0.25">
      <c r="A193" s="71" t="s">
        <v>494</v>
      </c>
      <c r="B193" s="74"/>
      <c r="C193" s="74">
        <v>7110.74</v>
      </c>
      <c r="D193" s="74">
        <v>5580.3</v>
      </c>
      <c r="E193" s="74">
        <v>6074.06</v>
      </c>
      <c r="F193" s="74">
        <v>5521.24</v>
      </c>
      <c r="G193" s="74">
        <v>5756.37</v>
      </c>
      <c r="H193" s="74">
        <v>5237.18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35279.89</v>
      </c>
    </row>
    <row r="194" spans="1:15" x14ac:dyDescent="0.25">
      <c r="A194" s="71" t="s">
        <v>193</v>
      </c>
      <c r="B194" s="74"/>
      <c r="C194" s="74">
        <v>7039.51</v>
      </c>
      <c r="D194" s="74">
        <v>6333.08</v>
      </c>
      <c r="E194" s="74">
        <v>10408.52</v>
      </c>
      <c r="F194" s="74">
        <v>10379.629999999999</v>
      </c>
      <c r="G194" s="74">
        <v>15825.24</v>
      </c>
      <c r="H194" s="74">
        <v>12234.91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62220.89</v>
      </c>
    </row>
    <row r="195" spans="1:15" x14ac:dyDescent="0.25">
      <c r="A195" s="71" t="s">
        <v>495</v>
      </c>
      <c r="B195" s="74"/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5">
      <c r="A196" s="71" t="s">
        <v>194</v>
      </c>
      <c r="B196" s="74"/>
      <c r="C196" s="74">
        <v>14109.34</v>
      </c>
      <c r="D196" s="74">
        <v>11405.4</v>
      </c>
      <c r="E196" s="74">
        <v>13279.16</v>
      </c>
      <c r="F196" s="74">
        <v>15787.62</v>
      </c>
      <c r="G196" s="74">
        <v>16122.72</v>
      </c>
      <c r="H196" s="74">
        <v>19089.060000000001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89793.299999999988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8451.9699999999993</v>
      </c>
      <c r="D200" s="74">
        <v>10456.620000000001</v>
      </c>
      <c r="E200" s="74">
        <v>13518.64</v>
      </c>
      <c r="F200" s="74">
        <v>12055.92</v>
      </c>
      <c r="G200" s="74">
        <v>12806.12</v>
      </c>
      <c r="H200" s="74">
        <v>8319.99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65609.260000000009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2406.8200000000002</v>
      </c>
      <c r="D202" s="74">
        <v>1979.3</v>
      </c>
      <c r="E202" s="74">
        <v>2371.59</v>
      </c>
      <c r="F202" s="74">
        <v>2004.74</v>
      </c>
      <c r="G202" s="74">
        <v>2623.98</v>
      </c>
      <c r="H202" s="74">
        <v>2449.6999999999998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13836.130000000001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1985.99</v>
      </c>
      <c r="D204" s="74">
        <v>2373.38</v>
      </c>
      <c r="E204" s="74">
        <v>2296.7199999999998</v>
      </c>
      <c r="F204" s="74">
        <v>1913.87</v>
      </c>
      <c r="G204" s="74">
        <v>350.38</v>
      </c>
      <c r="H204" s="74">
        <v>3468.6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12388.939999999999</v>
      </c>
    </row>
    <row r="205" spans="1:15" x14ac:dyDescent="0.25">
      <c r="A205" s="71" t="s">
        <v>201</v>
      </c>
      <c r="B205" s="74"/>
      <c r="C205" s="74">
        <v>434.79</v>
      </c>
      <c r="D205" s="74">
        <v>240.78</v>
      </c>
      <c r="E205" s="74">
        <v>0</v>
      </c>
      <c r="F205" s="74">
        <v>430.87</v>
      </c>
      <c r="G205" s="74">
        <v>0</v>
      </c>
      <c r="H205" s="74">
        <v>204.52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1310.96</v>
      </c>
    </row>
    <row r="206" spans="1:15" x14ac:dyDescent="0.25">
      <c r="A206" s="71" t="s">
        <v>202</v>
      </c>
      <c r="B206" s="74"/>
      <c r="C206" s="74">
        <v>497.34</v>
      </c>
      <c r="D206" s="74">
        <v>0</v>
      </c>
      <c r="E206" s="74">
        <v>0</v>
      </c>
      <c r="F206" s="74">
        <v>0</v>
      </c>
      <c r="G206" s="74">
        <v>0</v>
      </c>
      <c r="H206" s="74">
        <v>368.7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866.04</v>
      </c>
    </row>
    <row r="207" spans="1:15" x14ac:dyDescent="0.25">
      <c r="A207" s="71" t="s">
        <v>203</v>
      </c>
      <c r="B207" s="74"/>
      <c r="C207" s="74">
        <v>434.5</v>
      </c>
      <c r="D207" s="74">
        <v>0</v>
      </c>
      <c r="E207" s="74">
        <v>704.02</v>
      </c>
      <c r="F207" s="74">
        <v>621.5</v>
      </c>
      <c r="G207" s="74">
        <v>1671</v>
      </c>
      <c r="H207" s="74">
        <v>1428.58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4859.6000000000004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82.07</v>
      </c>
      <c r="D209" s="74">
        <v>754.64</v>
      </c>
      <c r="E209" s="74">
        <v>473.16</v>
      </c>
      <c r="F209" s="74">
        <v>503.67</v>
      </c>
      <c r="G209" s="74">
        <v>-36.950000000000003</v>
      </c>
      <c r="H209" s="74">
        <v>-273.62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1502.9700000000003</v>
      </c>
    </row>
    <row r="210" spans="1:15" x14ac:dyDescent="0.25">
      <c r="A210" s="71" t="s">
        <v>206</v>
      </c>
      <c r="B210" s="74"/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198.86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198.86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400.58</v>
      </c>
      <c r="D212" s="74">
        <v>277.77999999999997</v>
      </c>
      <c r="E212" s="74">
        <v>404.93</v>
      </c>
      <c r="F212" s="74">
        <v>297.42</v>
      </c>
      <c r="G212" s="74">
        <v>0</v>
      </c>
      <c r="H212" s="74">
        <v>1349.5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2730.21</v>
      </c>
    </row>
    <row r="213" spans="1:15" x14ac:dyDescent="0.25">
      <c r="A213" s="71" t="s">
        <v>209</v>
      </c>
      <c r="B213" s="74"/>
      <c r="C213" s="74">
        <v>0</v>
      </c>
      <c r="D213" s="74">
        <v>280</v>
      </c>
      <c r="E213" s="74">
        <v>869.34</v>
      </c>
      <c r="F213" s="74">
        <v>270</v>
      </c>
      <c r="G213" s="74">
        <v>0</v>
      </c>
      <c r="H213" s="74">
        <v>188.67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1608.0100000000002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24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24</v>
      </c>
    </row>
    <row r="215" spans="1:15" x14ac:dyDescent="0.25">
      <c r="A215" s="71" t="s">
        <v>211</v>
      </c>
      <c r="B215" s="74"/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-7.85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-7.85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0</v>
      </c>
      <c r="D221" s="74">
        <v>212</v>
      </c>
      <c r="E221" s="74">
        <v>0</v>
      </c>
      <c r="F221" s="74">
        <v>106</v>
      </c>
      <c r="G221" s="74">
        <v>741.94</v>
      </c>
      <c r="H221" s="74">
        <v>1609.6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2669.54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780</v>
      </c>
      <c r="D225" s="74">
        <v>0</v>
      </c>
      <c r="E225" s="74">
        <v>318</v>
      </c>
      <c r="F225" s="74">
        <v>106</v>
      </c>
      <c r="G225" s="74">
        <v>96.06</v>
      </c>
      <c r="H225" s="74">
        <v>416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1716.06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1721.98</v>
      </c>
      <c r="D227" s="74">
        <v>1260.5999999999999</v>
      </c>
      <c r="E227" s="74">
        <v>1831.1</v>
      </c>
      <c r="F227" s="74">
        <v>1529.32</v>
      </c>
      <c r="G227" s="74">
        <v>2644.8</v>
      </c>
      <c r="H227" s="74">
        <v>2200.77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11188.57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1557.37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1557.37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68380.33</v>
      </c>
      <c r="D244" s="74">
        <v>63036.639999999999</v>
      </c>
      <c r="E244" s="74">
        <v>76300.36</v>
      </c>
      <c r="F244" s="74">
        <v>72740.09</v>
      </c>
      <c r="G244" s="74">
        <v>80652.240000000005</v>
      </c>
      <c r="H244" s="74">
        <v>84114.580000000016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445224.24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12582.83</v>
      </c>
      <c r="D247" s="74">
        <v>10343.450000000001</v>
      </c>
      <c r="E247" s="74">
        <v>11911.48</v>
      </c>
      <c r="F247" s="74">
        <v>10338.92</v>
      </c>
      <c r="G247" s="74">
        <v>11580.1</v>
      </c>
      <c r="H247" s="74">
        <v>9754.19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66510.969999999987</v>
      </c>
    </row>
    <row r="248" spans="1:16" x14ac:dyDescent="0.25">
      <c r="A248" s="71" t="s">
        <v>243</v>
      </c>
      <c r="B248" s="74"/>
      <c r="C248" s="74">
        <v>765.3</v>
      </c>
      <c r="D248" s="74">
        <v>480</v>
      </c>
      <c r="E248" s="74">
        <v>639.03</v>
      </c>
      <c r="F248" s="74">
        <v>549.03</v>
      </c>
      <c r="G248" s="74">
        <v>120</v>
      </c>
      <c r="H248" s="74">
        <v>978.06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3531.4199999999996</v>
      </c>
    </row>
    <row r="249" spans="1:16" x14ac:dyDescent="0.25">
      <c r="A249" s="71" t="s">
        <v>244</v>
      </c>
      <c r="B249" s="74"/>
      <c r="C249" s="74">
        <v>593.59</v>
      </c>
      <c r="D249" s="74">
        <v>1294.3800000000001</v>
      </c>
      <c r="E249" s="74">
        <v>372.11</v>
      </c>
      <c r="F249" s="74">
        <v>615.28</v>
      </c>
      <c r="G249" s="74">
        <v>646.25</v>
      </c>
      <c r="H249" s="74">
        <v>924.59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4446.2000000000007</v>
      </c>
    </row>
    <row r="250" spans="1:16" x14ac:dyDescent="0.25">
      <c r="A250" s="71" t="s">
        <v>245</v>
      </c>
      <c r="B250" s="74"/>
      <c r="C250" s="74">
        <v>556.65</v>
      </c>
      <c r="D250" s="74">
        <v>315.58</v>
      </c>
      <c r="E250" s="74">
        <v>550.09</v>
      </c>
      <c r="F250" s="74">
        <v>369.96</v>
      </c>
      <c r="G250" s="74">
        <v>591.52</v>
      </c>
      <c r="H250" s="74">
        <v>439.35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2823.15</v>
      </c>
    </row>
    <row r="251" spans="1:16" x14ac:dyDescent="0.25">
      <c r="A251" s="71" t="s">
        <v>246</v>
      </c>
      <c r="B251" s="74"/>
      <c r="C251" s="74">
        <v>9047.27</v>
      </c>
      <c r="D251" s="74">
        <v>9933.7199999999993</v>
      </c>
      <c r="E251" s="74">
        <v>11868.33</v>
      </c>
      <c r="F251" s="74">
        <v>8929.26</v>
      </c>
      <c r="G251" s="74">
        <v>11443.77</v>
      </c>
      <c r="H251" s="74">
        <v>13102.68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64325.030000000006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321.24</v>
      </c>
      <c r="D253" s="74">
        <v>194.17</v>
      </c>
      <c r="E253" s="74">
        <v>584.64</v>
      </c>
      <c r="F253" s="74">
        <v>713.97</v>
      </c>
      <c r="G253" s="74">
        <v>580.42999999999995</v>
      </c>
      <c r="H253" s="74">
        <v>-129.47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2264.98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410.06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410.06</v>
      </c>
    </row>
    <row r="260" spans="1:16" x14ac:dyDescent="0.25">
      <c r="A260" s="71" t="s">
        <v>255</v>
      </c>
      <c r="C260" s="83">
        <v>25.16</v>
      </c>
      <c r="D260" s="83">
        <v>-111.23</v>
      </c>
      <c r="E260" s="83">
        <v>73.930000000000007</v>
      </c>
      <c r="F260" s="83">
        <v>73.650000000000006</v>
      </c>
      <c r="G260" s="83">
        <v>143.86000000000001</v>
      </c>
      <c r="H260" s="83">
        <v>207.7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413.07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24302.100000000002</v>
      </c>
      <c r="D262" s="74">
        <v>22450.07</v>
      </c>
      <c r="E262" s="74">
        <v>25999.61</v>
      </c>
      <c r="F262" s="74">
        <v>21590.070000000003</v>
      </c>
      <c r="G262" s="74">
        <v>25105.93</v>
      </c>
      <c r="H262" s="74">
        <v>25277.100000000002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144724.88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2252</v>
      </c>
      <c r="D265" s="74">
        <v>2196</v>
      </c>
      <c r="E265" s="74">
        <v>2462</v>
      </c>
      <c r="F265" s="74">
        <v>2690</v>
      </c>
      <c r="G265" s="74">
        <v>2658</v>
      </c>
      <c r="H265" s="74">
        <v>1917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14175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1656.19</v>
      </c>
      <c r="D267" s="74">
        <v>4020.09</v>
      </c>
      <c r="E267" s="74">
        <v>1500.47</v>
      </c>
      <c r="F267" s="74">
        <v>1136.29</v>
      </c>
      <c r="G267" s="74">
        <v>3018.44</v>
      </c>
      <c r="H267" s="74">
        <v>2121.1999999999998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13452.68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433.52</v>
      </c>
      <c r="G269" s="74">
        <v>30.95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464.46999999999997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322.43</v>
      </c>
      <c r="G271" s="74">
        <v>0</v>
      </c>
      <c r="H271" s="74">
        <v>59.14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381.57</v>
      </c>
    </row>
    <row r="272" spans="1:16" x14ac:dyDescent="0.25">
      <c r="A272" s="71" t="s">
        <v>265</v>
      </c>
      <c r="B272" s="74"/>
      <c r="C272" s="74">
        <v>1965.74</v>
      </c>
      <c r="D272" s="74">
        <v>3453.43</v>
      </c>
      <c r="E272" s="74">
        <v>2110.7800000000002</v>
      </c>
      <c r="F272" s="74">
        <v>1249.95</v>
      </c>
      <c r="G272" s="74">
        <v>3229.81</v>
      </c>
      <c r="H272" s="74">
        <v>2166.62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14176.330000000002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162.91999999999999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162.91999999999999</v>
      </c>
    </row>
    <row r="276" spans="1:15" x14ac:dyDescent="0.25">
      <c r="A276" s="71" t="s">
        <v>269</v>
      </c>
      <c r="B276" s="74"/>
      <c r="C276" s="74">
        <v>992.23</v>
      </c>
      <c r="D276" s="74">
        <v>2653.87</v>
      </c>
      <c r="E276" s="74">
        <v>677.92</v>
      </c>
      <c r="F276" s="74">
        <v>102.24</v>
      </c>
      <c r="G276" s="74">
        <v>4007.43</v>
      </c>
      <c r="H276" s="74">
        <v>2695.64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11129.329999999998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67.52</v>
      </c>
      <c r="D279" s="74">
        <v>278.29000000000002</v>
      </c>
      <c r="E279" s="74">
        <v>0</v>
      </c>
      <c r="F279" s="74">
        <v>232.55</v>
      </c>
      <c r="G279" s="74">
        <v>450.59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1028.95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0</v>
      </c>
      <c r="D283" s="74">
        <v>239.33</v>
      </c>
      <c r="E283" s="74">
        <v>0</v>
      </c>
      <c r="F283" s="74">
        <v>92.09</v>
      </c>
      <c r="G283" s="74">
        <v>1194.32</v>
      </c>
      <c r="H283" s="74">
        <v>64.599999999999994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1590.34</v>
      </c>
    </row>
    <row r="284" spans="1:15" x14ac:dyDescent="0.25">
      <c r="A284" s="71" t="s">
        <v>277</v>
      </c>
      <c r="B284" s="74"/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274.5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274.5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9823.2099999999991</v>
      </c>
      <c r="D289" s="74">
        <v>8015.36</v>
      </c>
      <c r="E289" s="74">
        <v>13556.34</v>
      </c>
      <c r="F289" s="74">
        <v>16182.6</v>
      </c>
      <c r="G289" s="74">
        <v>35040.080000000002</v>
      </c>
      <c r="H289" s="74">
        <v>9979.0400000000009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92596.63</v>
      </c>
    </row>
    <row r="290" spans="1:15" x14ac:dyDescent="0.25">
      <c r="A290" s="71" t="s">
        <v>283</v>
      </c>
      <c r="B290" s="74"/>
      <c r="C290" s="74">
        <v>171.29</v>
      </c>
      <c r="D290" s="74">
        <v>0</v>
      </c>
      <c r="E290" s="74">
        <v>169.6</v>
      </c>
      <c r="F290" s="74">
        <v>0</v>
      </c>
      <c r="G290" s="74">
        <v>0</v>
      </c>
      <c r="H290" s="74">
        <v>169.6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510.49</v>
      </c>
    </row>
    <row r="291" spans="1:15" x14ac:dyDescent="0.25">
      <c r="A291" s="71" t="s">
        <v>284</v>
      </c>
      <c r="B291" s="74"/>
      <c r="C291" s="74">
        <v>139.97999999999999</v>
      </c>
      <c r="D291" s="74">
        <v>130.65</v>
      </c>
      <c r="E291" s="74">
        <v>990.21</v>
      </c>
      <c r="F291" s="74">
        <v>1229.4100000000001</v>
      </c>
      <c r="G291" s="74">
        <v>2092.4699999999998</v>
      </c>
      <c r="H291" s="74">
        <v>1410.68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5993.4</v>
      </c>
    </row>
    <row r="292" spans="1:15" x14ac:dyDescent="0.25">
      <c r="A292" s="71" t="s">
        <v>285</v>
      </c>
      <c r="B292" s="74"/>
      <c r="C292" s="74">
        <v>0</v>
      </c>
      <c r="D292" s="74">
        <v>0</v>
      </c>
      <c r="E292" s="74">
        <v>0</v>
      </c>
      <c r="F292" s="74">
        <v>565.9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565.9</v>
      </c>
    </row>
    <row r="293" spans="1:15" x14ac:dyDescent="0.25">
      <c r="A293" s="71" t="s">
        <v>286</v>
      </c>
      <c r="B293" s="74"/>
      <c r="C293" s="74">
        <v>0</v>
      </c>
      <c r="D293" s="74">
        <v>0</v>
      </c>
      <c r="E293" s="74">
        <v>0</v>
      </c>
      <c r="F293" s="74">
        <v>1159.55</v>
      </c>
      <c r="G293" s="74">
        <v>441.49</v>
      </c>
      <c r="H293" s="74">
        <v>551.29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2152.33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199.94</v>
      </c>
      <c r="D296" s="74">
        <v>0</v>
      </c>
      <c r="E296" s="74">
        <v>0</v>
      </c>
      <c r="F296" s="74">
        <v>0</v>
      </c>
      <c r="G296" s="74">
        <v>88</v>
      </c>
      <c r="H296" s="74">
        <v>104.23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392.17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405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405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0</v>
      </c>
      <c r="D301" s="74">
        <v>0</v>
      </c>
      <c r="E301" s="74">
        <v>151.5</v>
      </c>
      <c r="F301" s="74">
        <v>-151.5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0</v>
      </c>
      <c r="D303" s="74">
        <v>0</v>
      </c>
      <c r="E303" s="74">
        <v>200.99</v>
      </c>
      <c r="F303" s="74">
        <v>-200.99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x14ac:dyDescent="0.25">
      <c r="A304" s="71" t="s">
        <v>499</v>
      </c>
      <c r="B304" s="74"/>
      <c r="C304" s="74">
        <v>0</v>
      </c>
      <c r="D304" s="74">
        <v>0</v>
      </c>
      <c r="E304" s="74">
        <v>0</v>
      </c>
      <c r="F304" s="74">
        <v>1152.4100000000001</v>
      </c>
      <c r="G304" s="74">
        <v>0</v>
      </c>
      <c r="H304" s="74">
        <v>348.45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1500.8600000000001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6" x14ac:dyDescent="0.25">
      <c r="A306" s="71" t="s">
        <v>501</v>
      </c>
      <c r="B306" s="74"/>
      <c r="C306" s="74">
        <v>0</v>
      </c>
      <c r="D306" s="74">
        <v>0</v>
      </c>
      <c r="E306" s="74">
        <v>0</v>
      </c>
      <c r="F306" s="74">
        <v>200.99</v>
      </c>
      <c r="G306" s="74">
        <v>0</v>
      </c>
      <c r="H306" s="74">
        <v>486.82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687.81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40.4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40.4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72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72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17268.099999999999</v>
      </c>
      <c r="D321" s="74">
        <v>20987.02</v>
      </c>
      <c r="E321" s="74">
        <v>22265.210000000003</v>
      </c>
      <c r="F321" s="74">
        <v>26560.36</v>
      </c>
      <c r="G321" s="74">
        <v>52251.58</v>
      </c>
      <c r="H321" s="74">
        <v>22420.81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161753.07999999996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1309.3499999999999</v>
      </c>
      <c r="D324" s="74">
        <v>270.95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1580.3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0</v>
      </c>
      <c r="D326" s="74">
        <v>0</v>
      </c>
      <c r="E326" s="74">
        <v>0</v>
      </c>
      <c r="F326" s="74">
        <v>393.03</v>
      </c>
      <c r="G326" s="74">
        <v>470.25</v>
      </c>
      <c r="H326" s="74">
        <v>465.43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1328.71</v>
      </c>
    </row>
    <row r="327" spans="1:16" x14ac:dyDescent="0.25">
      <c r="A327" s="71" t="s">
        <v>315</v>
      </c>
      <c r="B327" s="74"/>
      <c r="C327" s="74">
        <v>683.52</v>
      </c>
      <c r="D327" s="74">
        <v>0</v>
      </c>
      <c r="E327" s="74">
        <v>762.88</v>
      </c>
      <c r="F327" s="74">
        <v>250</v>
      </c>
      <c r="G327" s="74">
        <v>300</v>
      </c>
      <c r="H327" s="74">
        <v>297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2293.4</v>
      </c>
    </row>
    <row r="328" spans="1:16" x14ac:dyDescent="0.25">
      <c r="A328" s="71" t="s">
        <v>316</v>
      </c>
      <c r="B328" s="74"/>
      <c r="C328" s="74">
        <v>193.09</v>
      </c>
      <c r="D328" s="74">
        <v>290.83999999999997</v>
      </c>
      <c r="E328" s="74">
        <v>46.67</v>
      </c>
      <c r="F328" s="74">
        <v>498</v>
      </c>
      <c r="G328" s="74">
        <v>215.35</v>
      </c>
      <c r="H328" s="74">
        <v>419.22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1663.1699999999998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6" x14ac:dyDescent="0.25">
      <c r="A336" s="71" t="s">
        <v>324</v>
      </c>
      <c r="C336" s="83">
        <v>0</v>
      </c>
      <c r="D336" s="83">
        <v>19</v>
      </c>
      <c r="E336" s="83">
        <v>237.5</v>
      </c>
      <c r="F336" s="83">
        <v>0</v>
      </c>
      <c r="G336" s="83">
        <v>0</v>
      </c>
      <c r="H336" s="83">
        <v>-237.5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19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2185.96</v>
      </c>
      <c r="D338" s="74">
        <v>580.79</v>
      </c>
      <c r="E338" s="74">
        <v>1047.05</v>
      </c>
      <c r="F338" s="74">
        <v>1141.03</v>
      </c>
      <c r="G338" s="74">
        <v>985.6</v>
      </c>
      <c r="H338" s="74">
        <v>944.15000000000009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6884.58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5466</v>
      </c>
      <c r="D341" s="74">
        <v>6525.17</v>
      </c>
      <c r="E341" s="74">
        <v>7566.17</v>
      </c>
      <c r="F341" s="74">
        <v>7330.41</v>
      </c>
      <c r="G341" s="74">
        <v>7753.17</v>
      </c>
      <c r="H341" s="74">
        <v>7461.85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42102.77</v>
      </c>
    </row>
    <row r="342" spans="1:16" x14ac:dyDescent="0.25">
      <c r="A342" s="71" t="s">
        <v>329</v>
      </c>
      <c r="B342" s="74"/>
      <c r="C342" s="74">
        <v>511.87</v>
      </c>
      <c r="D342" s="74">
        <v>696.22</v>
      </c>
      <c r="E342" s="74">
        <v>693.45</v>
      </c>
      <c r="F342" s="74">
        <v>695.43</v>
      </c>
      <c r="G342" s="74">
        <v>457.53</v>
      </c>
      <c r="H342" s="74">
        <v>823.5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3878</v>
      </c>
    </row>
    <row r="343" spans="1:16" x14ac:dyDescent="0.25">
      <c r="A343" s="71" t="s">
        <v>330</v>
      </c>
      <c r="B343" s="74"/>
      <c r="C343" s="74">
        <v>1174.9000000000001</v>
      </c>
      <c r="D343" s="74">
        <v>0</v>
      </c>
      <c r="E343" s="74">
        <v>1268.23</v>
      </c>
      <c r="F343" s="74">
        <v>377</v>
      </c>
      <c r="G343" s="74">
        <v>450.2</v>
      </c>
      <c r="H343" s="74">
        <v>445.5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3715.83</v>
      </c>
    </row>
    <row r="344" spans="1:16" x14ac:dyDescent="0.25">
      <c r="A344" s="71" t="s">
        <v>331</v>
      </c>
      <c r="B344" s="74"/>
      <c r="C344" s="74">
        <v>26.58</v>
      </c>
      <c r="D344" s="74">
        <v>372.5</v>
      </c>
      <c r="E344" s="74">
        <v>448.96</v>
      </c>
      <c r="F344" s="74">
        <v>145.41999999999999</v>
      </c>
      <c r="G344" s="74">
        <v>167.08</v>
      </c>
      <c r="H344" s="74">
        <v>360.64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1521.1799999999998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1857.65</v>
      </c>
      <c r="D349" s="74">
        <v>48.6</v>
      </c>
      <c r="E349" s="74">
        <v>0</v>
      </c>
      <c r="F349" s="74">
        <v>0</v>
      </c>
      <c r="G349" s="74">
        <v>290.79000000000002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2197.04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744</v>
      </c>
      <c r="D351" s="74">
        <v>0</v>
      </c>
      <c r="E351" s="74">
        <v>0</v>
      </c>
      <c r="F351" s="74">
        <v>97.2</v>
      </c>
      <c r="G351" s="74">
        <v>91.13</v>
      </c>
      <c r="H351" s="74">
        <v>194.4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1126.73</v>
      </c>
    </row>
    <row r="352" spans="1:16" x14ac:dyDescent="0.25">
      <c r="A352" s="71" t="s">
        <v>339</v>
      </c>
      <c r="C352" s="83">
        <v>286.33999999999997</v>
      </c>
      <c r="D352" s="83">
        <v>274.01</v>
      </c>
      <c r="E352" s="83">
        <v>300.29000000000002</v>
      </c>
      <c r="F352" s="83">
        <v>273.99</v>
      </c>
      <c r="G352" s="83">
        <v>169.95</v>
      </c>
      <c r="H352" s="83">
        <v>152.27000000000001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1456.85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10067.34</v>
      </c>
      <c r="D354" s="74">
        <v>7916.5000000000009</v>
      </c>
      <c r="E354" s="74">
        <v>10277.1</v>
      </c>
      <c r="F354" s="74">
        <v>8919.4500000000007</v>
      </c>
      <c r="G354" s="74">
        <v>9379.8500000000022</v>
      </c>
      <c r="H354" s="74">
        <v>9438.16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55998.400000000001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2661.05</v>
      </c>
      <c r="D358" s="74">
        <v>2071.38</v>
      </c>
      <c r="E358" s="74">
        <v>2237.41</v>
      </c>
      <c r="F358" s="74">
        <v>1732.13</v>
      </c>
      <c r="G358" s="74">
        <v>2328.88</v>
      </c>
      <c r="H358" s="74">
        <v>2035.4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13066.250000000002</v>
      </c>
    </row>
    <row r="359" spans="1:16" x14ac:dyDescent="0.25">
      <c r="A359" s="71" t="s">
        <v>344</v>
      </c>
      <c r="B359" s="74"/>
      <c r="C359" s="74">
        <v>190.44</v>
      </c>
      <c r="D359" s="74">
        <v>148.66999999999999</v>
      </c>
      <c r="E359" s="74">
        <v>279.70999999999998</v>
      </c>
      <c r="F359" s="74">
        <v>56.49</v>
      </c>
      <c r="G359" s="74">
        <v>146.22</v>
      </c>
      <c r="H359" s="74">
        <v>60.4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881.93</v>
      </c>
    </row>
    <row r="360" spans="1:16" x14ac:dyDescent="0.25">
      <c r="A360" s="71" t="s">
        <v>345</v>
      </c>
      <c r="B360" s="74"/>
      <c r="C360" s="74">
        <v>103.55</v>
      </c>
      <c r="D360" s="74">
        <v>86.18</v>
      </c>
      <c r="E360" s="74">
        <v>2514.2199999999998</v>
      </c>
      <c r="F360" s="74">
        <v>443.57</v>
      </c>
      <c r="G360" s="74">
        <v>0</v>
      </c>
      <c r="H360" s="74">
        <v>38.76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3186.28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94</v>
      </c>
      <c r="D362" s="74">
        <v>0</v>
      </c>
      <c r="E362" s="74">
        <v>94</v>
      </c>
      <c r="F362" s="74">
        <v>0</v>
      </c>
      <c r="G362" s="74">
        <v>208</v>
      </c>
      <c r="H362" s="74">
        <v>114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510</v>
      </c>
    </row>
    <row r="363" spans="1:16" x14ac:dyDescent="0.25">
      <c r="A363" s="71" t="s">
        <v>348</v>
      </c>
      <c r="B363" s="74"/>
      <c r="C363" s="74">
        <v>634.82000000000005</v>
      </c>
      <c r="D363" s="74">
        <v>0</v>
      </c>
      <c r="E363" s="74">
        <v>337.36</v>
      </c>
      <c r="F363" s="74">
        <v>674.72</v>
      </c>
      <c r="G363" s="74">
        <v>0</v>
      </c>
      <c r="H363" s="74">
        <v>381.36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2028.2600000000002</v>
      </c>
    </row>
    <row r="364" spans="1:16" x14ac:dyDescent="0.25">
      <c r="A364" s="71" t="s">
        <v>349</v>
      </c>
      <c r="B364" s="74"/>
      <c r="C364" s="74">
        <v>1004.17</v>
      </c>
      <c r="D364" s="74">
        <v>1004.17</v>
      </c>
      <c r="E364" s="74">
        <v>1004.17</v>
      </c>
      <c r="F364" s="74">
        <v>1004.17</v>
      </c>
      <c r="G364" s="74">
        <v>1004.17</v>
      </c>
      <c r="H364" s="74">
        <v>1004.17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6025.0199999999995</v>
      </c>
    </row>
    <row r="365" spans="1:16" x14ac:dyDescent="0.25">
      <c r="A365" s="71" t="s">
        <v>350</v>
      </c>
      <c r="B365" s="74"/>
      <c r="C365" s="74">
        <v>724.38</v>
      </c>
      <c r="D365" s="74">
        <v>415</v>
      </c>
      <c r="E365" s="74">
        <v>0</v>
      </c>
      <c r="F365" s="74">
        <v>800</v>
      </c>
      <c r="G365" s="74">
        <v>300</v>
      </c>
      <c r="H365" s="74">
        <v>1812.6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4051.98</v>
      </c>
    </row>
    <row r="366" spans="1:16" x14ac:dyDescent="0.25">
      <c r="A366" s="71" t="s">
        <v>351</v>
      </c>
      <c r="B366" s="74"/>
      <c r="C366" s="74">
        <v>2658.5</v>
      </c>
      <c r="D366" s="74">
        <v>5787.1</v>
      </c>
      <c r="E366" s="74">
        <v>3646.82</v>
      </c>
      <c r="F366" s="74">
        <v>3077.3</v>
      </c>
      <c r="G366" s="74">
        <v>4356.9399999999996</v>
      </c>
      <c r="H366" s="74">
        <v>4439.01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23965.67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248</v>
      </c>
      <c r="F370" s="74">
        <v>248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496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124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124</v>
      </c>
    </row>
    <row r="373" spans="1:16" x14ac:dyDescent="0.25">
      <c r="A373" s="71" t="s">
        <v>358</v>
      </c>
      <c r="B373" s="74"/>
      <c r="C373" s="74">
        <v>-0.01</v>
      </c>
      <c r="D373" s="74">
        <v>-0.01</v>
      </c>
      <c r="E373" s="74">
        <v>-0.01</v>
      </c>
      <c r="F373" s="74">
        <v>-0.01</v>
      </c>
      <c r="G373" s="74">
        <v>-17.84</v>
      </c>
      <c r="H373" s="74">
        <v>-0.01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-17.89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2331.9899999999998</v>
      </c>
      <c r="D376" s="74">
        <v>3038</v>
      </c>
      <c r="E376" s="74">
        <v>2567.25</v>
      </c>
      <c r="F376" s="74">
        <v>2443.9899999999998</v>
      </c>
      <c r="G376" s="74">
        <v>2276.37</v>
      </c>
      <c r="H376" s="74">
        <v>2946.29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15603.89</v>
      </c>
    </row>
    <row r="377" spans="1:16" x14ac:dyDescent="0.25">
      <c r="A377" s="71" t="s">
        <v>362</v>
      </c>
      <c r="C377" s="83">
        <v>4595.5</v>
      </c>
      <c r="D377" s="83">
        <v>1313</v>
      </c>
      <c r="E377" s="83">
        <v>1969.5</v>
      </c>
      <c r="F377" s="83">
        <v>3528.69</v>
      </c>
      <c r="G377" s="83">
        <v>0</v>
      </c>
      <c r="H377" s="83">
        <v>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11406.69</v>
      </c>
      <c r="P377" s="86"/>
    </row>
    <row r="378" spans="1:16" x14ac:dyDescent="0.25">
      <c r="A378" s="71" t="s">
        <v>363</v>
      </c>
      <c r="C378" s="98">
        <v>1154.74</v>
      </c>
      <c r="D378" s="98">
        <v>986.91</v>
      </c>
      <c r="E378" s="98">
        <v>911.24</v>
      </c>
      <c r="F378" s="98">
        <v>1194.1600000000001</v>
      </c>
      <c r="G378" s="98">
        <v>818.52</v>
      </c>
      <c r="H378" s="98">
        <v>853.29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5918.86</v>
      </c>
    </row>
    <row r="379" spans="1:16" x14ac:dyDescent="0.25">
      <c r="A379" s="71" t="s">
        <v>364</v>
      </c>
      <c r="C379" s="74">
        <v>16153.13</v>
      </c>
      <c r="D379" s="74">
        <v>14850.4</v>
      </c>
      <c r="E379" s="74">
        <v>15809.67</v>
      </c>
      <c r="F379" s="74">
        <v>15327.210000000001</v>
      </c>
      <c r="G379" s="74">
        <v>11421.259999999998</v>
      </c>
      <c r="H379" s="74">
        <v>13685.27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87246.94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6423.98</v>
      </c>
      <c r="D382" s="74">
        <v>6423.98</v>
      </c>
      <c r="E382" s="74">
        <v>6423.98</v>
      </c>
      <c r="F382" s="74">
        <v>6423.98</v>
      </c>
      <c r="G382" s="74">
        <v>6423.98</v>
      </c>
      <c r="H382" s="74">
        <v>6423.98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38543.879999999997</v>
      </c>
    </row>
    <row r="383" spans="1:16" x14ac:dyDescent="0.25">
      <c r="A383" s="71" t="s">
        <v>367</v>
      </c>
      <c r="B383" s="74"/>
      <c r="C383" s="74">
        <v>2282.79</v>
      </c>
      <c r="D383" s="74">
        <v>2437.06</v>
      </c>
      <c r="E383" s="74">
        <v>3007.3</v>
      </c>
      <c r="F383" s="74">
        <v>3132.57</v>
      </c>
      <c r="G383" s="74">
        <v>1316.36</v>
      </c>
      <c r="H383" s="74">
        <v>2828.18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15004.260000000002</v>
      </c>
    </row>
    <row r="384" spans="1:16" x14ac:dyDescent="0.25">
      <c r="A384" s="71" t="s">
        <v>368</v>
      </c>
      <c r="B384" s="74"/>
      <c r="C384" s="74">
        <v>2334.8000000000002</v>
      </c>
      <c r="D384" s="74">
        <v>1874.33</v>
      </c>
      <c r="E384" s="74">
        <v>2576.86</v>
      </c>
      <c r="F384" s="74">
        <v>2455</v>
      </c>
      <c r="G384" s="74">
        <v>2198.6999999999998</v>
      </c>
      <c r="H384" s="74">
        <v>1457.32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12897.009999999998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60</v>
      </c>
      <c r="D391" s="74">
        <v>60</v>
      </c>
      <c r="E391" s="74">
        <v>60</v>
      </c>
      <c r="F391" s="74">
        <v>60</v>
      </c>
      <c r="G391" s="74">
        <v>60</v>
      </c>
      <c r="H391" s="74">
        <v>60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360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260</v>
      </c>
      <c r="D393" s="74">
        <v>260</v>
      </c>
      <c r="E393" s="74">
        <v>0</v>
      </c>
      <c r="F393" s="74">
        <v>0</v>
      </c>
      <c r="G393" s="74">
        <v>1250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1770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0</v>
      </c>
      <c r="E395" s="74">
        <v>0</v>
      </c>
      <c r="F395" s="74">
        <v>272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272</v>
      </c>
    </row>
    <row r="396" spans="1:15" x14ac:dyDescent="0.25">
      <c r="A396" s="71" t="s">
        <v>380</v>
      </c>
      <c r="B396" s="74"/>
      <c r="C396" s="74">
        <v>338.62</v>
      </c>
      <c r="D396" s="74">
        <v>329.66</v>
      </c>
      <c r="E396" s="74">
        <v>329.66</v>
      </c>
      <c r="F396" s="74">
        <v>319.66000000000003</v>
      </c>
      <c r="G396" s="74">
        <v>289.58999999999997</v>
      </c>
      <c r="H396" s="74">
        <v>-11.29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1595.9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140</v>
      </c>
      <c r="D407" s="74">
        <v>108</v>
      </c>
      <c r="E407" s="74">
        <v>50</v>
      </c>
      <c r="F407" s="74">
        <v>240</v>
      </c>
      <c r="G407" s="74">
        <v>509.47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1047.47</v>
      </c>
    </row>
    <row r="408" spans="1:15" x14ac:dyDescent="0.25">
      <c r="A408" s="71" t="s">
        <v>392</v>
      </c>
      <c r="B408" s="74"/>
      <c r="C408" s="74">
        <v>243.29</v>
      </c>
      <c r="D408" s="74">
        <v>257.58999999999997</v>
      </c>
      <c r="E408" s="74">
        <v>261.29000000000002</v>
      </c>
      <c r="F408" s="74">
        <v>284.83999999999997</v>
      </c>
      <c r="G408" s="74">
        <v>0</v>
      </c>
      <c r="H408" s="74">
        <v>621.20000000000005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1668.21</v>
      </c>
    </row>
    <row r="409" spans="1:15" x14ac:dyDescent="0.25">
      <c r="A409" s="71" t="s">
        <v>393</v>
      </c>
      <c r="B409" s="74"/>
      <c r="C409" s="74">
        <v>778.67</v>
      </c>
      <c r="D409" s="74">
        <v>910.73</v>
      </c>
      <c r="E409" s="74">
        <v>861.04</v>
      </c>
      <c r="F409" s="74">
        <v>914.49</v>
      </c>
      <c r="G409" s="74">
        <v>941.14</v>
      </c>
      <c r="H409" s="74">
        <v>733.25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5139.3200000000006</v>
      </c>
    </row>
    <row r="410" spans="1:15" x14ac:dyDescent="0.25">
      <c r="A410" s="71" t="s">
        <v>394</v>
      </c>
      <c r="B410" s="74"/>
      <c r="C410" s="74">
        <v>0</v>
      </c>
      <c r="D410" s="74">
        <v>0</v>
      </c>
      <c r="E410" s="74">
        <v>73.709999999999994</v>
      </c>
      <c r="F410" s="74">
        <v>28.44</v>
      </c>
      <c r="G410" s="74">
        <v>68.39</v>
      </c>
      <c r="H410" s="74">
        <v>68.39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238.93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109.65</v>
      </c>
      <c r="D412" s="74">
        <v>52.01</v>
      </c>
      <c r="E412" s="74">
        <v>67.180000000000007</v>
      </c>
      <c r="F412" s="74">
        <v>143.02000000000001</v>
      </c>
      <c r="G412" s="74">
        <v>132.97999999999999</v>
      </c>
      <c r="H412" s="74">
        <v>223.01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727.85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580.51</v>
      </c>
      <c r="D415" s="74">
        <v>580.51</v>
      </c>
      <c r="E415" s="74">
        <v>580.51</v>
      </c>
      <c r="F415" s="74">
        <v>580.51</v>
      </c>
      <c r="G415" s="74">
        <v>580.51</v>
      </c>
      <c r="H415" s="74">
        <v>580.51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3483.0600000000004</v>
      </c>
    </row>
    <row r="416" spans="1:15" x14ac:dyDescent="0.25">
      <c r="A416" s="71" t="s">
        <v>400</v>
      </c>
      <c r="B416" s="74"/>
      <c r="C416" s="74">
        <v>551.25</v>
      </c>
      <c r="D416" s="74">
        <v>551.25</v>
      </c>
      <c r="E416" s="74">
        <v>551.25</v>
      </c>
      <c r="F416" s="74">
        <v>551.25</v>
      </c>
      <c r="G416" s="74">
        <v>551.25</v>
      </c>
      <c r="H416" s="74">
        <v>551.25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3307.5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3157.04</v>
      </c>
      <c r="D419" s="74">
        <v>2757.61</v>
      </c>
      <c r="E419" s="74">
        <v>2820.57</v>
      </c>
      <c r="F419" s="74">
        <v>2884.26</v>
      </c>
      <c r="G419" s="74">
        <v>3183.66</v>
      </c>
      <c r="H419" s="74">
        <v>3038.14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17841.28</v>
      </c>
    </row>
    <row r="420" spans="1:15" x14ac:dyDescent="0.25">
      <c r="A420" s="71" t="s">
        <v>404</v>
      </c>
      <c r="B420" s="74"/>
      <c r="C420" s="74">
        <v>121.06</v>
      </c>
      <c r="D420" s="74">
        <v>138.31</v>
      </c>
      <c r="E420" s="74">
        <v>120.78</v>
      </c>
      <c r="F420" s="74">
        <v>168.15</v>
      </c>
      <c r="G420" s="74">
        <v>108.3</v>
      </c>
      <c r="H420" s="74">
        <v>106.17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762.76999999999987</v>
      </c>
    </row>
    <row r="421" spans="1:15" x14ac:dyDescent="0.25">
      <c r="A421" s="71" t="s">
        <v>405</v>
      </c>
      <c r="B421" s="74"/>
      <c r="C421" s="74">
        <v>292.38</v>
      </c>
      <c r="D421" s="74">
        <v>2632.97</v>
      </c>
      <c r="E421" s="74">
        <v>314.18</v>
      </c>
      <c r="F421" s="74">
        <v>402.2</v>
      </c>
      <c r="G421" s="74">
        <v>485.78</v>
      </c>
      <c r="H421" s="74">
        <v>288.76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4416.2699999999995</v>
      </c>
    </row>
    <row r="422" spans="1:15" x14ac:dyDescent="0.25">
      <c r="A422" s="71" t="s">
        <v>406</v>
      </c>
      <c r="B422" s="74"/>
      <c r="C422" s="74">
        <v>9871.83</v>
      </c>
      <c r="D422" s="74">
        <v>10004.58</v>
      </c>
      <c r="E422" s="74">
        <v>10500.76</v>
      </c>
      <c r="F422" s="74">
        <v>11492.14</v>
      </c>
      <c r="G422" s="74">
        <v>12144.03</v>
      </c>
      <c r="H422" s="74">
        <v>11389.82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65403.159999999996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180</v>
      </c>
      <c r="F425" s="74">
        <v>0</v>
      </c>
      <c r="G425" s="74">
        <v>0</v>
      </c>
      <c r="H425" s="74">
        <v>300.5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480.5</v>
      </c>
    </row>
    <row r="426" spans="1:15" x14ac:dyDescent="0.25">
      <c r="A426" s="71" t="s">
        <v>410</v>
      </c>
      <c r="B426" s="74"/>
      <c r="C426" s="74">
        <v>7859.7</v>
      </c>
      <c r="D426" s="74">
        <v>6788.36</v>
      </c>
      <c r="E426" s="74">
        <v>8030.72</v>
      </c>
      <c r="F426" s="74">
        <v>7601.21</v>
      </c>
      <c r="G426" s="74">
        <v>8095.04</v>
      </c>
      <c r="H426" s="74">
        <v>7770.26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46145.29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112.85</v>
      </c>
      <c r="D428" s="74">
        <v>0</v>
      </c>
      <c r="E428" s="74">
        <v>32.24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145.09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0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240.76</v>
      </c>
      <c r="D432" s="74">
        <v>393.44</v>
      </c>
      <c r="E432" s="74">
        <v>421.68</v>
      </c>
      <c r="F432" s="74">
        <v>363.89</v>
      </c>
      <c r="G432" s="74">
        <v>623.51</v>
      </c>
      <c r="H432" s="74">
        <v>294.38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2337.66</v>
      </c>
    </row>
    <row r="433" spans="1:16" x14ac:dyDescent="0.25">
      <c r="A433" s="71" t="s">
        <v>416</v>
      </c>
      <c r="B433" s="74"/>
      <c r="C433" s="74">
        <v>11322</v>
      </c>
      <c r="D433" s="74">
        <v>11322</v>
      </c>
      <c r="E433" s="74">
        <v>11322</v>
      </c>
      <c r="F433" s="74">
        <v>11971.25</v>
      </c>
      <c r="G433" s="74">
        <v>11322</v>
      </c>
      <c r="H433" s="74">
        <v>11322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68581.25</v>
      </c>
    </row>
    <row r="434" spans="1:16" x14ac:dyDescent="0.25">
      <c r="A434" s="71" t="s">
        <v>417</v>
      </c>
      <c r="B434" s="74"/>
      <c r="C434" s="74">
        <v>658.68</v>
      </c>
      <c r="D434" s="74">
        <v>653.02</v>
      </c>
      <c r="E434" s="74">
        <v>553</v>
      </c>
      <c r="F434" s="74">
        <v>0</v>
      </c>
      <c r="G434" s="74">
        <v>594.51</v>
      </c>
      <c r="H434" s="74">
        <v>662.45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3121.66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90</v>
      </c>
      <c r="D436" s="74">
        <v>91</v>
      </c>
      <c r="E436" s="74">
        <v>91</v>
      </c>
      <c r="F436" s="74">
        <v>91</v>
      </c>
      <c r="G436" s="74">
        <v>91</v>
      </c>
      <c r="H436" s="74">
        <v>0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454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0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0</v>
      </c>
    </row>
    <row r="440" spans="1:16" x14ac:dyDescent="0.25">
      <c r="A440" s="71" t="s">
        <v>423</v>
      </c>
      <c r="C440" s="74">
        <v>48488.75</v>
      </c>
      <c r="D440" s="74">
        <v>49285.3</v>
      </c>
      <c r="E440" s="74">
        <v>50938.6</v>
      </c>
      <c r="F440" s="74">
        <v>51038.75</v>
      </c>
      <c r="G440" s="74">
        <v>51629.090000000004</v>
      </c>
      <c r="H440" s="74">
        <v>49367.169999999991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300747.65999999997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5345.46</v>
      </c>
      <c r="D443" s="74">
        <v>5419.21</v>
      </c>
      <c r="E443" s="74">
        <v>5694.86</v>
      </c>
      <c r="F443" s="74">
        <v>6245.63</v>
      </c>
      <c r="G443" s="74">
        <v>6607.8</v>
      </c>
      <c r="H443" s="74">
        <v>6188.79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35501.75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501.33</v>
      </c>
      <c r="D445" s="74">
        <v>501.33</v>
      </c>
      <c r="E445" s="74">
        <v>501.33</v>
      </c>
      <c r="F445" s="74">
        <v>501.33</v>
      </c>
      <c r="G445" s="74">
        <v>501.33</v>
      </c>
      <c r="H445" s="74">
        <v>501.33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3007.98</v>
      </c>
    </row>
    <row r="446" spans="1:16" x14ac:dyDescent="0.25">
      <c r="A446" s="71" t="s">
        <v>428</v>
      </c>
      <c r="B446" s="74"/>
      <c r="C446" s="74">
        <v>34720.400000000001</v>
      </c>
      <c r="D446" s="74">
        <v>35724.400000000001</v>
      </c>
      <c r="E446" s="74">
        <v>38021.9</v>
      </c>
      <c r="F446" s="74">
        <v>36371.15</v>
      </c>
      <c r="G446" s="74">
        <v>36371.15</v>
      </c>
      <c r="H446" s="74">
        <v>36371.15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217580.15</v>
      </c>
    </row>
    <row r="447" spans="1:16" x14ac:dyDescent="0.25">
      <c r="A447" s="71" t="s">
        <v>429</v>
      </c>
      <c r="B447" s="74"/>
      <c r="C447" s="74">
        <v>2930.16</v>
      </c>
      <c r="D447" s="74">
        <v>4130.2</v>
      </c>
      <c r="E447" s="74">
        <v>1529.02</v>
      </c>
      <c r="F447" s="74">
        <v>286.72000000000003</v>
      </c>
      <c r="G447" s="74">
        <v>30</v>
      </c>
      <c r="H447" s="74">
        <v>3286.72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12192.819999999998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1004</v>
      </c>
      <c r="D451" s="83">
        <v>0</v>
      </c>
      <c r="E451" s="83">
        <v>1004</v>
      </c>
      <c r="F451" s="83">
        <v>1004</v>
      </c>
      <c r="G451" s="83">
        <v>1004</v>
      </c>
      <c r="H451" s="83">
        <v>1004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5020</v>
      </c>
      <c r="P451" s="86"/>
    </row>
    <row r="452" spans="1:16" x14ac:dyDescent="0.25">
      <c r="A452" s="71" t="s">
        <v>434</v>
      </c>
      <c r="C452" s="74">
        <v>66.069999999999993</v>
      </c>
      <c r="D452" s="74">
        <v>66.069999999999993</v>
      </c>
      <c r="E452" s="74">
        <v>66.069999999999993</v>
      </c>
      <c r="F452" s="74">
        <v>66.069999999999993</v>
      </c>
      <c r="G452" s="74">
        <v>66.069999999999993</v>
      </c>
      <c r="H452" s="74">
        <v>66.069999999999993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396.41999999999996</v>
      </c>
    </row>
    <row r="453" spans="1:16" ht="18.75" thickBot="1" x14ac:dyDescent="0.3">
      <c r="A453" s="85" t="s">
        <v>435</v>
      </c>
      <c r="B453" s="85"/>
      <c r="C453" s="81">
        <v>44567.420000000006</v>
      </c>
      <c r="D453" s="81">
        <v>45841.21</v>
      </c>
      <c r="E453" s="81">
        <v>46817.18</v>
      </c>
      <c r="F453" s="81">
        <v>44474.9</v>
      </c>
      <c r="G453" s="81">
        <v>44580.35</v>
      </c>
      <c r="H453" s="81">
        <v>47418.060000000005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273699.12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231413.13</v>
      </c>
      <c r="D455" s="71">
        <v>224947.93</v>
      </c>
      <c r="E455" s="71">
        <v>249454.77999999997</v>
      </c>
      <c r="F455" s="71">
        <v>241791.86000000002</v>
      </c>
      <c r="G455" s="71">
        <v>276005.90000000002</v>
      </c>
      <c r="H455" s="71">
        <v>252665.30000000002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1476278.9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507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79.612903225806448</v>
      </c>
      <c r="D8" s="97">
        <v>79.785714285714292</v>
      </c>
      <c r="E8" s="97">
        <v>80.548387096774192</v>
      </c>
      <c r="F8" s="97">
        <v>83</v>
      </c>
      <c r="G8" s="97">
        <v>83.741935483870961</v>
      </c>
      <c r="H8" s="97">
        <v>81.433333333333337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223</v>
      </c>
      <c r="D11" s="74">
        <v>244</v>
      </c>
      <c r="E11" s="74">
        <v>288</v>
      </c>
      <c r="F11" s="74">
        <v>261</v>
      </c>
      <c r="G11" s="74">
        <v>239</v>
      </c>
      <c r="H11" s="74">
        <v>238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1493</v>
      </c>
    </row>
    <row r="12" spans="1:15" x14ac:dyDescent="0.25">
      <c r="A12" s="71" t="s">
        <v>42</v>
      </c>
      <c r="C12" s="74">
        <v>0</v>
      </c>
      <c r="D12" s="74">
        <v>9</v>
      </c>
      <c r="E12" s="74">
        <v>40</v>
      </c>
      <c r="F12" s="74">
        <v>88</v>
      </c>
      <c r="G12" s="74">
        <v>81</v>
      </c>
      <c r="H12" s="74">
        <v>15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233</v>
      </c>
    </row>
    <row r="13" spans="1:15" x14ac:dyDescent="0.25">
      <c r="A13" s="71" t="s">
        <v>43</v>
      </c>
      <c r="C13" s="74">
        <v>1409</v>
      </c>
      <c r="D13" s="74">
        <v>1319</v>
      </c>
      <c r="E13" s="74">
        <v>1241</v>
      </c>
      <c r="F13" s="74">
        <v>1150</v>
      </c>
      <c r="G13" s="74">
        <v>1170</v>
      </c>
      <c r="H13" s="74">
        <v>1220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7509</v>
      </c>
    </row>
    <row r="14" spans="1:15" x14ac:dyDescent="0.25">
      <c r="A14" s="71" t="s">
        <v>44</v>
      </c>
      <c r="C14" s="74">
        <v>62</v>
      </c>
      <c r="D14" s="74">
        <v>-62</v>
      </c>
      <c r="E14" s="74">
        <v>18</v>
      </c>
      <c r="F14" s="74">
        <v>75</v>
      </c>
      <c r="G14" s="74">
        <v>188</v>
      </c>
      <c r="H14" s="74">
        <v>151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432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2</v>
      </c>
      <c r="G15" s="74">
        <v>0</v>
      </c>
      <c r="H15" s="74">
        <v>2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4</v>
      </c>
    </row>
    <row r="16" spans="1:15" x14ac:dyDescent="0.25">
      <c r="A16" s="71" t="s">
        <v>46</v>
      </c>
      <c r="C16" s="74">
        <v>106</v>
      </c>
      <c r="D16" s="74">
        <v>103</v>
      </c>
      <c r="E16" s="74">
        <v>84</v>
      </c>
      <c r="F16" s="74">
        <v>67</v>
      </c>
      <c r="G16" s="74">
        <v>95</v>
      </c>
      <c r="H16" s="74">
        <v>90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545</v>
      </c>
    </row>
    <row r="17" spans="1:18" x14ac:dyDescent="0.25">
      <c r="A17" s="71" t="s">
        <v>47</v>
      </c>
      <c r="C17" s="74">
        <v>668</v>
      </c>
      <c r="D17" s="74">
        <v>621</v>
      </c>
      <c r="E17" s="74">
        <v>826</v>
      </c>
      <c r="F17" s="74">
        <v>847</v>
      </c>
      <c r="G17" s="74">
        <v>823</v>
      </c>
      <c r="H17" s="74">
        <v>727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4512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2468</v>
      </c>
      <c r="D23" s="79">
        <v>2234</v>
      </c>
      <c r="E23" s="79">
        <v>2497</v>
      </c>
      <c r="F23" s="79">
        <v>2490</v>
      </c>
      <c r="G23" s="79">
        <v>2596</v>
      </c>
      <c r="H23" s="79">
        <v>2443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14728</v>
      </c>
      <c r="P23" s="86">
        <v>14728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446237.43000000005</v>
      </c>
      <c r="D26" s="74">
        <v>400271.2900000001</v>
      </c>
      <c r="E26" s="74">
        <v>448102.08</v>
      </c>
      <c r="F26" s="74">
        <v>451300.86999999994</v>
      </c>
      <c r="G26" s="74">
        <v>471391.42</v>
      </c>
      <c r="H26" s="74">
        <v>434610.22000000003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2651913.3100000005</v>
      </c>
      <c r="P26" s="86"/>
    </row>
    <row r="27" spans="1:18" x14ac:dyDescent="0.25">
      <c r="A27" s="71" t="s">
        <v>57</v>
      </c>
      <c r="C27" s="74">
        <v>29987.380000000005</v>
      </c>
      <c r="D27" s="74">
        <v>24525.98</v>
      </c>
      <c r="E27" s="74">
        <v>29127.269999999997</v>
      </c>
      <c r="F27" s="74">
        <v>27951.85</v>
      </c>
      <c r="G27" s="74">
        <v>43456.36</v>
      </c>
      <c r="H27" s="74">
        <v>47089.23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202138.07000000004</v>
      </c>
      <c r="P27" s="86"/>
    </row>
    <row r="28" spans="1:18" x14ac:dyDescent="0.25">
      <c r="A28" s="71" t="s">
        <v>58</v>
      </c>
      <c r="C28" s="74">
        <v>-5023.34</v>
      </c>
      <c r="D28" s="74">
        <v>-3473.06</v>
      </c>
      <c r="E28" s="74">
        <v>-2815.34</v>
      </c>
      <c r="F28" s="74">
        <v>-3623.34</v>
      </c>
      <c r="G28" s="74">
        <v>-5140.84</v>
      </c>
      <c r="H28" s="74">
        <v>-3006.7700000000004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-23082.69</v>
      </c>
      <c r="P28" s="86"/>
    </row>
    <row r="29" spans="1:18" ht="18.75" thickBot="1" x14ac:dyDescent="0.3">
      <c r="A29" s="71" t="s">
        <v>59</v>
      </c>
      <c r="C29" s="80">
        <v>471201.47000000003</v>
      </c>
      <c r="D29" s="80">
        <v>421324.21000000008</v>
      </c>
      <c r="E29" s="80">
        <v>474414.01</v>
      </c>
      <c r="F29" s="80">
        <v>475629.37999999989</v>
      </c>
      <c r="G29" s="80">
        <v>509706.93999999994</v>
      </c>
      <c r="H29" s="80">
        <v>478692.68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2830968.6900000004</v>
      </c>
      <c r="P29" s="86">
        <v>2830968.6900000004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176174.38</v>
      </c>
      <c r="D32" s="74">
        <v>165947.28</v>
      </c>
      <c r="E32" s="74">
        <v>179865.43</v>
      </c>
      <c r="F32" s="74">
        <v>181843.14999999997</v>
      </c>
      <c r="G32" s="74">
        <v>183761.12</v>
      </c>
      <c r="H32" s="74">
        <v>188330.79000000004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1075922.1499999999</v>
      </c>
      <c r="P32" s="86"/>
    </row>
    <row r="33" spans="1:18" x14ac:dyDescent="0.25">
      <c r="A33" s="71" t="s">
        <v>62</v>
      </c>
      <c r="C33" s="74">
        <v>43560.73</v>
      </c>
      <c r="D33" s="74">
        <v>39307.110000000008</v>
      </c>
      <c r="E33" s="74">
        <v>45879.9</v>
      </c>
      <c r="F33" s="74">
        <v>30927.81</v>
      </c>
      <c r="G33" s="74">
        <v>41234.310000000012</v>
      </c>
      <c r="H33" s="74">
        <v>41926.25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242836.11000000004</v>
      </c>
      <c r="P33" s="86"/>
    </row>
    <row r="34" spans="1:18" x14ac:dyDescent="0.25">
      <c r="A34" s="71" t="s">
        <v>57</v>
      </c>
      <c r="C34" s="74">
        <v>34524.350000000006</v>
      </c>
      <c r="D34" s="74">
        <v>33140.1</v>
      </c>
      <c r="E34" s="74">
        <v>35055.340000000004</v>
      </c>
      <c r="F34" s="74">
        <v>26525.17</v>
      </c>
      <c r="G34" s="74">
        <v>44917.329999999994</v>
      </c>
      <c r="H34" s="74">
        <v>39509.19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213671.48</v>
      </c>
      <c r="P34" s="86"/>
    </row>
    <row r="35" spans="1:18" x14ac:dyDescent="0.25">
      <c r="A35" s="71" t="s">
        <v>63</v>
      </c>
      <c r="C35" s="74">
        <v>5271.68</v>
      </c>
      <c r="D35" s="74">
        <v>4718.83</v>
      </c>
      <c r="E35" s="74">
        <v>4666.0800000000008</v>
      </c>
      <c r="F35" s="74">
        <v>5366.4100000000008</v>
      </c>
      <c r="G35" s="74">
        <v>5573.23</v>
      </c>
      <c r="H35" s="74">
        <v>5195.829999999999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30792.059999999998</v>
      </c>
      <c r="P35" s="86"/>
    </row>
    <row r="36" spans="1:18" x14ac:dyDescent="0.25">
      <c r="A36" s="71" t="s">
        <v>64</v>
      </c>
      <c r="C36" s="74">
        <v>16247.03</v>
      </c>
      <c r="D36" s="74">
        <v>9912.09</v>
      </c>
      <c r="E36" s="74">
        <v>15678.53</v>
      </c>
      <c r="F36" s="74">
        <v>10906.199999999999</v>
      </c>
      <c r="G36" s="74">
        <v>14171.01</v>
      </c>
      <c r="H36" s="74">
        <v>13999.45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80914.31</v>
      </c>
      <c r="P36" s="86"/>
    </row>
    <row r="37" spans="1:18" x14ac:dyDescent="0.25">
      <c r="A37" s="71" t="s">
        <v>65</v>
      </c>
      <c r="C37" s="74">
        <v>29510.48</v>
      </c>
      <c r="D37" s="74">
        <v>25677.190000000002</v>
      </c>
      <c r="E37" s="74">
        <v>26877.059999999998</v>
      </c>
      <c r="F37" s="74">
        <v>30373.209999999995</v>
      </c>
      <c r="G37" s="74">
        <v>29870.44</v>
      </c>
      <c r="H37" s="74">
        <v>30737.56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173045.93999999997</v>
      </c>
      <c r="P37" s="86"/>
    </row>
    <row r="38" spans="1:18" x14ac:dyDescent="0.25">
      <c r="A38" s="71" t="s">
        <v>66</v>
      </c>
      <c r="C38" s="74">
        <v>111922.99</v>
      </c>
      <c r="D38" s="74">
        <v>93689.94</v>
      </c>
      <c r="E38" s="74">
        <v>104643.29999999999</v>
      </c>
      <c r="F38" s="74">
        <v>94881.290000000008</v>
      </c>
      <c r="G38" s="74">
        <v>99564.9</v>
      </c>
      <c r="H38" s="74">
        <v>102168.8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606871.22000000009</v>
      </c>
      <c r="P38" s="86"/>
    </row>
    <row r="39" spans="1:18" x14ac:dyDescent="0.25">
      <c r="A39" s="71" t="s">
        <v>67</v>
      </c>
      <c r="C39" s="74">
        <v>80081.560000000012</v>
      </c>
      <c r="D39" s="74">
        <v>81057.740000000005</v>
      </c>
      <c r="E39" s="74">
        <v>89427.42</v>
      </c>
      <c r="F39" s="74">
        <v>84756.840000000011</v>
      </c>
      <c r="G39" s="74">
        <v>88740.450000000012</v>
      </c>
      <c r="H39" s="74">
        <v>83916.89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507980.90000000008</v>
      </c>
      <c r="P39" s="86"/>
    </row>
    <row r="40" spans="1:18" ht="18.75" thickBot="1" x14ac:dyDescent="0.3">
      <c r="A40" s="71" t="s">
        <v>68</v>
      </c>
      <c r="C40" s="80">
        <v>497293.2</v>
      </c>
      <c r="D40" s="80">
        <v>453450.27999999997</v>
      </c>
      <c r="E40" s="80">
        <v>502093.06</v>
      </c>
      <c r="F40" s="80">
        <v>465580.08</v>
      </c>
      <c r="G40" s="80">
        <v>507832.79</v>
      </c>
      <c r="H40" s="80">
        <v>505784.76000000007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2932034.17</v>
      </c>
      <c r="P40" s="86">
        <v>2932034.17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-26091.729999999981</v>
      </c>
      <c r="D41" s="81">
        <v>-32126.069999999891</v>
      </c>
      <c r="E41" s="81">
        <v>-27679.049999999988</v>
      </c>
      <c r="F41" s="81">
        <v>10049.299999999872</v>
      </c>
      <c r="G41" s="81">
        <v>1874.1499999999651</v>
      </c>
      <c r="H41" s="81">
        <v>-27092.080000000075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-101065.47999999952</v>
      </c>
      <c r="P41" s="86">
        <v>-101065.47999999952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70967.510000000024</v>
      </c>
      <c r="D43" s="74">
        <v>61689.720000000103</v>
      </c>
      <c r="E43" s="74">
        <v>75382.540000000008</v>
      </c>
      <c r="F43" s="74">
        <v>109973.50999999986</v>
      </c>
      <c r="G43" s="74">
        <v>104351.14999999995</v>
      </c>
      <c r="H43" s="76">
        <v>72552.539999999921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494916.97000000055</v>
      </c>
      <c r="P43" s="71">
        <v>494916.9700000005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507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234598.5</v>
      </c>
      <c r="D50" s="74">
        <v>234099</v>
      </c>
      <c r="E50" s="74">
        <v>206626.5</v>
      </c>
      <c r="F50" s="74">
        <v>191808</v>
      </c>
      <c r="G50" s="74">
        <v>194805</v>
      </c>
      <c r="H50" s="74">
        <v>203130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1265067</v>
      </c>
    </row>
    <row r="51" spans="1:15" x14ac:dyDescent="0.25">
      <c r="A51" s="71" t="s">
        <v>73</v>
      </c>
      <c r="B51" s="82"/>
      <c r="C51" s="74">
        <v>11100</v>
      </c>
      <c r="D51" s="74">
        <v>-23965.5</v>
      </c>
      <c r="E51" s="74">
        <v>-2844</v>
      </c>
      <c r="F51" s="74">
        <v>13504.57</v>
      </c>
      <c r="G51" s="74">
        <v>29926.880000000001</v>
      </c>
      <c r="H51" s="74">
        <v>26111.5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53833.45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1023</v>
      </c>
      <c r="D58" s="74">
        <v>-1056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-33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325.23</v>
      </c>
      <c r="H61" s="74">
        <v>-572.82000000000005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-247.59000000000003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42400</v>
      </c>
      <c r="D63" s="74">
        <v>41200</v>
      </c>
      <c r="E63" s="74">
        <v>33600</v>
      </c>
      <c r="F63" s="74">
        <v>26800</v>
      </c>
      <c r="G63" s="74">
        <v>38000</v>
      </c>
      <c r="H63" s="74">
        <v>36000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218000</v>
      </c>
    </row>
    <row r="64" spans="1:15" x14ac:dyDescent="0.25">
      <c r="A64" s="71" t="s">
        <v>86</v>
      </c>
      <c r="B64" s="82"/>
      <c r="C64" s="74">
        <v>8109.39</v>
      </c>
      <c r="D64" s="74">
        <v>1446.42</v>
      </c>
      <c r="E64" s="74">
        <v>4058.95</v>
      </c>
      <c r="F64" s="74">
        <v>4441.7299999999996</v>
      </c>
      <c r="G64" s="74">
        <v>10994.31</v>
      </c>
      <c r="H64" s="74">
        <v>14369.82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43420.62</v>
      </c>
    </row>
    <row r="65" spans="1:15" x14ac:dyDescent="0.25">
      <c r="A65" s="71" t="s">
        <v>87</v>
      </c>
      <c r="B65" s="82"/>
      <c r="C65" s="74">
        <v>12061.22</v>
      </c>
      <c r="D65" s="74">
        <v>11452.17</v>
      </c>
      <c r="E65" s="74">
        <v>8453.2000000000007</v>
      </c>
      <c r="F65" s="74">
        <v>6604.75</v>
      </c>
      <c r="G65" s="74">
        <v>11233.24</v>
      </c>
      <c r="H65" s="74">
        <v>10954.06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60758.639999999992</v>
      </c>
    </row>
    <row r="66" spans="1:15" x14ac:dyDescent="0.25">
      <c r="A66" s="71" t="s">
        <v>88</v>
      </c>
      <c r="B66" s="82"/>
      <c r="C66" s="74">
        <v>9149.7000000000007</v>
      </c>
      <c r="D66" s="74">
        <v>8484.2800000000007</v>
      </c>
      <c r="E66" s="74">
        <v>7066.19</v>
      </c>
      <c r="F66" s="74">
        <v>6575.21</v>
      </c>
      <c r="G66" s="74">
        <v>7903.77</v>
      </c>
      <c r="H66" s="74">
        <v>7987.38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47166.53</v>
      </c>
    </row>
    <row r="67" spans="1:15" x14ac:dyDescent="0.25">
      <c r="A67" s="71" t="s">
        <v>89</v>
      </c>
      <c r="B67" s="82"/>
      <c r="C67" s="74">
        <v>8414.2000000000007</v>
      </c>
      <c r="D67" s="74">
        <v>6981.84</v>
      </c>
      <c r="E67" s="74">
        <v>5833.25</v>
      </c>
      <c r="F67" s="74">
        <v>4177.99</v>
      </c>
      <c r="G67" s="74">
        <v>7151.81</v>
      </c>
      <c r="H67" s="74">
        <v>6373.83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38932.92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3335.14</v>
      </c>
      <c r="D69" s="74">
        <v>3966.24</v>
      </c>
      <c r="E69" s="74">
        <v>8670.5499999999993</v>
      </c>
      <c r="F69" s="74">
        <v>546.09</v>
      </c>
      <c r="G69" s="74">
        <v>4838.6899999999996</v>
      </c>
      <c r="H69" s="74">
        <v>3104.79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24461.499999999996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998.62</v>
      </c>
      <c r="D72" s="74">
        <v>957.19</v>
      </c>
      <c r="E72" s="74">
        <v>529.96</v>
      </c>
      <c r="F72" s="74">
        <v>349.29</v>
      </c>
      <c r="G72" s="74">
        <v>1737.49</v>
      </c>
      <c r="H72" s="74">
        <v>2462.7800000000002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7035.33</v>
      </c>
    </row>
    <row r="73" spans="1:15" x14ac:dyDescent="0.25">
      <c r="A73" s="71" t="s">
        <v>95</v>
      </c>
      <c r="B73" s="82"/>
      <c r="C73" s="74">
        <v>0</v>
      </c>
      <c r="D73" s="74">
        <v>216</v>
      </c>
      <c r="E73" s="74">
        <v>0</v>
      </c>
      <c r="F73" s="74">
        <v>195</v>
      </c>
      <c r="G73" s="74">
        <v>324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735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99</v>
      </c>
      <c r="B78" s="82"/>
      <c r="C78" s="74">
        <v>-33958.879999999997</v>
      </c>
      <c r="D78" s="74">
        <v>-32057.72</v>
      </c>
      <c r="E78" s="74">
        <v>-30553.15</v>
      </c>
      <c r="F78" s="74">
        <v>-18448.330000000002</v>
      </c>
      <c r="G78" s="74">
        <v>-33189</v>
      </c>
      <c r="H78" s="74">
        <v>-30882.84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-179089.92000000001</v>
      </c>
    </row>
    <row r="79" spans="1:15" x14ac:dyDescent="0.25">
      <c r="A79" s="71" t="s">
        <v>100</v>
      </c>
      <c r="B79" s="82"/>
      <c r="C79" s="74">
        <v>-0.02</v>
      </c>
      <c r="D79" s="74">
        <v>-417.84</v>
      </c>
      <c r="E79" s="74">
        <v>-6520.03</v>
      </c>
      <c r="F79" s="74">
        <v>-0.47</v>
      </c>
      <c r="G79" s="74">
        <v>-0.28999999999999998</v>
      </c>
      <c r="H79" s="74">
        <v>-0.16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-6938.8099999999995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-233.99</v>
      </c>
      <c r="H80" s="74">
        <v>-431.59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-665.57999999999993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40845</v>
      </c>
      <c r="D82" s="74">
        <v>46442</v>
      </c>
      <c r="E82" s="74">
        <v>70292</v>
      </c>
      <c r="F82" s="74">
        <v>54137</v>
      </c>
      <c r="G82" s="74">
        <v>47316</v>
      </c>
      <c r="H82" s="74">
        <v>50566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309598</v>
      </c>
    </row>
    <row r="83" spans="1:15" x14ac:dyDescent="0.25">
      <c r="A83" s="71" t="s">
        <v>103</v>
      </c>
      <c r="B83" s="82"/>
      <c r="C83" s="74">
        <v>0</v>
      </c>
      <c r="D83" s="74">
        <v>4868.6400000000003</v>
      </c>
      <c r="E83" s="74">
        <v>22012.94</v>
      </c>
      <c r="F83" s="74">
        <v>46954.78</v>
      </c>
      <c r="G83" s="74">
        <v>40902.61</v>
      </c>
      <c r="H83" s="74">
        <v>7354.08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122093.05</v>
      </c>
    </row>
    <row r="84" spans="1:15" x14ac:dyDescent="0.25">
      <c r="A84" s="71" t="s">
        <v>481</v>
      </c>
      <c r="B84" s="82"/>
      <c r="C84" s="74">
        <v>-7137.84</v>
      </c>
      <c r="D84" s="74">
        <v>-11772.25</v>
      </c>
      <c r="E84" s="74">
        <v>-33033.96</v>
      </c>
      <c r="F84" s="74">
        <v>-49685.91</v>
      </c>
      <c r="G84" s="74">
        <v>-40072.94</v>
      </c>
      <c r="H84" s="74">
        <v>-46388.68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-188091.58000000002</v>
      </c>
    </row>
    <row r="85" spans="1:15" x14ac:dyDescent="0.25">
      <c r="A85" s="71" t="s">
        <v>482</v>
      </c>
      <c r="B85" s="82"/>
      <c r="C85" s="74">
        <v>0</v>
      </c>
      <c r="D85" s="74">
        <v>2484.98</v>
      </c>
      <c r="E85" s="74">
        <v>11079.49</v>
      </c>
      <c r="F85" s="74">
        <v>12284.24</v>
      </c>
      <c r="G85" s="74">
        <v>4280.07</v>
      </c>
      <c r="H85" s="74">
        <v>12469.44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42598.22</v>
      </c>
    </row>
    <row r="86" spans="1:15" x14ac:dyDescent="0.25">
      <c r="A86" s="71" t="s">
        <v>483</v>
      </c>
      <c r="B86" s="82"/>
      <c r="C86" s="74">
        <v>3180</v>
      </c>
      <c r="D86" s="74">
        <v>3180</v>
      </c>
      <c r="E86" s="74">
        <v>3180</v>
      </c>
      <c r="F86" s="74">
        <v>6360</v>
      </c>
      <c r="G86" s="74">
        <v>6360</v>
      </c>
      <c r="H86" s="74">
        <v>8310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30570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281.52</v>
      </c>
      <c r="E88" s="74">
        <v>2389.94</v>
      </c>
      <c r="F88" s="74">
        <v>1668.43</v>
      </c>
      <c r="G88" s="74">
        <v>1482.54</v>
      </c>
      <c r="H88" s="74">
        <v>2706.63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8529.0600000000013</v>
      </c>
    </row>
    <row r="89" spans="1:15" x14ac:dyDescent="0.25">
      <c r="A89" s="71" t="s">
        <v>485</v>
      </c>
      <c r="B89" s="82"/>
      <c r="C89" s="74">
        <v>0</v>
      </c>
      <c r="D89" s="74">
        <v>324</v>
      </c>
      <c r="E89" s="74">
        <v>951.75</v>
      </c>
      <c r="F89" s="74">
        <v>1039.5</v>
      </c>
      <c r="G89" s="74">
        <v>216</v>
      </c>
      <c r="H89" s="74">
        <v>607.5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3138.75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-1339.18</v>
      </c>
      <c r="E94" s="74">
        <v>-675</v>
      </c>
      <c r="F94" s="74">
        <v>600</v>
      </c>
      <c r="G94" s="74">
        <v>0</v>
      </c>
      <c r="H94" s="74">
        <v>-1597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-3011.1800000000003</v>
      </c>
    </row>
    <row r="95" spans="1:15" x14ac:dyDescent="0.25">
      <c r="A95" s="71" t="s">
        <v>111</v>
      </c>
      <c r="B95" s="82"/>
      <c r="C95" s="74">
        <v>112119.4</v>
      </c>
      <c r="D95" s="74">
        <v>104495.5</v>
      </c>
      <c r="E95" s="74">
        <v>136983.5</v>
      </c>
      <c r="F95" s="74">
        <v>141389</v>
      </c>
      <c r="G95" s="74">
        <v>137090</v>
      </c>
      <c r="H95" s="74">
        <v>121975.5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754052.9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446237.42999999993</v>
      </c>
      <c r="D111" s="74">
        <v>400271.2900000001</v>
      </c>
      <c r="E111" s="74">
        <v>448102.08</v>
      </c>
      <c r="F111" s="74">
        <v>451300.86999999994</v>
      </c>
      <c r="G111" s="74">
        <v>471391.42</v>
      </c>
      <c r="H111" s="74">
        <v>434610.22000000003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2651913.31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7130.32</v>
      </c>
      <c r="D114" s="74">
        <v>3739.45</v>
      </c>
      <c r="E114" s="74">
        <v>1520.97</v>
      </c>
      <c r="F114" s="74">
        <v>0</v>
      </c>
      <c r="G114" s="74">
        <v>2311.2600000000002</v>
      </c>
      <c r="H114" s="74">
        <v>10494.73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25196.73</v>
      </c>
    </row>
    <row r="115" spans="1:15" x14ac:dyDescent="0.25">
      <c r="A115" s="71" t="s">
        <v>130</v>
      </c>
      <c r="B115" s="74"/>
      <c r="C115" s="74">
        <v>2970.37</v>
      </c>
      <c r="D115" s="74">
        <v>3362.66</v>
      </c>
      <c r="E115" s="74">
        <v>-43.29</v>
      </c>
      <c r="F115" s="74">
        <v>0</v>
      </c>
      <c r="G115" s="74">
        <v>2148.06</v>
      </c>
      <c r="H115" s="74">
        <v>4390.68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12828.48</v>
      </c>
    </row>
    <row r="116" spans="1:15" x14ac:dyDescent="0.25">
      <c r="A116" s="71" t="s">
        <v>131</v>
      </c>
      <c r="B116" s="74"/>
      <c r="C116" s="74">
        <v>1749.26</v>
      </c>
      <c r="D116" s="74">
        <v>2735.14</v>
      </c>
      <c r="E116" s="74">
        <v>-1629.28</v>
      </c>
      <c r="F116" s="74">
        <v>0</v>
      </c>
      <c r="G116" s="74">
        <v>2163.1</v>
      </c>
      <c r="H116" s="74">
        <v>1970.29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6988.5099999999993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-5304.29</v>
      </c>
      <c r="D122" s="74">
        <v>-4628.13</v>
      </c>
      <c r="E122" s="74">
        <v>99.19</v>
      </c>
      <c r="F122" s="74">
        <v>0</v>
      </c>
      <c r="G122" s="74">
        <v>-2954</v>
      </c>
      <c r="H122" s="74">
        <v>-8171.91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-20959.14</v>
      </c>
    </row>
    <row r="123" spans="1:15" x14ac:dyDescent="0.25">
      <c r="A123" s="71" t="s">
        <v>136</v>
      </c>
      <c r="B123" s="74"/>
      <c r="C123" s="74">
        <v>16.05</v>
      </c>
      <c r="D123" s="74">
        <v>-421.51</v>
      </c>
      <c r="E123" s="74">
        <v>1.1599999999999999</v>
      </c>
      <c r="F123" s="74">
        <v>-349.59</v>
      </c>
      <c r="G123" s="74">
        <v>0</v>
      </c>
      <c r="H123" s="74">
        <v>33.97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-719.91999999999985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0</v>
      </c>
      <c r="H124" s="74">
        <v>-29.37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-29.37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13621.29</v>
      </c>
      <c r="D126" s="74">
        <v>11403.49</v>
      </c>
      <c r="E126" s="74">
        <v>8517.42</v>
      </c>
      <c r="F126" s="74">
        <v>1215.9100000000001</v>
      </c>
      <c r="G126" s="74">
        <v>5286.78</v>
      </c>
      <c r="H126" s="74">
        <v>3742.29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43787.18</v>
      </c>
    </row>
    <row r="127" spans="1:15" x14ac:dyDescent="0.25">
      <c r="A127" s="71" t="s">
        <v>489</v>
      </c>
      <c r="B127" s="74"/>
      <c r="C127" s="74">
        <v>11837.2</v>
      </c>
      <c r="D127" s="74">
        <v>7892.8</v>
      </c>
      <c r="E127" s="74">
        <v>6704.91</v>
      </c>
      <c r="F127" s="74">
        <v>1237.21</v>
      </c>
      <c r="G127" s="74">
        <v>4857.08</v>
      </c>
      <c r="H127" s="74">
        <v>4775.91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37305.11</v>
      </c>
    </row>
    <row r="128" spans="1:15" x14ac:dyDescent="0.25">
      <c r="A128" s="71" t="s">
        <v>490</v>
      </c>
      <c r="B128" s="74"/>
      <c r="C128" s="74">
        <v>2625.16</v>
      </c>
      <c r="D128" s="74">
        <v>1863.55</v>
      </c>
      <c r="E128" s="74">
        <v>5057.6000000000004</v>
      </c>
      <c r="F128" s="74">
        <v>363.85</v>
      </c>
      <c r="G128" s="74">
        <v>727.5</v>
      </c>
      <c r="H128" s="74">
        <v>3485.33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14122.990000000002</v>
      </c>
    </row>
    <row r="129" spans="1:16" x14ac:dyDescent="0.25">
      <c r="A129" s="71" t="s">
        <v>491</v>
      </c>
      <c r="B129" s="74"/>
      <c r="C129" s="74">
        <v>-11145.67</v>
      </c>
      <c r="D129" s="74">
        <v>-11615.52</v>
      </c>
      <c r="E129" s="74">
        <v>-15992.51</v>
      </c>
      <c r="F129" s="74">
        <v>-10799.27</v>
      </c>
      <c r="G129" s="74">
        <v>-5177.75</v>
      </c>
      <c r="H129" s="74">
        <v>-6794.29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-61525.01</v>
      </c>
    </row>
    <row r="130" spans="1:16" x14ac:dyDescent="0.25">
      <c r="A130" s="71" t="s">
        <v>139</v>
      </c>
      <c r="B130" s="74"/>
      <c r="C130" s="74">
        <v>2858.06</v>
      </c>
      <c r="D130" s="74">
        <v>3955.26</v>
      </c>
      <c r="E130" s="74">
        <v>8889.9</v>
      </c>
      <c r="F130" s="74">
        <v>14569.42</v>
      </c>
      <c r="G130" s="74">
        <v>15595.58</v>
      </c>
      <c r="H130" s="74">
        <v>12900.58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58768.800000000003</v>
      </c>
    </row>
    <row r="131" spans="1:16" x14ac:dyDescent="0.25">
      <c r="A131" s="71" t="s">
        <v>140</v>
      </c>
      <c r="C131" s="83">
        <v>2194.13</v>
      </c>
      <c r="D131" s="83">
        <v>2952.97</v>
      </c>
      <c r="E131" s="83">
        <v>9168.4500000000007</v>
      </c>
      <c r="F131" s="83">
        <v>12950.38</v>
      </c>
      <c r="G131" s="83">
        <v>10353.61</v>
      </c>
      <c r="H131" s="83">
        <v>10086.93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47706.47</v>
      </c>
      <c r="P131" s="86"/>
    </row>
    <row r="132" spans="1:16" x14ac:dyDescent="0.25">
      <c r="A132" s="71" t="s">
        <v>141</v>
      </c>
      <c r="C132" s="74">
        <v>1435.5</v>
      </c>
      <c r="D132" s="74">
        <v>3285.82</v>
      </c>
      <c r="E132" s="74">
        <v>6832.75</v>
      </c>
      <c r="F132" s="74">
        <v>8763.94</v>
      </c>
      <c r="G132" s="74">
        <v>8145.14</v>
      </c>
      <c r="H132" s="74">
        <v>10204.09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38667.240000000005</v>
      </c>
    </row>
    <row r="133" spans="1:16" x14ac:dyDescent="0.25">
      <c r="A133" s="71" t="s">
        <v>142</v>
      </c>
      <c r="C133" s="74">
        <v>29987.380000000005</v>
      </c>
      <c r="D133" s="74">
        <v>24525.979999999996</v>
      </c>
      <c r="E133" s="74">
        <v>29127.27</v>
      </c>
      <c r="F133" s="74">
        <v>27951.85</v>
      </c>
      <c r="G133" s="74">
        <v>43456.36</v>
      </c>
      <c r="H133" s="74">
        <v>47089.229999999996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202138.07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168</v>
      </c>
      <c r="D138" s="74">
        <v>125</v>
      </c>
      <c r="E138" s="74">
        <v>92</v>
      </c>
      <c r="F138" s="74">
        <v>84</v>
      </c>
      <c r="G138" s="74">
        <v>116</v>
      </c>
      <c r="H138" s="74">
        <v>440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1025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260.57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260.57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-3707.34</v>
      </c>
      <c r="D142" s="74">
        <v>-3707.34</v>
      </c>
      <c r="E142" s="74">
        <v>-3707.34</v>
      </c>
      <c r="F142" s="74">
        <v>-3707.34</v>
      </c>
      <c r="G142" s="74">
        <v>-3707.34</v>
      </c>
      <c r="H142" s="74">
        <v>-3707.34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-22244.04</v>
      </c>
    </row>
    <row r="143" spans="1:16" x14ac:dyDescent="0.25">
      <c r="A143" s="71" t="s">
        <v>492</v>
      </c>
      <c r="B143" s="74"/>
      <c r="C143" s="74">
        <v>-1484</v>
      </c>
      <c r="D143" s="74">
        <v>0</v>
      </c>
      <c r="E143" s="74">
        <v>0</v>
      </c>
      <c r="F143" s="74">
        <v>0</v>
      </c>
      <c r="G143" s="74">
        <v>-1556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-3040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109.28</v>
      </c>
      <c r="E145" s="74">
        <v>800</v>
      </c>
      <c r="F145" s="74">
        <v>0</v>
      </c>
      <c r="G145" s="74">
        <v>6.5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915.78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-5023.34</v>
      </c>
      <c r="D148" s="81">
        <v>-3473.06</v>
      </c>
      <c r="E148" s="81">
        <v>-2815.34</v>
      </c>
      <c r="F148" s="81">
        <v>-3623.34</v>
      </c>
      <c r="G148" s="81">
        <v>-5140.84</v>
      </c>
      <c r="H148" s="81">
        <v>-3006.7700000000004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-23082.690000000002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471201.46999999991</v>
      </c>
      <c r="D150" s="74">
        <v>421324.21000000008</v>
      </c>
      <c r="E150" s="74">
        <v>474414.01</v>
      </c>
      <c r="F150" s="74">
        <v>475629.37999999995</v>
      </c>
      <c r="G150" s="74">
        <v>509706.94</v>
      </c>
      <c r="H150" s="76">
        <v>478692.68000000005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2830968.69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507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3000</v>
      </c>
      <c r="D157" s="74">
        <v>1500</v>
      </c>
      <c r="E157" s="74">
        <v>1500</v>
      </c>
      <c r="F157" s="74">
        <v>1500</v>
      </c>
      <c r="G157" s="74">
        <v>1500</v>
      </c>
      <c r="H157" s="74">
        <v>1500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10500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574</v>
      </c>
      <c r="D162" s="74">
        <v>560</v>
      </c>
      <c r="E162" s="74">
        <v>577.5</v>
      </c>
      <c r="F162" s="74">
        <v>717.5</v>
      </c>
      <c r="G162" s="74">
        <v>647.5</v>
      </c>
      <c r="H162" s="74">
        <v>754.5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3831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2712.87</v>
      </c>
      <c r="D167" s="74">
        <v>1902.99</v>
      </c>
      <c r="E167" s="74">
        <v>2138.64</v>
      </c>
      <c r="F167" s="74">
        <v>2749.26</v>
      </c>
      <c r="G167" s="74">
        <v>2686.5</v>
      </c>
      <c r="H167" s="74">
        <v>2074.17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14264.43</v>
      </c>
    </row>
    <row r="168" spans="1:15" x14ac:dyDescent="0.25">
      <c r="A168" s="71" t="s">
        <v>168</v>
      </c>
      <c r="B168" s="74"/>
      <c r="C168" s="74">
        <v>286.01</v>
      </c>
      <c r="D168" s="74">
        <v>237.71</v>
      </c>
      <c r="E168" s="74">
        <v>333.04</v>
      </c>
      <c r="F168" s="74">
        <v>1387.34</v>
      </c>
      <c r="G168" s="74">
        <v>262.81</v>
      </c>
      <c r="H168" s="74">
        <v>184.92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2691.83</v>
      </c>
    </row>
    <row r="169" spans="1:15" x14ac:dyDescent="0.25">
      <c r="A169" s="71" t="s">
        <v>169</v>
      </c>
      <c r="B169" s="74"/>
      <c r="C169" s="74">
        <v>0</v>
      </c>
      <c r="D169" s="74">
        <v>0</v>
      </c>
      <c r="E169" s="74">
        <v>0</v>
      </c>
      <c r="F169" s="74">
        <v>0</v>
      </c>
      <c r="G169" s="74">
        <v>80.56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80.56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385.2</v>
      </c>
      <c r="E173" s="74">
        <v>642</v>
      </c>
      <c r="F173" s="74">
        <v>0</v>
      </c>
      <c r="G173" s="74">
        <v>0</v>
      </c>
      <c r="H173" s="74">
        <v>642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1669.2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128.4</v>
      </c>
      <c r="D175" s="74">
        <v>0</v>
      </c>
      <c r="E175" s="74">
        <v>128.4</v>
      </c>
      <c r="F175" s="74">
        <v>0</v>
      </c>
      <c r="G175" s="74">
        <v>160.5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417.3</v>
      </c>
    </row>
    <row r="176" spans="1:15" x14ac:dyDescent="0.25">
      <c r="A176" s="71" t="s">
        <v>176</v>
      </c>
      <c r="B176" s="74"/>
      <c r="C176" s="74">
        <v>35.65</v>
      </c>
      <c r="D176" s="74">
        <v>35.65</v>
      </c>
      <c r="E176" s="74">
        <v>35.65</v>
      </c>
      <c r="F176" s="74">
        <v>35.65</v>
      </c>
      <c r="G176" s="74">
        <v>106.81</v>
      </c>
      <c r="H176" s="74">
        <v>35.61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285.02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3311.65</v>
      </c>
      <c r="D178" s="74">
        <v>3078.35</v>
      </c>
      <c r="E178" s="74">
        <v>3571.89</v>
      </c>
      <c r="F178" s="74">
        <v>3036.97</v>
      </c>
      <c r="G178" s="74">
        <v>3288.9</v>
      </c>
      <c r="H178" s="74">
        <v>3527.58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19815.339999999997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158</v>
      </c>
      <c r="F185" s="74">
        <v>158</v>
      </c>
      <c r="G185" s="74">
        <v>316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632</v>
      </c>
    </row>
    <row r="186" spans="1:15" x14ac:dyDescent="0.25">
      <c r="A186" s="71" t="s">
        <v>186</v>
      </c>
      <c r="B186" s="74"/>
      <c r="C186" s="74">
        <v>0</v>
      </c>
      <c r="D186" s="74">
        <v>0</v>
      </c>
      <c r="E186" s="74">
        <v>0</v>
      </c>
      <c r="F186" s="74">
        <v>0</v>
      </c>
      <c r="G186" s="74">
        <v>10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10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5893.56</v>
      </c>
      <c r="D188" s="74">
        <v>5621.56</v>
      </c>
      <c r="E188" s="74">
        <v>5893.56</v>
      </c>
      <c r="F188" s="74">
        <v>4805.5600000000004</v>
      </c>
      <c r="G188" s="74">
        <v>5893.56</v>
      </c>
      <c r="H188" s="74">
        <v>5893.56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34001.360000000001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5373.54</v>
      </c>
      <c r="D190" s="74">
        <v>5373.54</v>
      </c>
      <c r="E190" s="74">
        <v>4121.1400000000003</v>
      </c>
      <c r="F190" s="74">
        <v>5373.54</v>
      </c>
      <c r="G190" s="74">
        <v>5373.54</v>
      </c>
      <c r="H190" s="74">
        <v>5373.54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30988.840000000004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20093.080000000002</v>
      </c>
      <c r="D192" s="74">
        <v>16546.349999999999</v>
      </c>
      <c r="E192" s="74">
        <v>20208.66</v>
      </c>
      <c r="F192" s="74">
        <v>22346.3</v>
      </c>
      <c r="G192" s="74">
        <v>21796.76</v>
      </c>
      <c r="H192" s="74">
        <v>19060.650000000001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120051.79999999999</v>
      </c>
    </row>
    <row r="193" spans="1:15" x14ac:dyDescent="0.25">
      <c r="A193" s="71" t="s">
        <v>494</v>
      </c>
      <c r="B193" s="74"/>
      <c r="C193" s="74">
        <v>7141.1</v>
      </c>
      <c r="D193" s="74">
        <v>5216.1499999999996</v>
      </c>
      <c r="E193" s="74">
        <v>6889.86</v>
      </c>
      <c r="F193" s="74">
        <v>6067.68</v>
      </c>
      <c r="G193" s="74">
        <v>7185.26</v>
      </c>
      <c r="H193" s="74">
        <v>6689.5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39189.550000000003</v>
      </c>
    </row>
    <row r="194" spans="1:15" x14ac:dyDescent="0.25">
      <c r="A194" s="71" t="s">
        <v>193</v>
      </c>
      <c r="B194" s="74"/>
      <c r="C194" s="74">
        <v>29973.24</v>
      </c>
      <c r="D194" s="74">
        <v>30808.5</v>
      </c>
      <c r="E194" s="74">
        <v>33122.720000000001</v>
      </c>
      <c r="F194" s="74">
        <v>37094.81</v>
      </c>
      <c r="G194" s="74">
        <v>32644.92</v>
      </c>
      <c r="H194" s="74">
        <v>34301.089999999997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197945.28</v>
      </c>
    </row>
    <row r="195" spans="1:15" x14ac:dyDescent="0.25">
      <c r="A195" s="71" t="s">
        <v>495</v>
      </c>
      <c r="B195" s="74"/>
      <c r="C195" s="74">
        <v>4372.17</v>
      </c>
      <c r="D195" s="74">
        <v>3133.34</v>
      </c>
      <c r="E195" s="74">
        <v>3582.93</v>
      </c>
      <c r="F195" s="74">
        <v>3334.25</v>
      </c>
      <c r="G195" s="74">
        <v>4049.67</v>
      </c>
      <c r="H195" s="74">
        <v>3197.35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21669.71</v>
      </c>
    </row>
    <row r="196" spans="1:15" x14ac:dyDescent="0.25">
      <c r="A196" s="71" t="s">
        <v>194</v>
      </c>
      <c r="B196" s="74"/>
      <c r="C196" s="74">
        <v>55381.14</v>
      </c>
      <c r="D196" s="74">
        <v>50198.1</v>
      </c>
      <c r="E196" s="74">
        <v>52432.11</v>
      </c>
      <c r="F196" s="74">
        <v>55090.02</v>
      </c>
      <c r="G196" s="74">
        <v>52222.2</v>
      </c>
      <c r="H196" s="74">
        <v>50015.86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315339.42999999993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13413.18</v>
      </c>
      <c r="D200" s="74">
        <v>12090.55</v>
      </c>
      <c r="E200" s="74">
        <v>15921.47</v>
      </c>
      <c r="F200" s="74">
        <v>12911.43</v>
      </c>
      <c r="G200" s="74">
        <v>16290.25</v>
      </c>
      <c r="H200" s="74">
        <v>16136.16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86763.040000000008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2116.85</v>
      </c>
      <c r="D202" s="74">
        <v>1851.67</v>
      </c>
      <c r="E202" s="74">
        <v>2414.63</v>
      </c>
      <c r="F202" s="74">
        <v>1672.51</v>
      </c>
      <c r="G202" s="74">
        <v>3286.06</v>
      </c>
      <c r="H202" s="74">
        <v>2539.89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13881.609999999999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1450.7</v>
      </c>
      <c r="D204" s="74">
        <v>4495.6400000000003</v>
      </c>
      <c r="E204" s="74">
        <v>2770.23</v>
      </c>
      <c r="F204" s="74">
        <v>1937.36</v>
      </c>
      <c r="G204" s="74">
        <v>3002.87</v>
      </c>
      <c r="H204" s="74">
        <v>5994.6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19651.400000000001</v>
      </c>
    </row>
    <row r="205" spans="1:15" x14ac:dyDescent="0.25">
      <c r="A205" s="71" t="s">
        <v>201</v>
      </c>
      <c r="B205" s="74"/>
      <c r="C205" s="74">
        <v>771.84</v>
      </c>
      <c r="D205" s="74">
        <v>1205.6600000000001</v>
      </c>
      <c r="E205" s="74">
        <v>939.79</v>
      </c>
      <c r="F205" s="74">
        <v>425.29</v>
      </c>
      <c r="G205" s="74">
        <v>1422.57</v>
      </c>
      <c r="H205" s="74">
        <v>1029.6099999999999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5794.7599999999993</v>
      </c>
    </row>
    <row r="206" spans="1:15" x14ac:dyDescent="0.25">
      <c r="A206" s="71" t="s">
        <v>202</v>
      </c>
      <c r="B206" s="74"/>
      <c r="C206" s="74">
        <v>304.12</v>
      </c>
      <c r="D206" s="74">
        <v>133.1</v>
      </c>
      <c r="E206" s="74">
        <v>160.56</v>
      </c>
      <c r="F206" s="74">
        <v>393.16</v>
      </c>
      <c r="G206" s="74">
        <v>381.37</v>
      </c>
      <c r="H206" s="74">
        <v>255.01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1627.32</v>
      </c>
    </row>
    <row r="207" spans="1:15" x14ac:dyDescent="0.25">
      <c r="A207" s="71" t="s">
        <v>203</v>
      </c>
      <c r="B207" s="74"/>
      <c r="C207" s="74">
        <v>533.5</v>
      </c>
      <c r="D207" s="74">
        <v>725.73</v>
      </c>
      <c r="E207" s="74">
        <v>1757.54</v>
      </c>
      <c r="F207" s="74">
        <v>1098.5</v>
      </c>
      <c r="G207" s="74">
        <v>631.83000000000004</v>
      </c>
      <c r="H207" s="74">
        <v>603.88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5350.9800000000005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79.62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79.62</v>
      </c>
    </row>
    <row r="209" spans="1:15" x14ac:dyDescent="0.25">
      <c r="A209" s="71" t="s">
        <v>205</v>
      </c>
      <c r="B209" s="74"/>
      <c r="C209" s="74">
        <v>2604.09</v>
      </c>
      <c r="D209" s="74">
        <v>3716.46</v>
      </c>
      <c r="E209" s="74">
        <v>2520.5</v>
      </c>
      <c r="F209" s="74">
        <v>1970.92</v>
      </c>
      <c r="G209" s="74">
        <v>1827.57</v>
      </c>
      <c r="H209" s="74">
        <v>1636.25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14275.789999999999</v>
      </c>
    </row>
    <row r="210" spans="1:15" x14ac:dyDescent="0.25">
      <c r="A210" s="71" t="s">
        <v>206</v>
      </c>
      <c r="B210" s="74"/>
      <c r="C210" s="74">
        <v>280.5</v>
      </c>
      <c r="D210" s="74">
        <v>19.28</v>
      </c>
      <c r="E210" s="74">
        <v>12.85</v>
      </c>
      <c r="F210" s="74">
        <v>46.66</v>
      </c>
      <c r="G210" s="74">
        <v>150.85</v>
      </c>
      <c r="H210" s="74">
        <v>1167.6300000000001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1677.77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1387.88</v>
      </c>
      <c r="D212" s="74">
        <v>4446.3</v>
      </c>
      <c r="E212" s="74">
        <v>1462.44</v>
      </c>
      <c r="F212" s="74">
        <v>2137.84</v>
      </c>
      <c r="G212" s="74">
        <v>2028.91</v>
      </c>
      <c r="H212" s="74">
        <v>1326.16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12789.53</v>
      </c>
    </row>
    <row r="213" spans="1:15" x14ac:dyDescent="0.25">
      <c r="A213" s="71" t="s">
        <v>209</v>
      </c>
      <c r="B213" s="74"/>
      <c r="C213" s="74">
        <v>720.61</v>
      </c>
      <c r="D213" s="74">
        <v>0</v>
      </c>
      <c r="E213" s="74">
        <v>0</v>
      </c>
      <c r="F213" s="74">
        <v>0</v>
      </c>
      <c r="G213" s="74">
        <v>0</v>
      </c>
      <c r="H213" s="74">
        <v>86.28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806.89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736.1</v>
      </c>
      <c r="D215" s="74">
        <v>1656.64</v>
      </c>
      <c r="E215" s="74">
        <v>7278.62</v>
      </c>
      <c r="F215" s="74">
        <v>6732.16</v>
      </c>
      <c r="G215" s="74">
        <v>2829.76</v>
      </c>
      <c r="H215" s="74">
        <v>8143.62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27376.899999999998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219.77</v>
      </c>
      <c r="E218" s="74">
        <v>626.17999999999995</v>
      </c>
      <c r="F218" s="74">
        <v>0</v>
      </c>
      <c r="G218" s="74">
        <v>0</v>
      </c>
      <c r="H218" s="74">
        <v>848.64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1694.59</v>
      </c>
    </row>
    <row r="219" spans="1:15" x14ac:dyDescent="0.25">
      <c r="A219" s="71" t="s">
        <v>215</v>
      </c>
      <c r="B219" s="74"/>
      <c r="C219" s="74">
        <v>0</v>
      </c>
      <c r="D219" s="74">
        <v>72</v>
      </c>
      <c r="E219" s="74">
        <v>144</v>
      </c>
      <c r="F219" s="74">
        <v>0</v>
      </c>
      <c r="G219" s="74">
        <v>693</v>
      </c>
      <c r="H219" s="74">
        <v>202.5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1111.5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1135.2</v>
      </c>
      <c r="D221" s="74">
        <v>1815.6</v>
      </c>
      <c r="E221" s="74">
        <v>2332.8000000000002</v>
      </c>
      <c r="F221" s="74">
        <v>2469.46</v>
      </c>
      <c r="G221" s="74">
        <v>6543.84</v>
      </c>
      <c r="H221" s="74">
        <v>5828.09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20124.990000000002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7736.4</v>
      </c>
      <c r="D225" s="74">
        <v>1325.8</v>
      </c>
      <c r="E225" s="74">
        <v>680.4</v>
      </c>
      <c r="F225" s="74">
        <v>1769.83</v>
      </c>
      <c r="G225" s="74">
        <v>0</v>
      </c>
      <c r="H225" s="74">
        <v>615.79999999999995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12128.229999999998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3128.48</v>
      </c>
      <c r="D227" s="74">
        <v>4206.46</v>
      </c>
      <c r="E227" s="74">
        <v>4997.1899999999996</v>
      </c>
      <c r="F227" s="74">
        <v>3859.74</v>
      </c>
      <c r="G227" s="74">
        <v>5559.82</v>
      </c>
      <c r="H227" s="74">
        <v>8017.79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29769.480000000003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1578.52</v>
      </c>
      <c r="D229" s="74">
        <v>3369.18</v>
      </c>
      <c r="E229" s="74">
        <v>430.51</v>
      </c>
      <c r="F229" s="74">
        <v>721.41</v>
      </c>
      <c r="G229" s="74">
        <v>886.93</v>
      </c>
      <c r="H229" s="74">
        <v>648.54999999999995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7635.1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176174.38</v>
      </c>
      <c r="D244" s="74">
        <v>165947.28</v>
      </c>
      <c r="E244" s="74">
        <v>179865.43</v>
      </c>
      <c r="F244" s="74">
        <v>181843.14999999997</v>
      </c>
      <c r="G244" s="74">
        <v>183761.12</v>
      </c>
      <c r="H244" s="74">
        <v>188330.79000000004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1075922.1500000001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17334.8</v>
      </c>
      <c r="D247" s="74">
        <v>15612.21</v>
      </c>
      <c r="E247" s="74">
        <v>16358.55</v>
      </c>
      <c r="F247" s="74">
        <v>14951</v>
      </c>
      <c r="G247" s="74">
        <v>16614.68</v>
      </c>
      <c r="H247" s="74">
        <v>14880.84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95752.079999999987</v>
      </c>
    </row>
    <row r="248" spans="1:16" x14ac:dyDescent="0.25">
      <c r="A248" s="71" t="s">
        <v>243</v>
      </c>
      <c r="B248" s="74"/>
      <c r="C248" s="74">
        <v>1002.09</v>
      </c>
      <c r="D248" s="74">
        <v>1034.67</v>
      </c>
      <c r="E248" s="74">
        <v>1023.42</v>
      </c>
      <c r="F248" s="74">
        <v>120</v>
      </c>
      <c r="G248" s="74">
        <v>1926.84</v>
      </c>
      <c r="H248" s="74">
        <v>120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5227.0200000000004</v>
      </c>
    </row>
    <row r="249" spans="1:16" x14ac:dyDescent="0.25">
      <c r="A249" s="71" t="s">
        <v>244</v>
      </c>
      <c r="B249" s="74"/>
      <c r="C249" s="74">
        <v>1845.49</v>
      </c>
      <c r="D249" s="74">
        <v>2077.5</v>
      </c>
      <c r="E249" s="74">
        <v>2372.6999999999998</v>
      </c>
      <c r="F249" s="74">
        <v>974.09</v>
      </c>
      <c r="G249" s="74">
        <v>1582.88</v>
      </c>
      <c r="H249" s="74">
        <v>1658.47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10511.13</v>
      </c>
    </row>
    <row r="250" spans="1:16" x14ac:dyDescent="0.25">
      <c r="A250" s="71" t="s">
        <v>245</v>
      </c>
      <c r="B250" s="74"/>
      <c r="C250" s="74">
        <v>1144</v>
      </c>
      <c r="D250" s="74">
        <v>934.63</v>
      </c>
      <c r="E250" s="74">
        <v>1071.95</v>
      </c>
      <c r="F250" s="74">
        <v>742.45</v>
      </c>
      <c r="G250" s="74">
        <v>633.63</v>
      </c>
      <c r="H250" s="74">
        <v>2306.48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6833.1399999999994</v>
      </c>
    </row>
    <row r="251" spans="1:16" x14ac:dyDescent="0.25">
      <c r="A251" s="71" t="s">
        <v>246</v>
      </c>
      <c r="B251" s="74"/>
      <c r="C251" s="74">
        <v>19677</v>
      </c>
      <c r="D251" s="74">
        <v>17831.099999999999</v>
      </c>
      <c r="E251" s="74">
        <v>23202.69</v>
      </c>
      <c r="F251" s="74">
        <v>13522.55</v>
      </c>
      <c r="G251" s="74">
        <v>18686.650000000001</v>
      </c>
      <c r="H251" s="74">
        <v>20559.740000000002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113479.73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889.06</v>
      </c>
      <c r="D253" s="74">
        <v>415.8</v>
      </c>
      <c r="E253" s="74">
        <v>850.69</v>
      </c>
      <c r="F253" s="74">
        <v>379.34</v>
      </c>
      <c r="G253" s="74">
        <v>286.02999999999997</v>
      </c>
      <c r="H253" s="74">
        <v>1663.49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4484.41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486.4</v>
      </c>
      <c r="D257" s="74">
        <v>388.8</v>
      </c>
      <c r="E257" s="74">
        <v>100</v>
      </c>
      <c r="F257" s="74">
        <v>0</v>
      </c>
      <c r="G257" s="74">
        <v>1139.8</v>
      </c>
      <c r="H257" s="74">
        <v>486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2601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691.6</v>
      </c>
      <c r="D259" s="74">
        <v>500</v>
      </c>
      <c r="E259" s="74">
        <v>387.5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1579.1</v>
      </c>
    </row>
    <row r="260" spans="1:16" x14ac:dyDescent="0.25">
      <c r="A260" s="71" t="s">
        <v>255</v>
      </c>
      <c r="C260" s="83">
        <v>490.29</v>
      </c>
      <c r="D260" s="83">
        <v>512.4</v>
      </c>
      <c r="E260" s="83">
        <v>512.4</v>
      </c>
      <c r="F260" s="83">
        <v>238.38</v>
      </c>
      <c r="G260" s="83">
        <v>363.8</v>
      </c>
      <c r="H260" s="83">
        <v>251.23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2368.5000000000005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43560.73</v>
      </c>
      <c r="D262" s="74">
        <v>39307.110000000008</v>
      </c>
      <c r="E262" s="74">
        <v>45879.9</v>
      </c>
      <c r="F262" s="74">
        <v>30927.81</v>
      </c>
      <c r="G262" s="74">
        <v>41234.310000000012</v>
      </c>
      <c r="H262" s="74">
        <v>41926.25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242836.11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4938</v>
      </c>
      <c r="D265" s="74">
        <v>4628</v>
      </c>
      <c r="E265" s="74">
        <v>4996</v>
      </c>
      <c r="F265" s="74">
        <v>4980</v>
      </c>
      <c r="G265" s="74">
        <v>5192</v>
      </c>
      <c r="H265" s="74">
        <v>3664.5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28398.5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3298.73</v>
      </c>
      <c r="D267" s="74">
        <v>3662.9</v>
      </c>
      <c r="E267" s="74">
        <v>2380.48</v>
      </c>
      <c r="F267" s="74">
        <v>2163.5500000000002</v>
      </c>
      <c r="G267" s="74">
        <v>3687.5</v>
      </c>
      <c r="H267" s="74">
        <v>4098.51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19291.669999999998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2733.73</v>
      </c>
      <c r="D272" s="74">
        <v>2527.4</v>
      </c>
      <c r="E272" s="74">
        <v>2116.94</v>
      </c>
      <c r="F272" s="74">
        <v>2073.21</v>
      </c>
      <c r="G272" s="74">
        <v>2613.23</v>
      </c>
      <c r="H272" s="74">
        <v>2681.27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14745.779999999999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3876.59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3876.59</v>
      </c>
    </row>
    <row r="275" spans="1:15" x14ac:dyDescent="0.25">
      <c r="A275" s="71" t="s">
        <v>268</v>
      </c>
      <c r="B275" s="74"/>
      <c r="C275" s="74">
        <v>265.55</v>
      </c>
      <c r="D275" s="74">
        <v>99.11</v>
      </c>
      <c r="E275" s="74">
        <v>396.81</v>
      </c>
      <c r="F275" s="74">
        <v>0</v>
      </c>
      <c r="G275" s="74">
        <v>0</v>
      </c>
      <c r="H275" s="74">
        <v>314.70999999999998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1076.18</v>
      </c>
    </row>
    <row r="276" spans="1:15" x14ac:dyDescent="0.25">
      <c r="A276" s="71" t="s">
        <v>269</v>
      </c>
      <c r="B276" s="74"/>
      <c r="C276" s="74">
        <v>3544.94</v>
      </c>
      <c r="D276" s="74">
        <v>2571.52</v>
      </c>
      <c r="E276" s="74">
        <v>2400.1999999999998</v>
      </c>
      <c r="F276" s="74">
        <v>367.39</v>
      </c>
      <c r="G276" s="74">
        <v>3168.35</v>
      </c>
      <c r="H276" s="74">
        <v>2032.83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14085.23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2617.3200000000002</v>
      </c>
      <c r="D279" s="74">
        <v>2471.1</v>
      </c>
      <c r="E279" s="74">
        <v>2084.91</v>
      </c>
      <c r="F279" s="74">
        <v>1529.68</v>
      </c>
      <c r="G279" s="74">
        <v>2458.83</v>
      </c>
      <c r="H279" s="74">
        <v>2014.23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13176.07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0</v>
      </c>
      <c r="D283" s="74">
        <v>3319.84</v>
      </c>
      <c r="E283" s="74">
        <v>3089.8</v>
      </c>
      <c r="F283" s="74">
        <v>21.67</v>
      </c>
      <c r="G283" s="74">
        <v>2408.3000000000002</v>
      </c>
      <c r="H283" s="74">
        <v>4620.88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13460.490000000002</v>
      </c>
    </row>
    <row r="284" spans="1:15" x14ac:dyDescent="0.25">
      <c r="A284" s="71" t="s">
        <v>277</v>
      </c>
      <c r="B284" s="74"/>
      <c r="C284" s="74">
        <v>130.5</v>
      </c>
      <c r="D284" s="74">
        <v>288</v>
      </c>
      <c r="E284" s="74">
        <v>0</v>
      </c>
      <c r="F284" s="74">
        <v>0</v>
      </c>
      <c r="G284" s="74">
        <v>621</v>
      </c>
      <c r="H284" s="74">
        <v>202.5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1242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95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95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171.29</v>
      </c>
      <c r="D290" s="74">
        <v>0</v>
      </c>
      <c r="E290" s="74">
        <v>254.4</v>
      </c>
      <c r="F290" s="74">
        <v>0</v>
      </c>
      <c r="G290" s="74">
        <v>339.2</v>
      </c>
      <c r="H290" s="74">
        <v>359.74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1124.6300000000001</v>
      </c>
    </row>
    <row r="291" spans="1:15" x14ac:dyDescent="0.25">
      <c r="A291" s="71" t="s">
        <v>284</v>
      </c>
      <c r="B291" s="74"/>
      <c r="C291" s="74">
        <v>3108.51</v>
      </c>
      <c r="D291" s="74">
        <v>1081.8900000000001</v>
      </c>
      <c r="E291" s="74">
        <v>3521.15</v>
      </c>
      <c r="F291" s="74">
        <v>-1009.62</v>
      </c>
      <c r="G291" s="74">
        <v>1017.66</v>
      </c>
      <c r="H291" s="74">
        <v>3932.34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11651.93</v>
      </c>
    </row>
    <row r="292" spans="1:15" x14ac:dyDescent="0.25">
      <c r="A292" s="71" t="s">
        <v>285</v>
      </c>
      <c r="B292" s="74"/>
      <c r="C292" s="74">
        <v>816.34</v>
      </c>
      <c r="D292" s="74">
        <v>307.68</v>
      </c>
      <c r="E292" s="74">
        <v>975.53</v>
      </c>
      <c r="F292" s="74">
        <v>0</v>
      </c>
      <c r="G292" s="74">
        <v>1009.45</v>
      </c>
      <c r="H292" s="74">
        <v>509.22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3618.2200000000003</v>
      </c>
    </row>
    <row r="293" spans="1:15" x14ac:dyDescent="0.25">
      <c r="A293" s="71" t="s">
        <v>286</v>
      </c>
      <c r="B293" s="74"/>
      <c r="C293" s="74">
        <v>1714.7</v>
      </c>
      <c r="D293" s="74">
        <v>1044.44</v>
      </c>
      <c r="E293" s="74">
        <v>2340.88</v>
      </c>
      <c r="F293" s="74">
        <v>-994.68</v>
      </c>
      <c r="G293" s="74">
        <v>918.67</v>
      </c>
      <c r="H293" s="74">
        <v>2508.58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7532.59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939.3</v>
      </c>
      <c r="D301" s="74">
        <v>1109.82</v>
      </c>
      <c r="E301" s="74">
        <v>3245.27</v>
      </c>
      <c r="F301" s="74">
        <v>4821.83</v>
      </c>
      <c r="G301" s="74">
        <v>3938.98</v>
      </c>
      <c r="H301" s="74">
        <v>2267.21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16322.41</v>
      </c>
    </row>
    <row r="302" spans="1:15" x14ac:dyDescent="0.25">
      <c r="A302" s="71" t="s">
        <v>295</v>
      </c>
      <c r="B302" s="74"/>
      <c r="C302" s="74">
        <v>449.45</v>
      </c>
      <c r="D302" s="74">
        <v>864.19</v>
      </c>
      <c r="E302" s="74">
        <v>2767.59</v>
      </c>
      <c r="F302" s="74">
        <v>3891.46</v>
      </c>
      <c r="G302" s="74">
        <v>3047.77</v>
      </c>
      <c r="H302" s="74">
        <v>1131.28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12151.740000000002</v>
      </c>
    </row>
    <row r="303" spans="1:15" x14ac:dyDescent="0.25">
      <c r="A303" s="71" t="s">
        <v>296</v>
      </c>
      <c r="B303" s="74"/>
      <c r="C303" s="74">
        <v>719.12</v>
      </c>
      <c r="D303" s="74">
        <v>811.51</v>
      </c>
      <c r="E303" s="74">
        <v>3089.5</v>
      </c>
      <c r="F303" s="74">
        <v>4210.42</v>
      </c>
      <c r="G303" s="74">
        <v>2883.2</v>
      </c>
      <c r="H303" s="74">
        <v>1863.03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13576.78</v>
      </c>
    </row>
    <row r="304" spans="1:15" x14ac:dyDescent="0.25">
      <c r="A304" s="71" t="s">
        <v>499</v>
      </c>
      <c r="B304" s="74"/>
      <c r="C304" s="74">
        <v>4706.6000000000004</v>
      </c>
      <c r="D304" s="74">
        <v>4591.46</v>
      </c>
      <c r="E304" s="74">
        <v>777.7</v>
      </c>
      <c r="F304" s="74">
        <v>2545.1999999999998</v>
      </c>
      <c r="G304" s="74">
        <v>3600.65</v>
      </c>
      <c r="H304" s="74">
        <v>3103.73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19325.340000000004</v>
      </c>
    </row>
    <row r="305" spans="1:16" x14ac:dyDescent="0.25">
      <c r="A305" s="71" t="s">
        <v>500</v>
      </c>
      <c r="B305" s="74"/>
      <c r="C305" s="74">
        <v>903.95</v>
      </c>
      <c r="D305" s="74">
        <v>984.75</v>
      </c>
      <c r="E305" s="74">
        <v>45.45</v>
      </c>
      <c r="F305" s="74">
        <v>126.25</v>
      </c>
      <c r="G305" s="74">
        <v>1004.95</v>
      </c>
      <c r="H305" s="74">
        <v>2146.25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5211.6000000000004</v>
      </c>
    </row>
    <row r="306" spans="1:16" x14ac:dyDescent="0.25">
      <c r="A306" s="71" t="s">
        <v>501</v>
      </c>
      <c r="B306" s="74"/>
      <c r="C306" s="74">
        <v>3466.32</v>
      </c>
      <c r="D306" s="74">
        <v>2776.49</v>
      </c>
      <c r="E306" s="74">
        <v>477.73</v>
      </c>
      <c r="F306" s="74">
        <v>1798.81</v>
      </c>
      <c r="G306" s="74">
        <v>3131</v>
      </c>
      <c r="H306" s="74">
        <v>2058.38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13708.73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34524.350000000006</v>
      </c>
      <c r="D321" s="74">
        <v>33140.1</v>
      </c>
      <c r="E321" s="74">
        <v>35055.340000000004</v>
      </c>
      <c r="F321" s="74">
        <v>26525.17</v>
      </c>
      <c r="G321" s="74">
        <v>44917.329999999994</v>
      </c>
      <c r="H321" s="74">
        <v>39509.19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213671.48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2852.38</v>
      </c>
      <c r="D324" s="74">
        <v>2697.47</v>
      </c>
      <c r="E324" s="74">
        <v>3224.67</v>
      </c>
      <c r="F324" s="74">
        <v>3498.57</v>
      </c>
      <c r="G324" s="74">
        <v>3895.13</v>
      </c>
      <c r="H324" s="74">
        <v>3735.98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19904.2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887.07</v>
      </c>
      <c r="D326" s="74">
        <v>772.27</v>
      </c>
      <c r="E326" s="74">
        <v>855.01</v>
      </c>
      <c r="F326" s="74">
        <v>837.77</v>
      </c>
      <c r="G326" s="74">
        <v>887.07</v>
      </c>
      <c r="H326" s="74">
        <v>868.8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5107.9900000000007</v>
      </c>
    </row>
    <row r="327" spans="1:16" x14ac:dyDescent="0.25">
      <c r="A327" s="71" t="s">
        <v>315</v>
      </c>
      <c r="B327" s="74"/>
      <c r="C327" s="74">
        <v>566.05999999999995</v>
      </c>
      <c r="D327" s="74">
        <v>492.8</v>
      </c>
      <c r="E327" s="74">
        <v>545.6</v>
      </c>
      <c r="F327" s="74">
        <v>534.6</v>
      </c>
      <c r="G327" s="74">
        <v>566.05999999999995</v>
      </c>
      <c r="H327" s="74">
        <v>554.4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3259.52</v>
      </c>
    </row>
    <row r="328" spans="1:16" x14ac:dyDescent="0.25">
      <c r="A328" s="71" t="s">
        <v>316</v>
      </c>
      <c r="B328" s="74"/>
      <c r="C328" s="74">
        <v>506.07</v>
      </c>
      <c r="D328" s="74">
        <v>684.99</v>
      </c>
      <c r="E328" s="74">
        <v>0</v>
      </c>
      <c r="F328" s="74">
        <v>422.17</v>
      </c>
      <c r="G328" s="74">
        <v>229.32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1842.55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388.8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388.8</v>
      </c>
    </row>
    <row r="336" spans="1:16" x14ac:dyDescent="0.25">
      <c r="A336" s="71" t="s">
        <v>324</v>
      </c>
      <c r="C336" s="83">
        <v>71.3</v>
      </c>
      <c r="D336" s="83">
        <v>71.3</v>
      </c>
      <c r="E336" s="83">
        <v>40.799999999999997</v>
      </c>
      <c r="F336" s="83">
        <v>73.3</v>
      </c>
      <c r="G336" s="83">
        <v>-4.3499999999999996</v>
      </c>
      <c r="H336" s="83">
        <v>36.65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289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5271.68</v>
      </c>
      <c r="D338" s="74">
        <v>4718.83</v>
      </c>
      <c r="E338" s="74">
        <v>4666.0800000000008</v>
      </c>
      <c r="F338" s="74">
        <v>5366.4100000000008</v>
      </c>
      <c r="G338" s="74">
        <v>5573.23</v>
      </c>
      <c r="H338" s="74">
        <v>5195.829999999999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30792.06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11738.79</v>
      </c>
      <c r="D341" s="74">
        <v>7918.19</v>
      </c>
      <c r="E341" s="74">
        <v>12249.93</v>
      </c>
      <c r="F341" s="74">
        <v>9340.2199999999993</v>
      </c>
      <c r="G341" s="74">
        <v>11352.7</v>
      </c>
      <c r="H341" s="74">
        <v>10897.39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63497.22</v>
      </c>
    </row>
    <row r="342" spans="1:16" x14ac:dyDescent="0.25">
      <c r="A342" s="71" t="s">
        <v>329</v>
      </c>
      <c r="B342" s="74"/>
      <c r="C342" s="74">
        <v>1509.79</v>
      </c>
      <c r="D342" s="74">
        <v>303.39999999999998</v>
      </c>
      <c r="E342" s="74">
        <v>1436.53</v>
      </c>
      <c r="F342" s="74">
        <v>0</v>
      </c>
      <c r="G342" s="74">
        <v>858.23</v>
      </c>
      <c r="H342" s="74">
        <v>1021.57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5129.5200000000004</v>
      </c>
    </row>
    <row r="343" spans="1:16" x14ac:dyDescent="0.25">
      <c r="A343" s="71" t="s">
        <v>330</v>
      </c>
      <c r="B343" s="74"/>
      <c r="C343" s="74">
        <v>849.09</v>
      </c>
      <c r="D343" s="74">
        <v>739.2</v>
      </c>
      <c r="E343" s="74">
        <v>818.4</v>
      </c>
      <c r="F343" s="74">
        <v>801.9</v>
      </c>
      <c r="G343" s="74">
        <v>849.09</v>
      </c>
      <c r="H343" s="74">
        <v>831.6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4889.2800000000007</v>
      </c>
    </row>
    <row r="344" spans="1:16" x14ac:dyDescent="0.25">
      <c r="A344" s="71" t="s">
        <v>331</v>
      </c>
      <c r="B344" s="74"/>
      <c r="C344" s="74">
        <v>1213.56</v>
      </c>
      <c r="D344" s="74">
        <v>222.33</v>
      </c>
      <c r="E344" s="74">
        <v>360</v>
      </c>
      <c r="F344" s="74">
        <v>362.06</v>
      </c>
      <c r="G344" s="74">
        <v>739.97</v>
      </c>
      <c r="H344" s="74">
        <v>962.53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3860.45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140.13</v>
      </c>
      <c r="D349" s="74">
        <v>0</v>
      </c>
      <c r="E349" s="74">
        <v>0</v>
      </c>
      <c r="F349" s="74">
        <v>0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140.13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486</v>
      </c>
      <c r="D351" s="74">
        <v>388.8</v>
      </c>
      <c r="E351" s="74">
        <v>504</v>
      </c>
      <c r="F351" s="74">
        <v>128</v>
      </c>
      <c r="G351" s="74">
        <v>72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1578.8</v>
      </c>
    </row>
    <row r="352" spans="1:16" x14ac:dyDescent="0.25">
      <c r="A352" s="71" t="s">
        <v>339</v>
      </c>
      <c r="C352" s="83">
        <v>309.67</v>
      </c>
      <c r="D352" s="83">
        <v>340.17</v>
      </c>
      <c r="E352" s="83">
        <v>309.67</v>
      </c>
      <c r="F352" s="83">
        <v>274.02</v>
      </c>
      <c r="G352" s="83">
        <v>299.02</v>
      </c>
      <c r="H352" s="83">
        <v>286.36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1818.9099999999999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16247.03</v>
      </c>
      <c r="D354" s="74">
        <v>9912.09</v>
      </c>
      <c r="E354" s="74">
        <v>15678.53</v>
      </c>
      <c r="F354" s="74">
        <v>10906.199999999999</v>
      </c>
      <c r="G354" s="74">
        <v>14171.01</v>
      </c>
      <c r="H354" s="74">
        <v>13999.45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80914.310000000012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5652.05</v>
      </c>
      <c r="D358" s="74">
        <v>6206.06</v>
      </c>
      <c r="E358" s="74">
        <v>7304.64</v>
      </c>
      <c r="F358" s="74">
        <v>6335.09</v>
      </c>
      <c r="G358" s="74">
        <v>8133.92</v>
      </c>
      <c r="H358" s="74">
        <v>6940.39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40572.15</v>
      </c>
    </row>
    <row r="359" spans="1:16" x14ac:dyDescent="0.25">
      <c r="A359" s="71" t="s">
        <v>344</v>
      </c>
      <c r="B359" s="74"/>
      <c r="C359" s="74">
        <v>303.66000000000003</v>
      </c>
      <c r="D359" s="74">
        <v>170.81</v>
      </c>
      <c r="E359" s="74">
        <v>987.5</v>
      </c>
      <c r="F359" s="74">
        <v>253</v>
      </c>
      <c r="G359" s="74">
        <v>1661.66</v>
      </c>
      <c r="H359" s="74">
        <v>582.26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3958.8900000000003</v>
      </c>
    </row>
    <row r="360" spans="1:16" x14ac:dyDescent="0.25">
      <c r="A360" s="71" t="s">
        <v>345</v>
      </c>
      <c r="B360" s="74"/>
      <c r="C360" s="74">
        <v>627.72</v>
      </c>
      <c r="D360" s="74">
        <v>218.77</v>
      </c>
      <c r="E360" s="74">
        <v>407.48</v>
      </c>
      <c r="F360" s="74">
        <v>651.57000000000005</v>
      </c>
      <c r="G360" s="74">
        <v>384.97</v>
      </c>
      <c r="H360" s="74">
        <v>1766.56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4057.07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0</v>
      </c>
      <c r="D362" s="74">
        <v>0</v>
      </c>
      <c r="E362" s="74">
        <v>286.75</v>
      </c>
      <c r="F362" s="74">
        <v>286.75</v>
      </c>
      <c r="G362" s="74">
        <v>176.8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750.3</v>
      </c>
    </row>
    <row r="363" spans="1:16" x14ac:dyDescent="0.25">
      <c r="A363" s="71" t="s">
        <v>348</v>
      </c>
      <c r="B363" s="74"/>
      <c r="C363" s="74">
        <v>674.22</v>
      </c>
      <c r="D363" s="74">
        <v>5413.04</v>
      </c>
      <c r="E363" s="74">
        <v>674.22</v>
      </c>
      <c r="F363" s="74">
        <v>3707.91</v>
      </c>
      <c r="G363" s="74">
        <v>699.88</v>
      </c>
      <c r="H363" s="74">
        <v>639.35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11808.619999999999</v>
      </c>
    </row>
    <row r="364" spans="1:16" x14ac:dyDescent="0.25">
      <c r="A364" s="71" t="s">
        <v>349</v>
      </c>
      <c r="B364" s="74"/>
      <c r="C364" s="74">
        <v>1962.3</v>
      </c>
      <c r="D364" s="74">
        <v>0</v>
      </c>
      <c r="E364" s="74">
        <v>0</v>
      </c>
      <c r="F364" s="74">
        <v>1962.3</v>
      </c>
      <c r="G364" s="74">
        <v>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3924.6</v>
      </c>
    </row>
    <row r="365" spans="1:16" x14ac:dyDescent="0.25">
      <c r="A365" s="71" t="s">
        <v>350</v>
      </c>
      <c r="B365" s="74"/>
      <c r="C365" s="74">
        <v>0</v>
      </c>
      <c r="D365" s="74">
        <v>0</v>
      </c>
      <c r="E365" s="74">
        <v>0</v>
      </c>
      <c r="F365" s="74">
        <v>405.96</v>
      </c>
      <c r="G365" s="74">
        <v>0</v>
      </c>
      <c r="H365" s="74">
        <v>1495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1900.96</v>
      </c>
    </row>
    <row r="366" spans="1:16" x14ac:dyDescent="0.25">
      <c r="A366" s="71" t="s">
        <v>351</v>
      </c>
      <c r="B366" s="74"/>
      <c r="C366" s="74">
        <v>3122.49</v>
      </c>
      <c r="D366" s="74">
        <v>2075.19</v>
      </c>
      <c r="E366" s="74">
        <v>4385.7</v>
      </c>
      <c r="F366" s="74">
        <v>3426.85</v>
      </c>
      <c r="G366" s="74">
        <v>4932.1000000000004</v>
      </c>
      <c r="H366" s="74">
        <v>5199.53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23141.86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284</v>
      </c>
      <c r="D370" s="74">
        <v>317.68</v>
      </c>
      <c r="E370" s="74">
        <v>98</v>
      </c>
      <c r="F370" s="74">
        <v>0</v>
      </c>
      <c r="G370" s="74">
        <v>0</v>
      </c>
      <c r="H370" s="74">
        <v>273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972.68000000000006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504.5</v>
      </c>
      <c r="D372" s="74">
        <v>0</v>
      </c>
      <c r="E372" s="74">
        <v>109.84</v>
      </c>
      <c r="F372" s="74">
        <v>0</v>
      </c>
      <c r="G372" s="74">
        <v>54.92</v>
      </c>
      <c r="H372" s="74">
        <v>486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1155.26</v>
      </c>
    </row>
    <row r="373" spans="1:16" x14ac:dyDescent="0.25">
      <c r="A373" s="71" t="s">
        <v>358</v>
      </c>
      <c r="B373" s="74"/>
      <c r="C373" s="74">
        <v>274.02</v>
      </c>
      <c r="D373" s="74">
        <v>274.02</v>
      </c>
      <c r="E373" s="74">
        <v>274.02</v>
      </c>
      <c r="F373" s="74">
        <v>274.02</v>
      </c>
      <c r="G373" s="74">
        <v>309.02</v>
      </c>
      <c r="H373" s="74">
        <v>286.33999999999997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1691.4399999999998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4176.24</v>
      </c>
      <c r="D376" s="74">
        <v>4933.47</v>
      </c>
      <c r="E376" s="74">
        <v>4790.38</v>
      </c>
      <c r="F376" s="74">
        <v>4309</v>
      </c>
      <c r="G376" s="74">
        <v>3749.01</v>
      </c>
      <c r="H376" s="74">
        <v>4452.82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26410.92</v>
      </c>
    </row>
    <row r="377" spans="1:16" x14ac:dyDescent="0.25">
      <c r="A377" s="71" t="s">
        <v>362</v>
      </c>
      <c r="C377" s="83">
        <v>8250.7999999999993</v>
      </c>
      <c r="D377" s="83">
        <v>2292.4499999999998</v>
      </c>
      <c r="E377" s="83">
        <v>7558.53</v>
      </c>
      <c r="F377" s="83">
        <v>3991.3</v>
      </c>
      <c r="G377" s="83">
        <v>5045.95</v>
      </c>
      <c r="H377" s="83">
        <v>3698.22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30837.25</v>
      </c>
      <c r="P377" s="86"/>
    </row>
    <row r="378" spans="1:16" x14ac:dyDescent="0.25">
      <c r="A378" s="71" t="s">
        <v>363</v>
      </c>
      <c r="C378" s="98">
        <v>3678.48</v>
      </c>
      <c r="D378" s="98">
        <v>3775.7</v>
      </c>
      <c r="E378" s="98">
        <v>0</v>
      </c>
      <c r="F378" s="98">
        <v>4769.46</v>
      </c>
      <c r="G378" s="98">
        <v>4722.21</v>
      </c>
      <c r="H378" s="98">
        <v>4918.09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21863.94</v>
      </c>
    </row>
    <row r="379" spans="1:16" x14ac:dyDescent="0.25">
      <c r="A379" s="71" t="s">
        <v>364</v>
      </c>
      <c r="C379" s="74">
        <v>29510.48</v>
      </c>
      <c r="D379" s="74">
        <v>25677.190000000002</v>
      </c>
      <c r="E379" s="74">
        <v>26877.059999999998</v>
      </c>
      <c r="F379" s="74">
        <v>30373.209999999995</v>
      </c>
      <c r="G379" s="74">
        <v>29870.44</v>
      </c>
      <c r="H379" s="74">
        <v>30737.56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173045.94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4805.5600000000004</v>
      </c>
      <c r="D382" s="74">
        <v>5893.56</v>
      </c>
      <c r="E382" s="74">
        <v>5621.56</v>
      </c>
      <c r="F382" s="74">
        <v>5893.56</v>
      </c>
      <c r="G382" s="74">
        <v>5621.56</v>
      </c>
      <c r="H382" s="74">
        <v>3989.56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31825.360000000004</v>
      </c>
    </row>
    <row r="383" spans="1:16" x14ac:dyDescent="0.25">
      <c r="A383" s="71" t="s">
        <v>367</v>
      </c>
      <c r="B383" s="74"/>
      <c r="C383" s="74">
        <v>2991.59</v>
      </c>
      <c r="D383" s="74">
        <v>3480.1</v>
      </c>
      <c r="E383" s="74">
        <v>3739.94</v>
      </c>
      <c r="F383" s="74">
        <v>3528.8</v>
      </c>
      <c r="G383" s="74">
        <v>3791.15</v>
      </c>
      <c r="H383" s="74">
        <v>3631.47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21163.050000000003</v>
      </c>
    </row>
    <row r="384" spans="1:16" x14ac:dyDescent="0.25">
      <c r="A384" s="71" t="s">
        <v>368</v>
      </c>
      <c r="B384" s="74"/>
      <c r="C384" s="74">
        <v>3088.18</v>
      </c>
      <c r="D384" s="74">
        <v>2182.4499999999998</v>
      </c>
      <c r="E384" s="74">
        <v>2977.92</v>
      </c>
      <c r="F384" s="74">
        <v>2518.16</v>
      </c>
      <c r="G384" s="74">
        <v>2657.53</v>
      </c>
      <c r="H384" s="74">
        <v>2575.34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15999.58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120</v>
      </c>
      <c r="D391" s="74">
        <v>120</v>
      </c>
      <c r="E391" s="74">
        <v>120</v>
      </c>
      <c r="F391" s="74">
        <v>120</v>
      </c>
      <c r="G391" s="74">
        <v>120</v>
      </c>
      <c r="H391" s="74">
        <v>120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720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394.32</v>
      </c>
      <c r="E393" s="74">
        <v>272</v>
      </c>
      <c r="F393" s="74">
        <v>131.44</v>
      </c>
      <c r="G393" s="74">
        <v>666.32</v>
      </c>
      <c r="H393" s="74">
        <v>2298.3200000000002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3762.4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1153.72</v>
      </c>
      <c r="D395" s="74">
        <v>131.44</v>
      </c>
      <c r="E395" s="74">
        <v>0</v>
      </c>
      <c r="F395" s="74">
        <v>131.44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1416.6000000000001</v>
      </c>
    </row>
    <row r="396" spans="1:15" x14ac:dyDescent="0.25">
      <c r="A396" s="71" t="s">
        <v>380</v>
      </c>
      <c r="B396" s="74"/>
      <c r="C396" s="74">
        <v>981.68</v>
      </c>
      <c r="D396" s="74">
        <v>231.89</v>
      </c>
      <c r="E396" s="74">
        <v>555.55999999999995</v>
      </c>
      <c r="F396" s="74">
        <v>231.88</v>
      </c>
      <c r="G396" s="74">
        <v>701.66</v>
      </c>
      <c r="H396" s="74">
        <v>689.36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3392.0299999999997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6774.51</v>
      </c>
      <c r="F400" s="74">
        <v>0</v>
      </c>
      <c r="G400" s="74">
        <v>0</v>
      </c>
      <c r="H400" s="74">
        <v>7037.27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13811.78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261.29000000000002</v>
      </c>
      <c r="F408" s="74">
        <v>284.83999999999997</v>
      </c>
      <c r="G408" s="74">
        <v>0</v>
      </c>
      <c r="H408" s="74">
        <v>621.20000000000005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1668.22</v>
      </c>
    </row>
    <row r="409" spans="1:15" x14ac:dyDescent="0.25">
      <c r="A409" s="71" t="s">
        <v>393</v>
      </c>
      <c r="B409" s="74"/>
      <c r="C409" s="74">
        <v>855.56</v>
      </c>
      <c r="D409" s="74">
        <v>784.19</v>
      </c>
      <c r="E409" s="74">
        <v>891.32</v>
      </c>
      <c r="F409" s="74">
        <v>0</v>
      </c>
      <c r="G409" s="74">
        <v>853.31</v>
      </c>
      <c r="H409" s="74">
        <v>858.58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4242.96</v>
      </c>
    </row>
    <row r="410" spans="1:15" x14ac:dyDescent="0.25">
      <c r="A410" s="71" t="s">
        <v>394</v>
      </c>
      <c r="B410" s="74"/>
      <c r="C410" s="74">
        <v>254.7</v>
      </c>
      <c r="D410" s="74">
        <v>121.65</v>
      </c>
      <c r="E410" s="74">
        <v>190.83</v>
      </c>
      <c r="F410" s="74">
        <v>169.29</v>
      </c>
      <c r="G410" s="74">
        <v>217.31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953.78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723.55</v>
      </c>
      <c r="D412" s="74">
        <v>568.66999999999996</v>
      </c>
      <c r="E412" s="74">
        <v>245.98</v>
      </c>
      <c r="F412" s="74">
        <v>479.41</v>
      </c>
      <c r="G412" s="74">
        <v>531.82000000000005</v>
      </c>
      <c r="H412" s="74">
        <v>492.26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3041.6899999999996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-615.46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-615.46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903.12</v>
      </c>
      <c r="D415" s="74">
        <v>903.12</v>
      </c>
      <c r="E415" s="74">
        <v>903.12</v>
      </c>
      <c r="F415" s="74">
        <v>903.12</v>
      </c>
      <c r="G415" s="74">
        <v>903.12</v>
      </c>
      <c r="H415" s="74">
        <v>903.12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5418.72</v>
      </c>
    </row>
    <row r="416" spans="1:15" x14ac:dyDescent="0.25">
      <c r="A416" s="71" t="s">
        <v>400</v>
      </c>
      <c r="B416" s="74"/>
      <c r="C416" s="74">
        <v>911.59</v>
      </c>
      <c r="D416" s="74">
        <v>911.59</v>
      </c>
      <c r="E416" s="74">
        <v>911.59</v>
      </c>
      <c r="F416" s="74">
        <v>911.59</v>
      </c>
      <c r="G416" s="74">
        <v>911.59</v>
      </c>
      <c r="H416" s="74">
        <v>911.59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5469.54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7288.24</v>
      </c>
      <c r="D419" s="74">
        <v>6384.61</v>
      </c>
      <c r="E419" s="74">
        <v>6579.52</v>
      </c>
      <c r="F419" s="74">
        <v>6501.71</v>
      </c>
      <c r="G419" s="74">
        <v>6792.41</v>
      </c>
      <c r="H419" s="74">
        <v>6520.71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40067.199999999997</v>
      </c>
    </row>
    <row r="420" spans="1:15" x14ac:dyDescent="0.25">
      <c r="A420" s="71" t="s">
        <v>404</v>
      </c>
      <c r="B420" s="74"/>
      <c r="C420" s="74">
        <v>201.39</v>
      </c>
      <c r="D420" s="74">
        <v>209.26</v>
      </c>
      <c r="E420" s="74">
        <v>238.55</v>
      </c>
      <c r="F420" s="74">
        <v>279.32</v>
      </c>
      <c r="G420" s="74">
        <v>175.54</v>
      </c>
      <c r="H420" s="74">
        <v>213.47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1317.53</v>
      </c>
    </row>
    <row r="421" spans="1:15" x14ac:dyDescent="0.25">
      <c r="A421" s="71" t="s">
        <v>405</v>
      </c>
      <c r="B421" s="74"/>
      <c r="C421" s="74">
        <v>862.77</v>
      </c>
      <c r="D421" s="74">
        <v>985.14</v>
      </c>
      <c r="E421" s="74">
        <v>45</v>
      </c>
      <c r="F421" s="74">
        <v>781.59</v>
      </c>
      <c r="G421" s="74">
        <v>1289.81</v>
      </c>
      <c r="H421" s="74">
        <v>580.01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4544.32</v>
      </c>
    </row>
    <row r="422" spans="1:15" x14ac:dyDescent="0.25">
      <c r="A422" s="71" t="s">
        <v>406</v>
      </c>
      <c r="B422" s="74"/>
      <c r="C422" s="74">
        <v>22197.31</v>
      </c>
      <c r="D422" s="74">
        <v>20112.23</v>
      </c>
      <c r="E422" s="74">
        <v>22457.09</v>
      </c>
      <c r="F422" s="74">
        <v>22239.64</v>
      </c>
      <c r="G422" s="74">
        <v>23909.48</v>
      </c>
      <c r="H422" s="74">
        <v>22059.9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132975.65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9750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9750</v>
      </c>
    </row>
    <row r="425" spans="1:15" x14ac:dyDescent="0.25">
      <c r="A425" s="71" t="s">
        <v>409</v>
      </c>
      <c r="B425" s="74"/>
      <c r="C425" s="74">
        <v>5</v>
      </c>
      <c r="D425" s="74">
        <v>0</v>
      </c>
      <c r="E425" s="74">
        <v>0</v>
      </c>
      <c r="F425" s="74">
        <v>0</v>
      </c>
      <c r="G425" s="74">
        <v>60.5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65.5</v>
      </c>
    </row>
    <row r="426" spans="1:15" x14ac:dyDescent="0.25">
      <c r="A426" s="71" t="s">
        <v>410</v>
      </c>
      <c r="B426" s="74"/>
      <c r="C426" s="74">
        <v>18002.53</v>
      </c>
      <c r="D426" s="74">
        <v>15270.45</v>
      </c>
      <c r="E426" s="74">
        <v>16526.87</v>
      </c>
      <c r="F426" s="74">
        <v>15759.12</v>
      </c>
      <c r="G426" s="74">
        <v>16349.42</v>
      </c>
      <c r="H426" s="74">
        <v>15557.3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97465.689999999988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175</v>
      </c>
      <c r="E430" s="74">
        <v>219.61</v>
      </c>
      <c r="F430" s="74">
        <v>404</v>
      </c>
      <c r="G430" s="74">
        <v>0</v>
      </c>
      <c r="H430" s="74">
        <v>146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944.61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3165.46</v>
      </c>
      <c r="D432" s="74">
        <v>1634.14</v>
      </c>
      <c r="E432" s="74">
        <v>771.65</v>
      </c>
      <c r="F432" s="74">
        <v>532.08000000000004</v>
      </c>
      <c r="G432" s="74">
        <v>1360.76</v>
      </c>
      <c r="H432" s="74">
        <v>275.04000000000002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7739.13</v>
      </c>
    </row>
    <row r="433" spans="1:16" x14ac:dyDescent="0.25">
      <c r="A433" s="71" t="s">
        <v>416</v>
      </c>
      <c r="B433" s="74"/>
      <c r="C433" s="74">
        <v>30636</v>
      </c>
      <c r="D433" s="74">
        <v>30636</v>
      </c>
      <c r="E433" s="74">
        <v>30636</v>
      </c>
      <c r="F433" s="74">
        <v>30636</v>
      </c>
      <c r="G433" s="74">
        <v>30636</v>
      </c>
      <c r="H433" s="74">
        <v>30636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183816</v>
      </c>
    </row>
    <row r="434" spans="1:16" x14ac:dyDescent="0.25">
      <c r="A434" s="71" t="s">
        <v>417</v>
      </c>
      <c r="B434" s="74"/>
      <c r="C434" s="74">
        <v>1888.01</v>
      </c>
      <c r="D434" s="74">
        <v>1545.69</v>
      </c>
      <c r="E434" s="74">
        <v>1759.65</v>
      </c>
      <c r="F434" s="74">
        <v>1293.03</v>
      </c>
      <c r="G434" s="74">
        <v>1121.8699999999999</v>
      </c>
      <c r="H434" s="74">
        <v>1158.56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8766.81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234.85</v>
      </c>
      <c r="D436" s="74">
        <v>97.95</v>
      </c>
      <c r="E436" s="74">
        <v>234.85</v>
      </c>
      <c r="F436" s="74">
        <v>1107.8399999999999</v>
      </c>
      <c r="G436" s="74">
        <v>234.85</v>
      </c>
      <c r="H436" s="74">
        <v>234.85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2145.1899999999996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0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0</v>
      </c>
    </row>
    <row r="440" spans="1:16" x14ac:dyDescent="0.25">
      <c r="A440" s="71" t="s">
        <v>423</v>
      </c>
      <c r="C440" s="74">
        <v>111922.99</v>
      </c>
      <c r="D440" s="74">
        <v>93689.94</v>
      </c>
      <c r="E440" s="74">
        <v>104643.29999999999</v>
      </c>
      <c r="F440" s="74">
        <v>94881.290000000008</v>
      </c>
      <c r="G440" s="74">
        <v>99564.9</v>
      </c>
      <c r="H440" s="74">
        <v>102168.8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606871.22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12137.39</v>
      </c>
      <c r="D443" s="74">
        <v>10979.02</v>
      </c>
      <c r="E443" s="74">
        <v>12281.72</v>
      </c>
      <c r="F443" s="74">
        <v>12160.91</v>
      </c>
      <c r="G443" s="74">
        <v>13088.6</v>
      </c>
      <c r="H443" s="74">
        <v>12061.06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72708.7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1909.68</v>
      </c>
      <c r="D445" s="74">
        <v>1909.68</v>
      </c>
      <c r="E445" s="74">
        <v>1909.68</v>
      </c>
      <c r="F445" s="74">
        <v>1909.68</v>
      </c>
      <c r="G445" s="74">
        <v>1909.68</v>
      </c>
      <c r="H445" s="74">
        <v>1909.68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11458.08</v>
      </c>
    </row>
    <row r="446" spans="1:16" x14ac:dyDescent="0.25">
      <c r="A446" s="71" t="s">
        <v>428</v>
      </c>
      <c r="B446" s="74"/>
      <c r="C446" s="74">
        <v>58874.12</v>
      </c>
      <c r="D446" s="74">
        <v>58874.12</v>
      </c>
      <c r="E446" s="74">
        <v>64472.36</v>
      </c>
      <c r="F446" s="74">
        <v>61673.24</v>
      </c>
      <c r="G446" s="74">
        <v>61673.24</v>
      </c>
      <c r="H446" s="74">
        <v>61673.24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367240.32</v>
      </c>
    </row>
    <row r="447" spans="1:16" x14ac:dyDescent="0.25">
      <c r="A447" s="71" t="s">
        <v>429</v>
      </c>
      <c r="B447" s="74"/>
      <c r="C447" s="74">
        <v>5219.63</v>
      </c>
      <c r="D447" s="74">
        <v>7354.18</v>
      </c>
      <c r="E447" s="74">
        <v>8822.92</v>
      </c>
      <c r="F447" s="74">
        <v>7072.27</v>
      </c>
      <c r="G447" s="74">
        <v>10172.93</v>
      </c>
      <c r="H447" s="74">
        <v>6332.17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44974.100000000006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1896</v>
      </c>
      <c r="D451" s="83">
        <v>1896</v>
      </c>
      <c r="E451" s="83">
        <v>1896</v>
      </c>
      <c r="F451" s="83">
        <v>1896</v>
      </c>
      <c r="G451" s="83">
        <v>1851.26</v>
      </c>
      <c r="H451" s="83">
        <v>1896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11331.26</v>
      </c>
      <c r="P451" s="86"/>
    </row>
    <row r="452" spans="1:16" x14ac:dyDescent="0.25">
      <c r="A452" s="71" t="s">
        <v>434</v>
      </c>
      <c r="C452" s="74">
        <v>44.74</v>
      </c>
      <c r="D452" s="74">
        <v>44.74</v>
      </c>
      <c r="E452" s="74">
        <v>44.74</v>
      </c>
      <c r="F452" s="74">
        <v>44.74</v>
      </c>
      <c r="G452" s="74">
        <v>44.74</v>
      </c>
      <c r="H452" s="74">
        <v>44.74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268.44</v>
      </c>
    </row>
    <row r="453" spans="1:16" ht="18.75" thickBot="1" x14ac:dyDescent="0.3">
      <c r="A453" s="85" t="s">
        <v>435</v>
      </c>
      <c r="B453" s="85"/>
      <c r="C453" s="81">
        <v>80081.560000000012</v>
      </c>
      <c r="D453" s="81">
        <v>81057.740000000005</v>
      </c>
      <c r="E453" s="81">
        <v>89427.42</v>
      </c>
      <c r="F453" s="81">
        <v>84756.840000000011</v>
      </c>
      <c r="G453" s="81">
        <v>88740.450000000012</v>
      </c>
      <c r="H453" s="81">
        <v>83916.89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507980.89999999997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497293.2</v>
      </c>
      <c r="D455" s="71">
        <v>453450.28</v>
      </c>
      <c r="E455" s="71">
        <v>502093.06</v>
      </c>
      <c r="F455" s="71">
        <v>465580.07999999996</v>
      </c>
      <c r="G455" s="71">
        <v>507832.79000000004</v>
      </c>
      <c r="H455" s="71">
        <v>505784.76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2932034.17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5703125" style="71" bestFit="1" customWidth="1"/>
    <col min="17" max="17" width="9" style="71" bestFit="1" customWidth="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508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49.677419354838712</v>
      </c>
      <c r="D8" s="97">
        <v>48.571428571428569</v>
      </c>
      <c r="E8" s="97">
        <v>48.612903225806448</v>
      </c>
      <c r="F8" s="97">
        <v>47.3</v>
      </c>
      <c r="G8" s="97">
        <v>47.161290322580648</v>
      </c>
      <c r="H8" s="97">
        <v>47.5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217</v>
      </c>
      <c r="D11" s="74">
        <v>214</v>
      </c>
      <c r="E11" s="74">
        <v>277</v>
      </c>
      <c r="F11" s="74">
        <v>292</v>
      </c>
      <c r="G11" s="74">
        <v>43</v>
      </c>
      <c r="H11" s="74">
        <v>296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1339</v>
      </c>
    </row>
    <row r="12" spans="1:15" x14ac:dyDescent="0.25">
      <c r="A12" s="71" t="s">
        <v>42</v>
      </c>
      <c r="C12" s="74">
        <v>35</v>
      </c>
      <c r="D12" s="74">
        <v>52</v>
      </c>
      <c r="E12" s="74">
        <v>38</v>
      </c>
      <c r="F12" s="74">
        <v>36</v>
      </c>
      <c r="G12" s="74">
        <v>33</v>
      </c>
      <c r="H12" s="74">
        <v>29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223</v>
      </c>
    </row>
    <row r="13" spans="1:15" x14ac:dyDescent="0.25">
      <c r="A13" s="71" t="s">
        <v>43</v>
      </c>
      <c r="C13" s="74">
        <v>779</v>
      </c>
      <c r="D13" s="74">
        <v>744</v>
      </c>
      <c r="E13" s="74">
        <v>887</v>
      </c>
      <c r="F13" s="74">
        <v>756</v>
      </c>
      <c r="G13" s="74">
        <v>775</v>
      </c>
      <c r="H13" s="74">
        <v>716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4657</v>
      </c>
    </row>
    <row r="14" spans="1:15" x14ac:dyDescent="0.25">
      <c r="A14" s="71" t="s">
        <v>44</v>
      </c>
      <c r="C14" s="74">
        <v>76</v>
      </c>
      <c r="D14" s="74">
        <v>-9</v>
      </c>
      <c r="E14" s="74">
        <v>-57</v>
      </c>
      <c r="F14" s="74">
        <v>18</v>
      </c>
      <c r="G14" s="74">
        <v>348</v>
      </c>
      <c r="H14" s="74">
        <v>139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515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1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</v>
      </c>
    </row>
    <row r="16" spans="1:15" x14ac:dyDescent="0.25">
      <c r="A16" s="71" t="s">
        <v>46</v>
      </c>
      <c r="C16" s="74">
        <v>74</v>
      </c>
      <c r="D16" s="74">
        <v>44</v>
      </c>
      <c r="E16" s="74">
        <v>58</v>
      </c>
      <c r="F16" s="74">
        <v>30</v>
      </c>
      <c r="G16" s="74">
        <v>37</v>
      </c>
      <c r="H16" s="74">
        <v>36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279</v>
      </c>
    </row>
    <row r="17" spans="1:18" x14ac:dyDescent="0.25">
      <c r="A17" s="71" t="s">
        <v>47</v>
      </c>
      <c r="C17" s="74">
        <v>359</v>
      </c>
      <c r="D17" s="74">
        <v>315</v>
      </c>
      <c r="E17" s="74">
        <v>303</v>
      </c>
      <c r="F17" s="74">
        <v>287</v>
      </c>
      <c r="G17" s="74">
        <v>226</v>
      </c>
      <c r="H17" s="74">
        <v>209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1699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1540</v>
      </c>
      <c r="D23" s="79">
        <v>1360</v>
      </c>
      <c r="E23" s="79">
        <v>1507</v>
      </c>
      <c r="F23" s="79">
        <v>1419</v>
      </c>
      <c r="G23" s="79">
        <v>1462</v>
      </c>
      <c r="H23" s="79">
        <v>1425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8713</v>
      </c>
      <c r="P23" s="86">
        <v>8713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266843.03999999992</v>
      </c>
      <c r="D26" s="74">
        <v>246844.97000000003</v>
      </c>
      <c r="E26" s="74">
        <v>266851.88</v>
      </c>
      <c r="F26" s="74">
        <v>243251.58</v>
      </c>
      <c r="G26" s="74">
        <v>250816.35000000003</v>
      </c>
      <c r="H26" s="74">
        <v>244302.09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1518909.91</v>
      </c>
      <c r="P26" s="86"/>
    </row>
    <row r="27" spans="1:18" x14ac:dyDescent="0.25">
      <c r="A27" s="71" t="s">
        <v>57</v>
      </c>
      <c r="C27" s="74">
        <v>15311.269999999999</v>
      </c>
      <c r="D27" s="74">
        <v>19208.66</v>
      </c>
      <c r="E27" s="74">
        <v>28204.080000000002</v>
      </c>
      <c r="F27" s="74">
        <v>19282.180000000004</v>
      </c>
      <c r="G27" s="74">
        <v>22101.010000000002</v>
      </c>
      <c r="H27" s="74">
        <v>20715.71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124822.91</v>
      </c>
      <c r="P27" s="86"/>
    </row>
    <row r="28" spans="1:18" x14ac:dyDescent="0.25">
      <c r="A28" s="71" t="s">
        <v>58</v>
      </c>
      <c r="C28" s="74">
        <v>-7270.99</v>
      </c>
      <c r="D28" s="74">
        <v>-7198.99</v>
      </c>
      <c r="E28" s="74">
        <v>-22210.84</v>
      </c>
      <c r="F28" s="74">
        <v>-7194.99</v>
      </c>
      <c r="G28" s="74">
        <v>-7238.99</v>
      </c>
      <c r="H28" s="74">
        <v>-6934.63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-58049.429999999993</v>
      </c>
      <c r="P28" s="86"/>
    </row>
    <row r="29" spans="1:18" ht="18.75" thickBot="1" x14ac:dyDescent="0.3">
      <c r="A29" s="71" t="s">
        <v>59</v>
      </c>
      <c r="C29" s="80">
        <v>274883.31999999995</v>
      </c>
      <c r="D29" s="80">
        <v>258854.64</v>
      </c>
      <c r="E29" s="80">
        <v>272845.12</v>
      </c>
      <c r="F29" s="80">
        <v>255338.77000000002</v>
      </c>
      <c r="G29" s="80">
        <v>265678.37000000005</v>
      </c>
      <c r="H29" s="80">
        <v>258083.16999999998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1585683.39</v>
      </c>
      <c r="P29" s="86">
        <v>1585683.39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107365.93000000002</v>
      </c>
      <c r="D32" s="74">
        <v>92415.219999999972</v>
      </c>
      <c r="E32" s="74">
        <v>102463.55</v>
      </c>
      <c r="F32" s="74">
        <v>99700.010000000009</v>
      </c>
      <c r="G32" s="74">
        <v>97801.79</v>
      </c>
      <c r="H32" s="74">
        <v>105086.09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604832.59</v>
      </c>
      <c r="P32" s="86"/>
    </row>
    <row r="33" spans="1:18" x14ac:dyDescent="0.25">
      <c r="A33" s="71" t="s">
        <v>62</v>
      </c>
      <c r="C33" s="74">
        <v>26432</v>
      </c>
      <c r="D33" s="74">
        <v>25062.79</v>
      </c>
      <c r="E33" s="74">
        <v>28624.42</v>
      </c>
      <c r="F33" s="74">
        <v>24838.28</v>
      </c>
      <c r="G33" s="74">
        <v>26533.169999999995</v>
      </c>
      <c r="H33" s="74">
        <v>28743.010000000002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160233.66999999998</v>
      </c>
      <c r="P33" s="86"/>
    </row>
    <row r="34" spans="1:18" x14ac:dyDescent="0.25">
      <c r="A34" s="71" t="s">
        <v>57</v>
      </c>
      <c r="C34" s="74">
        <v>17173.96</v>
      </c>
      <c r="D34" s="74">
        <v>19073.88</v>
      </c>
      <c r="E34" s="74">
        <v>21817.430000000004</v>
      </c>
      <c r="F34" s="74">
        <v>17231.12</v>
      </c>
      <c r="G34" s="74">
        <v>20555.899999999998</v>
      </c>
      <c r="H34" s="74">
        <v>17675.03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113527.31999999999</v>
      </c>
      <c r="P34" s="86"/>
    </row>
    <row r="35" spans="1:18" x14ac:dyDescent="0.25">
      <c r="A35" s="71" t="s">
        <v>63</v>
      </c>
      <c r="C35" s="74">
        <v>3186.8400000000006</v>
      </c>
      <c r="D35" s="74">
        <v>2726.12</v>
      </c>
      <c r="E35" s="74">
        <v>3431.5600000000004</v>
      </c>
      <c r="F35" s="74">
        <v>3121.04</v>
      </c>
      <c r="G35" s="74">
        <v>3287.1299999999997</v>
      </c>
      <c r="H35" s="74">
        <v>3025.4199999999996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18778.11</v>
      </c>
      <c r="P35" s="86"/>
    </row>
    <row r="36" spans="1:18" x14ac:dyDescent="0.25">
      <c r="A36" s="71" t="s">
        <v>64</v>
      </c>
      <c r="C36" s="74">
        <v>10732.09</v>
      </c>
      <c r="D36" s="74">
        <v>9189.91</v>
      </c>
      <c r="E36" s="74">
        <v>8533.92</v>
      </c>
      <c r="F36" s="74">
        <v>9099.59</v>
      </c>
      <c r="G36" s="74">
        <v>11676.469999999998</v>
      </c>
      <c r="H36" s="74">
        <v>9603.16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58835.14</v>
      </c>
      <c r="P36" s="86"/>
    </row>
    <row r="37" spans="1:18" x14ac:dyDescent="0.25">
      <c r="A37" s="71" t="s">
        <v>65</v>
      </c>
      <c r="C37" s="74">
        <v>14387.24</v>
      </c>
      <c r="D37" s="74">
        <v>15962.36</v>
      </c>
      <c r="E37" s="74">
        <v>17926.140000000003</v>
      </c>
      <c r="F37" s="74">
        <v>16230.08</v>
      </c>
      <c r="G37" s="74">
        <v>14115.44</v>
      </c>
      <c r="H37" s="74">
        <v>18737.5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97358.760000000009</v>
      </c>
      <c r="P37" s="86"/>
    </row>
    <row r="38" spans="1:18" x14ac:dyDescent="0.25">
      <c r="A38" s="71" t="s">
        <v>66</v>
      </c>
      <c r="C38" s="74">
        <v>60782.23</v>
      </c>
      <c r="D38" s="74">
        <v>60376.480000000003</v>
      </c>
      <c r="E38" s="74">
        <v>64142.700000000004</v>
      </c>
      <c r="F38" s="74">
        <v>59677.19</v>
      </c>
      <c r="G38" s="74">
        <v>59495.049999999996</v>
      </c>
      <c r="H38" s="74">
        <v>65235.700000000004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369709.35000000003</v>
      </c>
      <c r="P38" s="86"/>
    </row>
    <row r="39" spans="1:18" x14ac:dyDescent="0.25">
      <c r="A39" s="71" t="s">
        <v>67</v>
      </c>
      <c r="C39" s="74">
        <v>46575.880000000005</v>
      </c>
      <c r="D39" s="74">
        <v>58381.600000000006</v>
      </c>
      <c r="E39" s="74">
        <v>46065.409999999996</v>
      </c>
      <c r="F39" s="74">
        <v>43899.03</v>
      </c>
      <c r="G39" s="74">
        <v>49643.82</v>
      </c>
      <c r="H39" s="74">
        <v>49004.65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293570.39</v>
      </c>
      <c r="P39" s="86"/>
    </row>
    <row r="40" spans="1:18" ht="18.75" thickBot="1" x14ac:dyDescent="0.3">
      <c r="A40" s="71" t="s">
        <v>68</v>
      </c>
      <c r="C40" s="80">
        <v>286636.17000000004</v>
      </c>
      <c r="D40" s="80">
        <v>283188.36</v>
      </c>
      <c r="E40" s="80">
        <v>293005.13</v>
      </c>
      <c r="F40" s="80">
        <v>273796.33999999997</v>
      </c>
      <c r="G40" s="80">
        <v>283108.76999999996</v>
      </c>
      <c r="H40" s="80">
        <v>297110.56000000006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1716845.33</v>
      </c>
      <c r="P40" s="86">
        <v>1716845.33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-11752.850000000093</v>
      </c>
      <c r="D41" s="81">
        <v>-24333.719999999972</v>
      </c>
      <c r="E41" s="81">
        <v>-20160.010000000009</v>
      </c>
      <c r="F41" s="81">
        <v>-18457.569999999949</v>
      </c>
      <c r="G41" s="81">
        <v>-17430.399999999907</v>
      </c>
      <c r="H41" s="81">
        <v>-39027.390000000072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-131161.94000000018</v>
      </c>
      <c r="P41" s="86">
        <v>-131161.94000000018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46447.719999999914</v>
      </c>
      <c r="D43" s="74">
        <v>43539.750000000029</v>
      </c>
      <c r="E43" s="74">
        <v>36103.029999999984</v>
      </c>
      <c r="F43" s="74">
        <v>35381.970000000052</v>
      </c>
      <c r="G43" s="74">
        <v>42018.640000000094</v>
      </c>
      <c r="H43" s="76">
        <v>20556.659999999923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224047.76999999984</v>
      </c>
      <c r="P43" s="71">
        <v>224047.76999999984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508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103"/>
      <c r="D47" s="10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130202.06</v>
      </c>
      <c r="D50" s="74">
        <v>124352.16</v>
      </c>
      <c r="E50" s="74">
        <v>152431.67999999999</v>
      </c>
      <c r="F50" s="74">
        <v>126357.84</v>
      </c>
      <c r="G50" s="74">
        <v>129533.5</v>
      </c>
      <c r="H50" s="74">
        <v>119672.24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782549.48</v>
      </c>
    </row>
    <row r="51" spans="1:15" x14ac:dyDescent="0.25">
      <c r="A51" s="71" t="s">
        <v>73</v>
      </c>
      <c r="B51" s="82"/>
      <c r="C51" s="74">
        <v>485.74</v>
      </c>
      <c r="D51" s="74">
        <v>281.37</v>
      </c>
      <c r="E51" s="74">
        <v>304.04000000000002</v>
      </c>
      <c r="F51" s="74">
        <v>290.7</v>
      </c>
      <c r="G51" s="74">
        <v>10.06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1371.91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1644</v>
      </c>
      <c r="E59" s="74">
        <v>-1644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29600</v>
      </c>
      <c r="D63" s="74">
        <v>17600</v>
      </c>
      <c r="E63" s="74">
        <v>23200</v>
      </c>
      <c r="F63" s="74">
        <v>12000</v>
      </c>
      <c r="G63" s="74">
        <v>14800</v>
      </c>
      <c r="H63" s="74">
        <v>14400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111600</v>
      </c>
    </row>
    <row r="64" spans="1:15" x14ac:dyDescent="0.25">
      <c r="A64" s="71" t="s">
        <v>86</v>
      </c>
      <c r="B64" s="82"/>
      <c r="C64" s="74">
        <v>1107.6099999999999</v>
      </c>
      <c r="D64" s="74">
        <v>1985.66</v>
      </c>
      <c r="E64" s="74">
        <v>4161.09</v>
      </c>
      <c r="F64" s="74">
        <v>1023.16</v>
      </c>
      <c r="G64" s="74">
        <v>2887.72</v>
      </c>
      <c r="H64" s="74">
        <v>-6781.03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4384.21</v>
      </c>
    </row>
    <row r="65" spans="1:15" x14ac:dyDescent="0.25">
      <c r="A65" s="71" t="s">
        <v>87</v>
      </c>
      <c r="B65" s="82"/>
      <c r="C65" s="74">
        <v>4185.82</v>
      </c>
      <c r="D65" s="74">
        <v>3527.12</v>
      </c>
      <c r="E65" s="74">
        <v>5251.22</v>
      </c>
      <c r="F65" s="74">
        <v>2820.66</v>
      </c>
      <c r="G65" s="74">
        <v>3090.8</v>
      </c>
      <c r="H65" s="74">
        <v>2679.3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21554.92</v>
      </c>
    </row>
    <row r="66" spans="1:15" x14ac:dyDescent="0.25">
      <c r="A66" s="71" t="s">
        <v>88</v>
      </c>
      <c r="B66" s="82"/>
      <c r="C66" s="74">
        <v>5929.21</v>
      </c>
      <c r="D66" s="74">
        <v>3640.98</v>
      </c>
      <c r="E66" s="74">
        <v>5734.85</v>
      </c>
      <c r="F66" s="74">
        <v>3702.65</v>
      </c>
      <c r="G66" s="74">
        <v>3764.57</v>
      </c>
      <c r="H66" s="74">
        <v>2626.91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25399.170000000002</v>
      </c>
    </row>
    <row r="67" spans="1:15" x14ac:dyDescent="0.25">
      <c r="A67" s="71" t="s">
        <v>89</v>
      </c>
      <c r="B67" s="82"/>
      <c r="C67" s="74">
        <v>2522.83</v>
      </c>
      <c r="D67" s="74">
        <v>1428.44</v>
      </c>
      <c r="E67" s="74">
        <v>3147.61</v>
      </c>
      <c r="F67" s="74">
        <v>1538.32</v>
      </c>
      <c r="G67" s="74">
        <v>879.04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9516.2400000000016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1810.94</v>
      </c>
      <c r="D69" s="74">
        <v>2593.25</v>
      </c>
      <c r="E69" s="74">
        <v>1827.35</v>
      </c>
      <c r="F69" s="74">
        <v>258.33</v>
      </c>
      <c r="G69" s="74">
        <v>4008.7</v>
      </c>
      <c r="H69" s="74">
        <v>1786.07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12284.64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369.39</v>
      </c>
      <c r="D72" s="74">
        <v>0</v>
      </c>
      <c r="E72" s="74">
        <v>42.14</v>
      </c>
      <c r="F72" s="74">
        <v>0</v>
      </c>
      <c r="G72" s="74">
        <v>285.2</v>
      </c>
      <c r="H72" s="74">
        <v>522.51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1219.24</v>
      </c>
    </row>
    <row r="73" spans="1:15" x14ac:dyDescent="0.25">
      <c r="A73" s="71" t="s">
        <v>95</v>
      </c>
      <c r="B73" s="82"/>
      <c r="C73" s="74">
        <v>216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216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99</v>
      </c>
      <c r="B78" s="82"/>
      <c r="C78" s="74">
        <v>-15034.19</v>
      </c>
      <c r="D78" s="74">
        <v>-11189.79</v>
      </c>
      <c r="E78" s="74">
        <v>-16003.17</v>
      </c>
      <c r="F78" s="74">
        <v>-8319.9599999999991</v>
      </c>
      <c r="G78" s="74">
        <v>-12028.31</v>
      </c>
      <c r="H78" s="74">
        <v>-7614.79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-70190.209999999992</v>
      </c>
    </row>
    <row r="79" spans="1:15" x14ac:dyDescent="0.25">
      <c r="A79" s="71" t="s">
        <v>100</v>
      </c>
      <c r="B79" s="82"/>
      <c r="C79" s="74">
        <v>0.61</v>
      </c>
      <c r="D79" s="74">
        <v>0.76</v>
      </c>
      <c r="E79" s="74">
        <v>0.24</v>
      </c>
      <c r="F79" s="74">
        <v>2468.06</v>
      </c>
      <c r="G79" s="74">
        <v>931.95</v>
      </c>
      <c r="H79" s="74">
        <v>-7.0000000000000007E-2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3401.5499999999997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-164.79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-164.79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35216</v>
      </c>
      <c r="D82" s="74">
        <v>34652</v>
      </c>
      <c r="E82" s="74">
        <v>44426</v>
      </c>
      <c r="F82" s="74">
        <v>46136</v>
      </c>
      <c r="G82" s="74">
        <v>1989</v>
      </c>
      <c r="H82" s="74">
        <v>47688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210107</v>
      </c>
    </row>
    <row r="83" spans="1:15" x14ac:dyDescent="0.25">
      <c r="A83" s="71" t="s">
        <v>103</v>
      </c>
      <c r="B83" s="82"/>
      <c r="C83" s="74">
        <v>15117.03</v>
      </c>
      <c r="D83" s="74">
        <v>26215.63</v>
      </c>
      <c r="E83" s="74">
        <v>18724.37</v>
      </c>
      <c r="F83" s="74">
        <v>18376.61</v>
      </c>
      <c r="G83" s="74">
        <v>13101.97</v>
      </c>
      <c r="H83" s="74">
        <v>19722.349999999999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111257.95999999999</v>
      </c>
    </row>
    <row r="84" spans="1:15" x14ac:dyDescent="0.25">
      <c r="A84" s="71" t="s">
        <v>481</v>
      </c>
      <c r="B84" s="82"/>
      <c r="C84" s="74">
        <v>-16227.35</v>
      </c>
      <c r="D84" s="74">
        <v>-19195.03</v>
      </c>
      <c r="E84" s="74">
        <v>-26310.37</v>
      </c>
      <c r="F84" s="74">
        <v>-20374.5</v>
      </c>
      <c r="G84" s="74">
        <v>-19608.07</v>
      </c>
      <c r="H84" s="74">
        <v>-16781.14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-118496.46</v>
      </c>
    </row>
    <row r="85" spans="1:15" x14ac:dyDescent="0.25">
      <c r="A85" s="71" t="s">
        <v>482</v>
      </c>
      <c r="B85" s="82"/>
      <c r="C85" s="74">
        <v>1085.1099999999999</v>
      </c>
      <c r="D85" s="74">
        <v>2004.54</v>
      </c>
      <c r="E85" s="74">
        <v>2360.5500000000002</v>
      </c>
      <c r="F85" s="74">
        <v>1565.02</v>
      </c>
      <c r="G85" s="74">
        <v>1419.66</v>
      </c>
      <c r="H85" s="74">
        <v>354.15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8789.0299999999988</v>
      </c>
    </row>
    <row r="86" spans="1:15" x14ac:dyDescent="0.25">
      <c r="A86" s="71" t="s">
        <v>483</v>
      </c>
      <c r="B86" s="82"/>
      <c r="C86" s="74">
        <v>-3710</v>
      </c>
      <c r="D86" s="74">
        <v>6890</v>
      </c>
      <c r="E86" s="74">
        <v>6890</v>
      </c>
      <c r="F86" s="74">
        <v>6890</v>
      </c>
      <c r="G86" s="74">
        <v>5260</v>
      </c>
      <c r="H86" s="74">
        <v>8480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30700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8.23</v>
      </c>
      <c r="D88" s="74">
        <v>0</v>
      </c>
      <c r="E88" s="74">
        <v>341.42</v>
      </c>
      <c r="F88" s="74">
        <v>0</v>
      </c>
      <c r="G88" s="74">
        <v>19.8</v>
      </c>
      <c r="H88" s="74">
        <v>81.84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451.29000000000008</v>
      </c>
    </row>
    <row r="89" spans="1:15" x14ac:dyDescent="0.25">
      <c r="A89" s="71" t="s">
        <v>485</v>
      </c>
      <c r="B89" s="82"/>
      <c r="C89" s="74">
        <v>0</v>
      </c>
      <c r="D89" s="74">
        <v>108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108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71517.7</v>
      </c>
      <c r="D95" s="74">
        <v>50305.88</v>
      </c>
      <c r="E95" s="74">
        <v>39146.86</v>
      </c>
      <c r="F95" s="74">
        <v>50118.54</v>
      </c>
      <c r="G95" s="74">
        <v>100470.76</v>
      </c>
      <c r="H95" s="74">
        <v>57630.54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369190.27999999997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2440.3000000000002</v>
      </c>
      <c r="D97" s="74">
        <v>0</v>
      </c>
      <c r="E97" s="74">
        <v>2820</v>
      </c>
      <c r="F97" s="74">
        <v>-1599.85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3660.4500000000003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266843.03999999992</v>
      </c>
      <c r="D111" s="74">
        <v>246844.97000000003</v>
      </c>
      <c r="E111" s="74">
        <v>266851.88</v>
      </c>
      <c r="F111" s="74">
        <v>243251.58</v>
      </c>
      <c r="G111" s="74">
        <v>250816.35000000003</v>
      </c>
      <c r="H111" s="74">
        <v>244302.09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1518909.9100000001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0</v>
      </c>
      <c r="D114" s="74">
        <v>0</v>
      </c>
      <c r="E114" s="74">
        <v>226.47</v>
      </c>
      <c r="F114" s="74">
        <v>1466.38</v>
      </c>
      <c r="G114" s="74">
        <v>2122.6999999999998</v>
      </c>
      <c r="H114" s="74">
        <v>2996.64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6812.1900000000005</v>
      </c>
    </row>
    <row r="115" spans="1:15" x14ac:dyDescent="0.25">
      <c r="A115" s="71" t="s">
        <v>130</v>
      </c>
      <c r="B115" s="74"/>
      <c r="C115" s="74">
        <v>949.48</v>
      </c>
      <c r="D115" s="74">
        <v>0</v>
      </c>
      <c r="E115" s="74">
        <v>282.56</v>
      </c>
      <c r="F115" s="74">
        <v>1547.94</v>
      </c>
      <c r="G115" s="74">
        <v>2123.92</v>
      </c>
      <c r="H115" s="74">
        <v>2395.66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7299.5599999999995</v>
      </c>
    </row>
    <row r="116" spans="1:15" x14ac:dyDescent="0.25">
      <c r="A116" s="71" t="s">
        <v>131</v>
      </c>
      <c r="B116" s="74"/>
      <c r="C116" s="74">
        <v>109.88</v>
      </c>
      <c r="D116" s="74">
        <v>0</v>
      </c>
      <c r="E116" s="74">
        <v>0</v>
      </c>
      <c r="F116" s="74">
        <v>1753.67</v>
      </c>
      <c r="G116" s="74">
        <v>1538.32</v>
      </c>
      <c r="H116" s="74">
        <v>2412.9499999999998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5814.82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-453.14</v>
      </c>
      <c r="D122" s="74">
        <v>0</v>
      </c>
      <c r="E122" s="74">
        <v>-208.88</v>
      </c>
      <c r="F122" s="74">
        <v>-2158.2199999999998</v>
      </c>
      <c r="G122" s="74">
        <v>-2702.34</v>
      </c>
      <c r="H122" s="74">
        <v>-3650.2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-9172.7799999999988</v>
      </c>
    </row>
    <row r="123" spans="1:15" x14ac:dyDescent="0.25">
      <c r="A123" s="71" t="s">
        <v>136</v>
      </c>
      <c r="B123" s="74"/>
      <c r="C123" s="74">
        <v>0.01</v>
      </c>
      <c r="D123" s="74">
        <v>-63.95</v>
      </c>
      <c r="E123" s="74">
        <v>0</v>
      </c>
      <c r="F123" s="74">
        <v>3.2</v>
      </c>
      <c r="G123" s="74">
        <v>-0.01</v>
      </c>
      <c r="H123" s="74">
        <v>-10.01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-70.760000000000005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-20.55</v>
      </c>
      <c r="H124" s="74">
        <v>-24.25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-44.8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852.38</v>
      </c>
      <c r="D126" s="74">
        <v>1568.65</v>
      </c>
      <c r="E126" s="74">
        <v>3531.38</v>
      </c>
      <c r="F126" s="74">
        <v>1681.46</v>
      </c>
      <c r="G126" s="74">
        <v>1866.28</v>
      </c>
      <c r="H126" s="74">
        <v>877.09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10377.24</v>
      </c>
    </row>
    <row r="127" spans="1:15" x14ac:dyDescent="0.25">
      <c r="A127" s="71" t="s">
        <v>489</v>
      </c>
      <c r="B127" s="74"/>
      <c r="C127" s="74">
        <v>928.3</v>
      </c>
      <c r="D127" s="74">
        <v>1459.13</v>
      </c>
      <c r="E127" s="74">
        <v>3271.17</v>
      </c>
      <c r="F127" s="74">
        <v>41.91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5700.51</v>
      </c>
    </row>
    <row r="128" spans="1:15" x14ac:dyDescent="0.25">
      <c r="A128" s="71" t="s">
        <v>490</v>
      </c>
      <c r="B128" s="74"/>
      <c r="C128" s="74">
        <v>606.25</v>
      </c>
      <c r="D128" s="74">
        <v>0</v>
      </c>
      <c r="E128" s="74">
        <v>446.58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1052.83</v>
      </c>
    </row>
    <row r="129" spans="1:16" x14ac:dyDescent="0.25">
      <c r="A129" s="71" t="s">
        <v>491</v>
      </c>
      <c r="B129" s="74"/>
      <c r="C129" s="74">
        <v>-2004.12</v>
      </c>
      <c r="D129" s="74">
        <v>-1553.84</v>
      </c>
      <c r="E129" s="74">
        <v>-1549.15</v>
      </c>
      <c r="F129" s="74">
        <v>-4118.8500000000004</v>
      </c>
      <c r="G129" s="74">
        <v>-1447.17</v>
      </c>
      <c r="H129" s="74">
        <v>44.48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-10628.650000000001</v>
      </c>
    </row>
    <row r="130" spans="1:16" x14ac:dyDescent="0.25">
      <c r="A130" s="71" t="s">
        <v>139</v>
      </c>
      <c r="B130" s="74"/>
      <c r="C130" s="74">
        <v>4859.09</v>
      </c>
      <c r="D130" s="74">
        <v>7488.77</v>
      </c>
      <c r="E130" s="74">
        <v>8740.06</v>
      </c>
      <c r="F130" s="74">
        <v>7824.97</v>
      </c>
      <c r="G130" s="74">
        <v>8201.23</v>
      </c>
      <c r="H130" s="74">
        <v>7057.47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44171.59</v>
      </c>
    </row>
    <row r="131" spans="1:16" x14ac:dyDescent="0.25">
      <c r="A131" s="71" t="s">
        <v>140</v>
      </c>
      <c r="C131" s="83">
        <v>6238.69</v>
      </c>
      <c r="D131" s="83">
        <v>7757.27</v>
      </c>
      <c r="E131" s="83">
        <v>11355.09</v>
      </c>
      <c r="F131" s="83">
        <v>8978.2099999999991</v>
      </c>
      <c r="G131" s="83">
        <v>7573.51</v>
      </c>
      <c r="H131" s="83">
        <v>7285.95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49188.719999999994</v>
      </c>
      <c r="P131" s="86"/>
    </row>
    <row r="132" spans="1:16" x14ac:dyDescent="0.25">
      <c r="A132" s="71" t="s">
        <v>141</v>
      </c>
      <c r="C132" s="74">
        <v>3224.45</v>
      </c>
      <c r="D132" s="74">
        <v>2552.63</v>
      </c>
      <c r="E132" s="74">
        <v>2108.8000000000002</v>
      </c>
      <c r="F132" s="74">
        <v>2261.5100000000002</v>
      </c>
      <c r="G132" s="74">
        <v>2845.12</v>
      </c>
      <c r="H132" s="74">
        <v>1329.93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14322.439999999999</v>
      </c>
    </row>
    <row r="133" spans="1:16" x14ac:dyDescent="0.25">
      <c r="A133" s="71" t="s">
        <v>142</v>
      </c>
      <c r="C133" s="74">
        <v>15311.27</v>
      </c>
      <c r="D133" s="74">
        <v>19208.66</v>
      </c>
      <c r="E133" s="74">
        <v>28204.079999999998</v>
      </c>
      <c r="F133" s="74">
        <v>19282.18</v>
      </c>
      <c r="G133" s="74">
        <v>22101.01</v>
      </c>
      <c r="H133" s="74">
        <v>20715.71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124822.91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88</v>
      </c>
      <c r="D138" s="74">
        <v>160</v>
      </c>
      <c r="E138" s="74">
        <v>120</v>
      </c>
      <c r="F138" s="74">
        <v>164</v>
      </c>
      <c r="G138" s="74">
        <v>120</v>
      </c>
      <c r="H138" s="74">
        <v>152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804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272.36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272.36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-7358.99</v>
      </c>
      <c r="D142" s="74">
        <v>-7358.99</v>
      </c>
      <c r="E142" s="74">
        <v>-7358.99</v>
      </c>
      <c r="F142" s="74">
        <v>-7358.99</v>
      </c>
      <c r="G142" s="74">
        <v>-7358.99</v>
      </c>
      <c r="H142" s="74">
        <v>-7358.99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-44153.939999999995</v>
      </c>
    </row>
    <row r="143" spans="1:16" x14ac:dyDescent="0.25">
      <c r="A143" s="71" t="s">
        <v>492</v>
      </c>
      <c r="B143" s="74"/>
      <c r="C143" s="74">
        <v>0</v>
      </c>
      <c r="D143" s="74">
        <v>0</v>
      </c>
      <c r="E143" s="74">
        <v>-14971.85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-14971.85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-7270.99</v>
      </c>
      <c r="D148" s="81">
        <v>-7198.99</v>
      </c>
      <c r="E148" s="81">
        <v>-22210.84</v>
      </c>
      <c r="F148" s="81">
        <v>-7194.99</v>
      </c>
      <c r="G148" s="81">
        <v>-7238.99</v>
      </c>
      <c r="H148" s="81">
        <v>-6934.63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-58049.429999999993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274883.31999999995</v>
      </c>
      <c r="D150" s="74">
        <v>258854.64000000004</v>
      </c>
      <c r="E150" s="74">
        <v>272845.12</v>
      </c>
      <c r="F150" s="74">
        <v>255338.77</v>
      </c>
      <c r="G150" s="74">
        <v>265678.37000000005</v>
      </c>
      <c r="H150" s="76">
        <v>258083.16999999998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1585683.3900000001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508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1500</v>
      </c>
      <c r="D157" s="74">
        <v>1500</v>
      </c>
      <c r="E157" s="74">
        <v>1500</v>
      </c>
      <c r="F157" s="74">
        <v>1500</v>
      </c>
      <c r="G157" s="74">
        <v>1500</v>
      </c>
      <c r="H157" s="74">
        <v>1500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9000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402.5</v>
      </c>
      <c r="D162" s="74">
        <v>385</v>
      </c>
      <c r="E162" s="74">
        <v>455</v>
      </c>
      <c r="F162" s="74">
        <v>350</v>
      </c>
      <c r="G162" s="74">
        <v>367.5</v>
      </c>
      <c r="H162" s="74">
        <v>460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2420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2336.7399999999998</v>
      </c>
      <c r="D167" s="74">
        <v>2340.89</v>
      </c>
      <c r="E167" s="74">
        <v>1823</v>
      </c>
      <c r="F167" s="74">
        <v>2008.98</v>
      </c>
      <c r="G167" s="74">
        <v>2311.9899999999998</v>
      </c>
      <c r="H167" s="74">
        <v>2059.7399999999998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12881.339999999998</v>
      </c>
    </row>
    <row r="168" spans="1:15" x14ac:dyDescent="0.25">
      <c r="A168" s="71" t="s">
        <v>168</v>
      </c>
      <c r="B168" s="74"/>
      <c r="C168" s="74">
        <v>81.260000000000005</v>
      </c>
      <c r="D168" s="74">
        <v>83.93</v>
      </c>
      <c r="E168" s="74">
        <v>18.190000000000001</v>
      </c>
      <c r="F168" s="74">
        <v>96.26</v>
      </c>
      <c r="G168" s="74">
        <v>91.39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371.03</v>
      </c>
    </row>
    <row r="169" spans="1:15" x14ac:dyDescent="0.25">
      <c r="A169" s="71" t="s">
        <v>169</v>
      </c>
      <c r="B169" s="74"/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720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720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120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120</v>
      </c>
    </row>
    <row r="176" spans="1:15" x14ac:dyDescent="0.25">
      <c r="A176" s="71" t="s">
        <v>176</v>
      </c>
      <c r="B176" s="74"/>
      <c r="C176" s="74">
        <v>51.29</v>
      </c>
      <c r="D176" s="74">
        <v>51.29</v>
      </c>
      <c r="E176" s="74">
        <v>51.29</v>
      </c>
      <c r="F176" s="74">
        <v>51.29</v>
      </c>
      <c r="G176" s="74">
        <v>51.29</v>
      </c>
      <c r="H176" s="74">
        <v>51.29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307.74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2016.99</v>
      </c>
      <c r="D178" s="74">
        <v>243.75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2260.7399999999998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5">
      <c r="A186" s="71" t="s">
        <v>186</v>
      </c>
      <c r="B186" s="74"/>
      <c r="C186" s="74">
        <v>0</v>
      </c>
      <c r="D186" s="74">
        <v>-30.84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-30.84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6146.64</v>
      </c>
      <c r="D188" s="74">
        <v>6146.64</v>
      </c>
      <c r="E188" s="74">
        <v>6146.64</v>
      </c>
      <c r="F188" s="74">
        <v>5900.25</v>
      </c>
      <c r="G188" s="74">
        <v>6500.24</v>
      </c>
      <c r="H188" s="74">
        <v>6500.24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37340.65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5022.17</v>
      </c>
      <c r="D190" s="74">
        <v>4304.7</v>
      </c>
      <c r="E190" s="74">
        <v>4017.55</v>
      </c>
      <c r="F190" s="74">
        <v>4458.46</v>
      </c>
      <c r="G190" s="74">
        <v>5254.56</v>
      </c>
      <c r="H190" s="74">
        <v>5708.46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28765.899999999998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11454.4</v>
      </c>
      <c r="D192" s="74">
        <v>8538.7999999999993</v>
      </c>
      <c r="E192" s="74">
        <v>7358.68</v>
      </c>
      <c r="F192" s="74">
        <v>9417.61</v>
      </c>
      <c r="G192" s="74">
        <v>11701.66</v>
      </c>
      <c r="H192" s="74">
        <v>12591.79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61062.939999999995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14538.23</v>
      </c>
      <c r="D194" s="74">
        <v>15558.63</v>
      </c>
      <c r="E194" s="74">
        <v>22689.05</v>
      </c>
      <c r="F194" s="74">
        <v>21877.91</v>
      </c>
      <c r="G194" s="74">
        <v>20053.55</v>
      </c>
      <c r="H194" s="74">
        <v>19602.07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114319.44</v>
      </c>
    </row>
    <row r="195" spans="1:15" x14ac:dyDescent="0.25">
      <c r="A195" s="71" t="s">
        <v>495</v>
      </c>
      <c r="B195" s="74"/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5">
      <c r="A196" s="71" t="s">
        <v>194</v>
      </c>
      <c r="B196" s="74"/>
      <c r="C196" s="74">
        <v>37950.660000000003</v>
      </c>
      <c r="D196" s="74">
        <v>34619.919999999998</v>
      </c>
      <c r="E196" s="74">
        <v>39155.910000000003</v>
      </c>
      <c r="F196" s="74">
        <v>38912.57</v>
      </c>
      <c r="G196" s="74">
        <v>34149.81</v>
      </c>
      <c r="H196" s="74">
        <v>33431.43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218220.3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13060.6</v>
      </c>
      <c r="D200" s="74">
        <v>11146.19</v>
      </c>
      <c r="E200" s="74">
        <v>9778.6200000000008</v>
      </c>
      <c r="F200" s="74">
        <v>9480.8700000000008</v>
      </c>
      <c r="G200" s="74">
        <v>9705.23</v>
      </c>
      <c r="H200" s="74">
        <v>10981.9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64153.410000000011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2858.62</v>
      </c>
      <c r="D204" s="74">
        <v>356.97</v>
      </c>
      <c r="E204" s="74">
        <v>1046.05</v>
      </c>
      <c r="F204" s="74">
        <v>1100.57</v>
      </c>
      <c r="G204" s="74">
        <v>276.83</v>
      </c>
      <c r="H204" s="74">
        <v>2809.94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8448.98</v>
      </c>
    </row>
    <row r="205" spans="1:15" x14ac:dyDescent="0.25">
      <c r="A205" s="71" t="s">
        <v>201</v>
      </c>
      <c r="B205" s="74"/>
      <c r="C205" s="74">
        <v>2149.85</v>
      </c>
      <c r="D205" s="74">
        <v>1370.06</v>
      </c>
      <c r="E205" s="74">
        <v>783.1</v>
      </c>
      <c r="F205" s="74">
        <v>1035.3900000000001</v>
      </c>
      <c r="G205" s="74">
        <v>188.2</v>
      </c>
      <c r="H205" s="74">
        <v>1277.3499999999999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6803.9500000000007</v>
      </c>
    </row>
    <row r="206" spans="1:15" x14ac:dyDescent="0.25">
      <c r="A206" s="71" t="s">
        <v>202</v>
      </c>
      <c r="B206" s="74"/>
      <c r="C206" s="74">
        <v>396.58</v>
      </c>
      <c r="D206" s="74">
        <v>761.14</v>
      </c>
      <c r="E206" s="74">
        <v>147</v>
      </c>
      <c r="F206" s="74">
        <v>35.25</v>
      </c>
      <c r="G206" s="74">
        <v>147.35</v>
      </c>
      <c r="H206" s="74">
        <v>519.85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2007.17</v>
      </c>
    </row>
    <row r="207" spans="1:15" x14ac:dyDescent="0.25">
      <c r="A207" s="71" t="s">
        <v>203</v>
      </c>
      <c r="B207" s="74"/>
      <c r="C207" s="74">
        <v>176.23</v>
      </c>
      <c r="D207" s="74">
        <v>113.04</v>
      </c>
      <c r="E207" s="74">
        <v>121</v>
      </c>
      <c r="F207" s="74">
        <v>28.1</v>
      </c>
      <c r="G207" s="74">
        <v>4.88</v>
      </c>
      <c r="H207" s="74">
        <v>143.55000000000001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586.79999999999995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1190.3499999999999</v>
      </c>
      <c r="D209" s="74">
        <v>162.19999999999999</v>
      </c>
      <c r="E209" s="74">
        <v>664.97</v>
      </c>
      <c r="F209" s="74">
        <v>252.97</v>
      </c>
      <c r="G209" s="74">
        <v>810.75</v>
      </c>
      <c r="H209" s="74">
        <v>1981.03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5062.2699999999995</v>
      </c>
    </row>
    <row r="210" spans="1:15" x14ac:dyDescent="0.25">
      <c r="A210" s="71" t="s">
        <v>206</v>
      </c>
      <c r="B210" s="74"/>
      <c r="C210" s="74">
        <v>22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22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1055.43</v>
      </c>
      <c r="D212" s="74">
        <v>902.36</v>
      </c>
      <c r="E212" s="74">
        <v>562.62</v>
      </c>
      <c r="F212" s="74">
        <v>851.84</v>
      </c>
      <c r="G212" s="74">
        <v>238.81</v>
      </c>
      <c r="H212" s="74">
        <v>1843.67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5454.73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0</v>
      </c>
      <c r="F213" s="74">
        <v>313.67</v>
      </c>
      <c r="G213" s="74">
        <v>0</v>
      </c>
      <c r="H213" s="74">
        <v>157.91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471.58000000000004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1207.3</v>
      </c>
      <c r="D215" s="74">
        <v>1728.84</v>
      </c>
      <c r="E215" s="74">
        <v>1556.43</v>
      </c>
      <c r="F215" s="74">
        <v>1043.3499999999999</v>
      </c>
      <c r="G215" s="74">
        <v>946.44</v>
      </c>
      <c r="H215" s="74">
        <v>230.2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6712.56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0</v>
      </c>
      <c r="D221" s="74">
        <v>0</v>
      </c>
      <c r="E221" s="74">
        <v>1753.82</v>
      </c>
      <c r="F221" s="74">
        <v>836</v>
      </c>
      <c r="G221" s="74">
        <v>184</v>
      </c>
      <c r="H221" s="74">
        <v>920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3693.8199999999997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1455</v>
      </c>
      <c r="D225" s="74">
        <v>0</v>
      </c>
      <c r="E225" s="74">
        <v>0</v>
      </c>
      <c r="F225" s="74">
        <v>150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1605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2009.24</v>
      </c>
      <c r="D227" s="74">
        <v>2105.5100000000002</v>
      </c>
      <c r="E227" s="74">
        <v>2114.63</v>
      </c>
      <c r="F227" s="74">
        <v>-121.33</v>
      </c>
      <c r="G227" s="74">
        <v>3317.31</v>
      </c>
      <c r="H227" s="74">
        <v>2315.67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11741.03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283.85000000000002</v>
      </c>
      <c r="D229" s="74">
        <v>26.2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310.05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107365.93000000002</v>
      </c>
      <c r="D244" s="74">
        <v>92415.219999999972</v>
      </c>
      <c r="E244" s="74">
        <v>102463.55</v>
      </c>
      <c r="F244" s="74">
        <v>99700.010000000009</v>
      </c>
      <c r="G244" s="74">
        <v>97801.79</v>
      </c>
      <c r="H244" s="74">
        <v>105086.09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604832.59000000008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12720.39</v>
      </c>
      <c r="D247" s="74">
        <v>11805.54</v>
      </c>
      <c r="E247" s="74">
        <v>13606.55</v>
      </c>
      <c r="F247" s="74">
        <v>12328.25</v>
      </c>
      <c r="G247" s="74">
        <v>12556.5</v>
      </c>
      <c r="H247" s="74">
        <v>11671.36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74688.59</v>
      </c>
    </row>
    <row r="248" spans="1:16" x14ac:dyDescent="0.25">
      <c r="A248" s="71" t="s">
        <v>243</v>
      </c>
      <c r="B248" s="74"/>
      <c r="C248" s="74">
        <v>419.15</v>
      </c>
      <c r="D248" s="74">
        <v>502.8</v>
      </c>
      <c r="E248" s="74">
        <v>645.70000000000005</v>
      </c>
      <c r="F248" s="74">
        <v>532.79999999999995</v>
      </c>
      <c r="G248" s="74">
        <v>478.8</v>
      </c>
      <c r="H248" s="74">
        <v>586.79999999999995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3166.05</v>
      </c>
    </row>
    <row r="249" spans="1:16" x14ac:dyDescent="0.25">
      <c r="A249" s="71" t="s">
        <v>244</v>
      </c>
      <c r="B249" s="74"/>
      <c r="C249" s="74">
        <v>1390.11</v>
      </c>
      <c r="D249" s="74">
        <v>1359.64</v>
      </c>
      <c r="E249" s="74">
        <v>1015.3</v>
      </c>
      <c r="F249" s="74">
        <v>34.29</v>
      </c>
      <c r="G249" s="74">
        <v>806.46</v>
      </c>
      <c r="H249" s="74">
        <v>2131.7800000000002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6737.58</v>
      </c>
    </row>
    <row r="250" spans="1:16" x14ac:dyDescent="0.25">
      <c r="A250" s="71" t="s">
        <v>245</v>
      </c>
      <c r="B250" s="74"/>
      <c r="C250" s="74">
        <v>670.24</v>
      </c>
      <c r="D250" s="74">
        <v>804.75</v>
      </c>
      <c r="E250" s="74">
        <v>493.9</v>
      </c>
      <c r="F250" s="74">
        <v>670.61</v>
      </c>
      <c r="G250" s="74">
        <v>644.38</v>
      </c>
      <c r="H250" s="74">
        <v>591.71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3875.59</v>
      </c>
    </row>
    <row r="251" spans="1:16" x14ac:dyDescent="0.25">
      <c r="A251" s="71" t="s">
        <v>246</v>
      </c>
      <c r="B251" s="74"/>
      <c r="C251" s="74">
        <v>9661.68</v>
      </c>
      <c r="D251" s="74">
        <v>9779.84</v>
      </c>
      <c r="E251" s="74">
        <v>12038.66</v>
      </c>
      <c r="F251" s="74">
        <v>10448.219999999999</v>
      </c>
      <c r="G251" s="74">
        <v>10741.09</v>
      </c>
      <c r="H251" s="74">
        <v>12786.11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65455.600000000006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494.96</v>
      </c>
      <c r="D253" s="74">
        <v>603.05999999999995</v>
      </c>
      <c r="E253" s="74">
        <v>553.03</v>
      </c>
      <c r="F253" s="74">
        <v>720.83</v>
      </c>
      <c r="G253" s="74">
        <v>405.05</v>
      </c>
      <c r="H253" s="74">
        <v>604.37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3381.3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450.4</v>
      </c>
      <c r="D257" s="74">
        <v>128</v>
      </c>
      <c r="E257" s="74">
        <v>200</v>
      </c>
      <c r="F257" s="74">
        <v>32</v>
      </c>
      <c r="G257" s="74">
        <v>640</v>
      </c>
      <c r="H257" s="74">
        <v>300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1750.4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534.79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534.79</v>
      </c>
    </row>
    <row r="260" spans="1:16" x14ac:dyDescent="0.25">
      <c r="A260" s="71" t="s">
        <v>255</v>
      </c>
      <c r="C260" s="83">
        <v>90.28</v>
      </c>
      <c r="D260" s="83">
        <v>79.16</v>
      </c>
      <c r="E260" s="83">
        <v>71.28</v>
      </c>
      <c r="F260" s="83">
        <v>71.28</v>
      </c>
      <c r="G260" s="83">
        <v>260.89</v>
      </c>
      <c r="H260" s="83">
        <v>70.88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643.77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26432</v>
      </c>
      <c r="D262" s="74">
        <v>25062.79</v>
      </c>
      <c r="E262" s="74">
        <v>28624.42</v>
      </c>
      <c r="F262" s="74">
        <v>24838.28</v>
      </c>
      <c r="G262" s="74">
        <v>26533.169999999995</v>
      </c>
      <c r="H262" s="74">
        <v>28743.010000000002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160233.66999999998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3080</v>
      </c>
      <c r="D265" s="74">
        <v>2816</v>
      </c>
      <c r="E265" s="74">
        <v>3008</v>
      </c>
      <c r="F265" s="74">
        <v>2838</v>
      </c>
      <c r="G265" s="74">
        <v>2922</v>
      </c>
      <c r="H265" s="74">
        <v>2137.5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16801.5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1192.04</v>
      </c>
      <c r="D267" s="74">
        <v>2329.42</v>
      </c>
      <c r="E267" s="74">
        <v>2920.99</v>
      </c>
      <c r="F267" s="74">
        <v>834.89</v>
      </c>
      <c r="G267" s="74">
        <v>1361.22</v>
      </c>
      <c r="H267" s="74">
        <v>1661.35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10299.91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1653.52</v>
      </c>
      <c r="D272" s="74">
        <v>2407.77</v>
      </c>
      <c r="E272" s="74">
        <v>3124.64</v>
      </c>
      <c r="F272" s="74">
        <v>1111.26</v>
      </c>
      <c r="G272" s="74">
        <v>1643.76</v>
      </c>
      <c r="H272" s="74">
        <v>1504.88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11445.830000000002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723.41</v>
      </c>
      <c r="D276" s="74">
        <v>1336.36</v>
      </c>
      <c r="E276" s="74">
        <v>1218.23</v>
      </c>
      <c r="F276" s="74">
        <v>172.22</v>
      </c>
      <c r="G276" s="74">
        <v>2672.52</v>
      </c>
      <c r="H276" s="74">
        <v>1146.6099999999999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7269.3499999999995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415.83</v>
      </c>
      <c r="D279" s="74">
        <v>742.5</v>
      </c>
      <c r="E279" s="74">
        <v>752.44</v>
      </c>
      <c r="F279" s="74">
        <v>374.29</v>
      </c>
      <c r="G279" s="74">
        <v>358.55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2643.61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0</v>
      </c>
      <c r="D283" s="74">
        <v>1470.24</v>
      </c>
      <c r="E283" s="74">
        <v>1756.4</v>
      </c>
      <c r="F283" s="74">
        <v>0</v>
      </c>
      <c r="G283" s="74">
        <v>0</v>
      </c>
      <c r="H283" s="74">
        <v>908.1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4134.7400000000007</v>
      </c>
    </row>
    <row r="284" spans="1:15" x14ac:dyDescent="0.25">
      <c r="A284" s="71" t="s">
        <v>277</v>
      </c>
      <c r="B284" s="74"/>
      <c r="C284" s="74">
        <v>0</v>
      </c>
      <c r="D284" s="74">
        <v>360</v>
      </c>
      <c r="E284" s="74">
        <v>202.5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562.5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43.25</v>
      </c>
      <c r="E290" s="74">
        <v>359.74</v>
      </c>
      <c r="F290" s="74">
        <v>269.81</v>
      </c>
      <c r="G290" s="74">
        <v>0</v>
      </c>
      <c r="H290" s="74">
        <v>269.81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942.6099999999999</v>
      </c>
    </row>
    <row r="291" spans="1:15" x14ac:dyDescent="0.25">
      <c r="A291" s="71" t="s">
        <v>284</v>
      </c>
      <c r="B291" s="74"/>
      <c r="C291" s="74">
        <v>357.09</v>
      </c>
      <c r="D291" s="74">
        <v>1064.9100000000001</v>
      </c>
      <c r="E291" s="74">
        <v>2005.44</v>
      </c>
      <c r="F291" s="74">
        <v>1675.71</v>
      </c>
      <c r="G291" s="74">
        <v>1113.03</v>
      </c>
      <c r="H291" s="74">
        <v>1233.52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7449.6999999999989</v>
      </c>
    </row>
    <row r="292" spans="1:15" x14ac:dyDescent="0.25">
      <c r="A292" s="71" t="s">
        <v>285</v>
      </c>
      <c r="B292" s="74"/>
      <c r="C292" s="74">
        <v>334.18</v>
      </c>
      <c r="D292" s="74">
        <v>0</v>
      </c>
      <c r="E292" s="74">
        <v>208.4</v>
      </c>
      <c r="F292" s="74">
        <v>1431.7</v>
      </c>
      <c r="G292" s="74">
        <v>1159.3800000000001</v>
      </c>
      <c r="H292" s="74">
        <v>1126.0899999999999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4259.75</v>
      </c>
    </row>
    <row r="293" spans="1:15" x14ac:dyDescent="0.25">
      <c r="A293" s="71" t="s">
        <v>286</v>
      </c>
      <c r="B293" s="74"/>
      <c r="C293" s="74">
        <v>771.15</v>
      </c>
      <c r="D293" s="74">
        <v>1008.4</v>
      </c>
      <c r="E293" s="74">
        <v>2256.59</v>
      </c>
      <c r="F293" s="74">
        <v>2079.04</v>
      </c>
      <c r="G293" s="74">
        <v>824.99</v>
      </c>
      <c r="H293" s="74">
        <v>1052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7992.17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2121.04</v>
      </c>
      <c r="D301" s="74">
        <v>1748.51</v>
      </c>
      <c r="E301" s="74">
        <v>981.97</v>
      </c>
      <c r="F301" s="74">
        <v>2435.56</v>
      </c>
      <c r="G301" s="74">
        <v>2264.31</v>
      </c>
      <c r="H301" s="74">
        <v>1974.99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11526.38</v>
      </c>
    </row>
    <row r="302" spans="1:15" x14ac:dyDescent="0.25">
      <c r="A302" s="71" t="s">
        <v>295</v>
      </c>
      <c r="B302" s="74"/>
      <c r="C302" s="74">
        <v>1066.3800000000001</v>
      </c>
      <c r="D302" s="74">
        <v>580.29</v>
      </c>
      <c r="E302" s="74">
        <v>134.58000000000001</v>
      </c>
      <c r="F302" s="74">
        <v>663.9</v>
      </c>
      <c r="G302" s="74">
        <v>725.21</v>
      </c>
      <c r="H302" s="74">
        <v>581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3751.36</v>
      </c>
    </row>
    <row r="303" spans="1:15" x14ac:dyDescent="0.25">
      <c r="A303" s="71" t="s">
        <v>296</v>
      </c>
      <c r="B303" s="74"/>
      <c r="C303" s="74">
        <v>2863.62</v>
      </c>
      <c r="D303" s="74">
        <v>1681.53</v>
      </c>
      <c r="E303" s="74">
        <v>597.84</v>
      </c>
      <c r="F303" s="74">
        <v>1984.27</v>
      </c>
      <c r="G303" s="74">
        <v>1500.7</v>
      </c>
      <c r="H303" s="74">
        <v>1440.05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10068.01</v>
      </c>
    </row>
    <row r="304" spans="1:15" x14ac:dyDescent="0.25">
      <c r="A304" s="71" t="s">
        <v>499</v>
      </c>
      <c r="B304" s="74"/>
      <c r="C304" s="74">
        <v>994.85</v>
      </c>
      <c r="D304" s="74">
        <v>772.65</v>
      </c>
      <c r="E304" s="74">
        <v>777.7</v>
      </c>
      <c r="F304" s="74">
        <v>650.44000000000005</v>
      </c>
      <c r="G304" s="74">
        <v>1628.55</v>
      </c>
      <c r="H304" s="74">
        <v>1258.46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6082.65</v>
      </c>
    </row>
    <row r="305" spans="1:16" x14ac:dyDescent="0.25">
      <c r="A305" s="71" t="s">
        <v>500</v>
      </c>
      <c r="B305" s="74"/>
      <c r="C305" s="74">
        <v>454.5</v>
      </c>
      <c r="D305" s="74">
        <v>0</v>
      </c>
      <c r="E305" s="74">
        <v>0</v>
      </c>
      <c r="F305" s="74">
        <v>0</v>
      </c>
      <c r="G305" s="74">
        <v>235.33</v>
      </c>
      <c r="H305" s="74">
        <v>75.75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765.58</v>
      </c>
    </row>
    <row r="306" spans="1:16" x14ac:dyDescent="0.25">
      <c r="A306" s="71" t="s">
        <v>501</v>
      </c>
      <c r="B306" s="74"/>
      <c r="C306" s="74">
        <v>1146.3499999999999</v>
      </c>
      <c r="D306" s="74">
        <v>712.05</v>
      </c>
      <c r="E306" s="74">
        <v>1511.97</v>
      </c>
      <c r="F306" s="74">
        <v>710.03</v>
      </c>
      <c r="G306" s="74">
        <v>2116.0500000000002</v>
      </c>
      <c r="H306" s="74">
        <v>1304.92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7501.37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30.3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30.3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17173.96</v>
      </c>
      <c r="D321" s="74">
        <v>19073.88</v>
      </c>
      <c r="E321" s="74">
        <v>21817.430000000004</v>
      </c>
      <c r="F321" s="74">
        <v>17231.12</v>
      </c>
      <c r="G321" s="74">
        <v>20555.899999999998</v>
      </c>
      <c r="H321" s="74">
        <v>17675.03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113527.31999999999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1758.9</v>
      </c>
      <c r="D324" s="74">
        <v>1488.77</v>
      </c>
      <c r="E324" s="74">
        <v>2044.83</v>
      </c>
      <c r="F324" s="74">
        <v>1765.99</v>
      </c>
      <c r="G324" s="74">
        <v>1923.95</v>
      </c>
      <c r="H324" s="74">
        <v>1694.32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10676.76</v>
      </c>
    </row>
    <row r="325" spans="1:16" x14ac:dyDescent="0.25">
      <c r="A325" s="71" t="s">
        <v>313</v>
      </c>
      <c r="B325" s="74"/>
      <c r="C325" s="74">
        <v>12.06</v>
      </c>
      <c r="D325" s="74">
        <v>0</v>
      </c>
      <c r="E325" s="74">
        <v>0</v>
      </c>
      <c r="F325" s="74">
        <v>0</v>
      </c>
      <c r="G325" s="74">
        <v>22.36</v>
      </c>
      <c r="H325" s="74">
        <v>9.65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44.07</v>
      </c>
    </row>
    <row r="326" spans="1:16" x14ac:dyDescent="0.25">
      <c r="A326" s="71" t="s">
        <v>314</v>
      </c>
      <c r="B326" s="74"/>
      <c r="C326" s="74">
        <v>491.63</v>
      </c>
      <c r="D326" s="74">
        <v>444.05</v>
      </c>
      <c r="E326" s="74">
        <v>491.63</v>
      </c>
      <c r="F326" s="74">
        <v>475.77</v>
      </c>
      <c r="G326" s="74">
        <v>491.63</v>
      </c>
      <c r="H326" s="74">
        <v>475.77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2870.48</v>
      </c>
    </row>
    <row r="327" spans="1:16" x14ac:dyDescent="0.25">
      <c r="A327" s="71" t="s">
        <v>315</v>
      </c>
      <c r="B327" s="74"/>
      <c r="C327" s="74">
        <v>313.72000000000003</v>
      </c>
      <c r="D327" s="74">
        <v>283.36</v>
      </c>
      <c r="E327" s="74">
        <v>313.72000000000003</v>
      </c>
      <c r="F327" s="74">
        <v>303.60000000000002</v>
      </c>
      <c r="G327" s="74">
        <v>313.72000000000003</v>
      </c>
      <c r="H327" s="74">
        <v>303.60000000000002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1831.7200000000003</v>
      </c>
    </row>
    <row r="328" spans="1:16" x14ac:dyDescent="0.25">
      <c r="A328" s="71" t="s">
        <v>316</v>
      </c>
      <c r="B328" s="74"/>
      <c r="C328" s="74">
        <v>458.65</v>
      </c>
      <c r="D328" s="74">
        <v>351.99</v>
      </c>
      <c r="E328" s="74">
        <v>581.38</v>
      </c>
      <c r="F328" s="74">
        <v>496.7</v>
      </c>
      <c r="G328" s="74">
        <v>476.87</v>
      </c>
      <c r="H328" s="74">
        <v>469.18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2834.77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72.900000000000006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72.900000000000006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78.98</v>
      </c>
      <c r="D335" s="74">
        <v>157.94999999999999</v>
      </c>
      <c r="E335" s="74">
        <v>0</v>
      </c>
      <c r="F335" s="74">
        <v>78.98</v>
      </c>
      <c r="G335" s="74">
        <v>48.6</v>
      </c>
      <c r="H335" s="74">
        <v>72.900000000000006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437.41000000000008</v>
      </c>
    </row>
    <row r="336" spans="1:16" x14ac:dyDescent="0.25">
      <c r="A336" s="71" t="s">
        <v>324</v>
      </c>
      <c r="C336" s="83">
        <v>0</v>
      </c>
      <c r="D336" s="83">
        <v>0</v>
      </c>
      <c r="E336" s="83">
        <v>0</v>
      </c>
      <c r="F336" s="83">
        <v>0</v>
      </c>
      <c r="G336" s="83">
        <v>10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10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3186.8400000000006</v>
      </c>
      <c r="D338" s="74">
        <v>2726.12</v>
      </c>
      <c r="E338" s="74">
        <v>3431.5600000000004</v>
      </c>
      <c r="F338" s="74">
        <v>3121.04</v>
      </c>
      <c r="G338" s="74">
        <v>3287.1299999999997</v>
      </c>
      <c r="H338" s="74">
        <v>3025.4199999999996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18778.11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7683.8</v>
      </c>
      <c r="D341" s="74">
        <v>6676.52</v>
      </c>
      <c r="E341" s="74">
        <v>6847.51</v>
      </c>
      <c r="F341" s="74">
        <v>6681.03</v>
      </c>
      <c r="G341" s="74">
        <v>8844.83</v>
      </c>
      <c r="H341" s="74">
        <v>6895.17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43628.86</v>
      </c>
    </row>
    <row r="342" spans="1:16" x14ac:dyDescent="0.25">
      <c r="A342" s="71" t="s">
        <v>329</v>
      </c>
      <c r="B342" s="74"/>
      <c r="C342" s="74">
        <v>771.86</v>
      </c>
      <c r="D342" s="74">
        <v>361.12</v>
      </c>
      <c r="E342" s="74">
        <v>970.47</v>
      </c>
      <c r="F342" s="74">
        <v>654.09</v>
      </c>
      <c r="G342" s="74">
        <v>635.91</v>
      </c>
      <c r="H342" s="74">
        <v>783.94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4177.3899999999994</v>
      </c>
    </row>
    <row r="343" spans="1:16" x14ac:dyDescent="0.25">
      <c r="A343" s="71" t="s">
        <v>330</v>
      </c>
      <c r="B343" s="74"/>
      <c r="C343" s="74">
        <v>470.58</v>
      </c>
      <c r="D343" s="74">
        <v>425.04</v>
      </c>
      <c r="E343" s="74">
        <v>470.58</v>
      </c>
      <c r="F343" s="74">
        <v>455.4</v>
      </c>
      <c r="G343" s="74">
        <v>470.58</v>
      </c>
      <c r="H343" s="74">
        <v>455.4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2747.58</v>
      </c>
    </row>
    <row r="344" spans="1:16" x14ac:dyDescent="0.25">
      <c r="A344" s="71" t="s">
        <v>331</v>
      </c>
      <c r="B344" s="74"/>
      <c r="C344" s="74">
        <v>1147.71</v>
      </c>
      <c r="D344" s="74">
        <v>105.04</v>
      </c>
      <c r="E344" s="74">
        <v>173.22</v>
      </c>
      <c r="F344" s="74">
        <v>433.83</v>
      </c>
      <c r="G344" s="74">
        <v>822.13</v>
      </c>
      <c r="H344" s="74">
        <v>423.44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3105.37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90</v>
      </c>
      <c r="D349" s="74">
        <v>589</v>
      </c>
      <c r="E349" s="74">
        <v>124</v>
      </c>
      <c r="F349" s="74">
        <v>248</v>
      </c>
      <c r="G349" s="74">
        <v>331.8</v>
      </c>
      <c r="H349" s="74">
        <v>425.25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1808.05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120</v>
      </c>
      <c r="D351" s="74">
        <v>585.04999999999995</v>
      </c>
      <c r="E351" s="74">
        <v>0</v>
      </c>
      <c r="F351" s="74">
        <v>124</v>
      </c>
      <c r="G351" s="74">
        <v>0</v>
      </c>
      <c r="H351" s="74">
        <v>124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953.05</v>
      </c>
    </row>
    <row r="352" spans="1:16" x14ac:dyDescent="0.25">
      <c r="A352" s="71" t="s">
        <v>339</v>
      </c>
      <c r="C352" s="83">
        <v>448.14</v>
      </c>
      <c r="D352" s="83">
        <v>448.14</v>
      </c>
      <c r="E352" s="83">
        <v>-51.86</v>
      </c>
      <c r="F352" s="83">
        <v>503.24</v>
      </c>
      <c r="G352" s="83">
        <v>571.22</v>
      </c>
      <c r="H352" s="83">
        <v>495.96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2414.8399999999997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10732.09</v>
      </c>
      <c r="D354" s="74">
        <v>9189.91</v>
      </c>
      <c r="E354" s="74">
        <v>8533.92</v>
      </c>
      <c r="F354" s="74">
        <v>9099.59</v>
      </c>
      <c r="G354" s="74">
        <v>11676.469999999998</v>
      </c>
      <c r="H354" s="74">
        <v>9603.16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58835.140000000007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2846.31</v>
      </c>
      <c r="D358" s="74">
        <v>2490.3000000000002</v>
      </c>
      <c r="E358" s="74">
        <v>3003.88</v>
      </c>
      <c r="F358" s="74">
        <v>2507.69</v>
      </c>
      <c r="G358" s="74">
        <v>3569.07</v>
      </c>
      <c r="H358" s="74">
        <v>2843.68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17260.93</v>
      </c>
    </row>
    <row r="359" spans="1:16" x14ac:dyDescent="0.25">
      <c r="A359" s="71" t="s">
        <v>344</v>
      </c>
      <c r="B359" s="74"/>
      <c r="C359" s="74">
        <v>587.29</v>
      </c>
      <c r="D359" s="74">
        <v>328.6</v>
      </c>
      <c r="E359" s="74">
        <v>1043.48</v>
      </c>
      <c r="F359" s="74">
        <v>431.98</v>
      </c>
      <c r="G359" s="74">
        <v>190.07</v>
      </c>
      <c r="H359" s="74">
        <v>25.9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2607.3200000000002</v>
      </c>
    </row>
    <row r="360" spans="1:16" x14ac:dyDescent="0.25">
      <c r="A360" s="71" t="s">
        <v>345</v>
      </c>
      <c r="B360" s="74"/>
      <c r="C360" s="74">
        <v>326.39</v>
      </c>
      <c r="D360" s="74">
        <v>679.67</v>
      </c>
      <c r="E360" s="74">
        <v>543.41</v>
      </c>
      <c r="F360" s="74">
        <v>94.94</v>
      </c>
      <c r="G360" s="74">
        <v>108.82</v>
      </c>
      <c r="H360" s="74">
        <v>313.97000000000003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2067.1999999999998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0</v>
      </c>
      <c r="D362" s="74">
        <v>0</v>
      </c>
      <c r="E362" s="74">
        <v>171.02</v>
      </c>
      <c r="F362" s="74">
        <v>171.02</v>
      </c>
      <c r="G362" s="74">
        <v>0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342.04</v>
      </c>
    </row>
    <row r="363" spans="1:16" x14ac:dyDescent="0.25">
      <c r="A363" s="71" t="s">
        <v>348</v>
      </c>
      <c r="B363" s="74"/>
      <c r="C363" s="74">
        <v>438.96</v>
      </c>
      <c r="D363" s="74">
        <v>438.96</v>
      </c>
      <c r="E363" s="74">
        <v>877.92</v>
      </c>
      <c r="F363" s="74">
        <v>0</v>
      </c>
      <c r="G363" s="74">
        <v>438.96</v>
      </c>
      <c r="H363" s="74">
        <v>999.45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3194.25</v>
      </c>
    </row>
    <row r="364" spans="1:16" x14ac:dyDescent="0.25">
      <c r="A364" s="71" t="s">
        <v>349</v>
      </c>
      <c r="B364" s="74"/>
      <c r="C364" s="74">
        <v>984.05</v>
      </c>
      <c r="D364" s="74">
        <v>0</v>
      </c>
      <c r="E364" s="74">
        <v>984.05</v>
      </c>
      <c r="F364" s="74">
        <v>984.05</v>
      </c>
      <c r="G364" s="74">
        <v>0</v>
      </c>
      <c r="H364" s="74">
        <v>984.05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3936.2</v>
      </c>
    </row>
    <row r="365" spans="1:16" x14ac:dyDescent="0.25">
      <c r="A365" s="71" t="s">
        <v>350</v>
      </c>
      <c r="B365" s="74"/>
      <c r="C365" s="74">
        <v>-527.54999999999995</v>
      </c>
      <c r="D365" s="74">
        <v>1629.05</v>
      </c>
      <c r="E365" s="74">
        <v>588.79</v>
      </c>
      <c r="F365" s="74">
        <v>880</v>
      </c>
      <c r="G365" s="74">
        <v>952.45</v>
      </c>
      <c r="H365" s="74">
        <v>2168.65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5691.3899999999994</v>
      </c>
    </row>
    <row r="366" spans="1:16" x14ac:dyDescent="0.25">
      <c r="A366" s="71" t="s">
        <v>351</v>
      </c>
      <c r="B366" s="74"/>
      <c r="C366" s="74">
        <v>2844.4</v>
      </c>
      <c r="D366" s="74">
        <v>3011.22</v>
      </c>
      <c r="E366" s="74">
        <v>3921.67</v>
      </c>
      <c r="F366" s="74">
        <v>3711.89</v>
      </c>
      <c r="G366" s="74">
        <v>2721.15</v>
      </c>
      <c r="H366" s="74">
        <v>5062.58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21272.91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292.58999999999997</v>
      </c>
      <c r="D373" s="74">
        <v>51.29</v>
      </c>
      <c r="E373" s="74">
        <v>51.29</v>
      </c>
      <c r="F373" s="74">
        <v>51.29</v>
      </c>
      <c r="G373" s="74">
        <v>-214.8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231.66000000000003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3293.31</v>
      </c>
      <c r="D376" s="74">
        <v>4234.38</v>
      </c>
      <c r="E376" s="74">
        <v>5535.39</v>
      </c>
      <c r="F376" s="74">
        <v>5000</v>
      </c>
      <c r="G376" s="74">
        <v>3500.51</v>
      </c>
      <c r="H376" s="74">
        <v>3154.06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24717.650000000005</v>
      </c>
    </row>
    <row r="377" spans="1:16" x14ac:dyDescent="0.25">
      <c r="A377" s="71" t="s">
        <v>362</v>
      </c>
      <c r="C377" s="83">
        <v>2035.26</v>
      </c>
      <c r="D377" s="83">
        <v>1841.49</v>
      </c>
      <c r="E377" s="83">
        <v>0</v>
      </c>
      <c r="F377" s="83">
        <v>2023.98</v>
      </c>
      <c r="G377" s="83">
        <v>1891.26</v>
      </c>
      <c r="H377" s="83">
        <v>2183.85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9975.84</v>
      </c>
      <c r="P377" s="86"/>
    </row>
    <row r="378" spans="1:16" x14ac:dyDescent="0.25">
      <c r="A378" s="71" t="s">
        <v>363</v>
      </c>
      <c r="C378" s="98">
        <v>1266.23</v>
      </c>
      <c r="D378" s="98">
        <v>1257.4000000000001</v>
      </c>
      <c r="E378" s="98">
        <v>1205.24</v>
      </c>
      <c r="F378" s="98">
        <v>373.24</v>
      </c>
      <c r="G378" s="98">
        <v>957.95</v>
      </c>
      <c r="H378" s="98">
        <v>1001.31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6061.369999999999</v>
      </c>
    </row>
    <row r="379" spans="1:16" x14ac:dyDescent="0.25">
      <c r="A379" s="71" t="s">
        <v>364</v>
      </c>
      <c r="C379" s="74">
        <v>14387.24</v>
      </c>
      <c r="D379" s="74">
        <v>15962.36</v>
      </c>
      <c r="E379" s="74">
        <v>17926.140000000003</v>
      </c>
      <c r="F379" s="74">
        <v>16230.08</v>
      </c>
      <c r="G379" s="74">
        <v>14115.44</v>
      </c>
      <c r="H379" s="74">
        <v>18737.5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97358.760000000009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5174.2</v>
      </c>
      <c r="D382" s="74">
        <v>5174.2</v>
      </c>
      <c r="E382" s="74">
        <v>5174.2</v>
      </c>
      <c r="F382" s="74">
        <v>5174.2</v>
      </c>
      <c r="G382" s="74">
        <v>5174.2</v>
      </c>
      <c r="H382" s="74">
        <v>5174.2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31045.200000000001</v>
      </c>
    </row>
    <row r="383" spans="1:16" x14ac:dyDescent="0.25">
      <c r="A383" s="71" t="s">
        <v>367</v>
      </c>
      <c r="B383" s="74"/>
      <c r="C383" s="74">
        <v>2430.9</v>
      </c>
      <c r="D383" s="74">
        <v>2400.56</v>
      </c>
      <c r="E383" s="74">
        <v>2969.02</v>
      </c>
      <c r="F383" s="74">
        <v>2397.54</v>
      </c>
      <c r="G383" s="74">
        <v>2738.17</v>
      </c>
      <c r="H383" s="74">
        <v>2572.86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15509.050000000001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5">
      <c r="A385" s="71" t="s">
        <v>369</v>
      </c>
      <c r="B385" s="74"/>
      <c r="C385" s="74">
        <v>201.24</v>
      </c>
      <c r="D385" s="74">
        <v>481.83</v>
      </c>
      <c r="E385" s="74">
        <v>342.87</v>
      </c>
      <c r="F385" s="74">
        <v>0</v>
      </c>
      <c r="G385" s="74">
        <v>287.01</v>
      </c>
      <c r="H385" s="74">
        <v>106.26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1419.21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60</v>
      </c>
      <c r="D391" s="74">
        <v>60</v>
      </c>
      <c r="E391" s="74">
        <v>60</v>
      </c>
      <c r="F391" s="74">
        <v>60</v>
      </c>
      <c r="G391" s="74">
        <v>60</v>
      </c>
      <c r="H391" s="74">
        <v>60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360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218.4</v>
      </c>
      <c r="D393" s="74">
        <v>582.4</v>
      </c>
      <c r="E393" s="74">
        <v>0</v>
      </c>
      <c r="F393" s="74">
        <v>145.6</v>
      </c>
      <c r="G393" s="74">
        <v>145.6</v>
      </c>
      <c r="H393" s="74">
        <v>145.6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1237.5999999999999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145.6</v>
      </c>
      <c r="D395" s="74">
        <v>145.6</v>
      </c>
      <c r="E395" s="74">
        <v>0</v>
      </c>
      <c r="F395" s="74">
        <v>72.8</v>
      </c>
      <c r="G395" s="74">
        <v>0</v>
      </c>
      <c r="H395" s="74">
        <v>145.6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509.6</v>
      </c>
    </row>
    <row r="396" spans="1:15" x14ac:dyDescent="0.25">
      <c r="A396" s="71" t="s">
        <v>380</v>
      </c>
      <c r="B396" s="74"/>
      <c r="C396" s="74">
        <v>274.02</v>
      </c>
      <c r="D396" s="74">
        <v>274.02</v>
      </c>
      <c r="E396" s="74">
        <v>274.02</v>
      </c>
      <c r="F396" s="74">
        <v>282.89999999999998</v>
      </c>
      <c r="G396" s="74">
        <v>-34.950000000000003</v>
      </c>
      <c r="H396" s="74">
        <v>286.35000000000002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1356.3600000000001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100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100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261.29000000000002</v>
      </c>
      <c r="F408" s="74">
        <v>284.85000000000002</v>
      </c>
      <c r="G408" s="74">
        <v>0</v>
      </c>
      <c r="H408" s="74">
        <v>621.20000000000005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1668.2300000000002</v>
      </c>
    </row>
    <row r="409" spans="1:15" x14ac:dyDescent="0.25">
      <c r="A409" s="71" t="s">
        <v>393</v>
      </c>
      <c r="B409" s="74"/>
      <c r="C409" s="74">
        <v>647.84</v>
      </c>
      <c r="D409" s="74">
        <v>755.44</v>
      </c>
      <c r="E409" s="74">
        <v>839.79</v>
      </c>
      <c r="F409" s="74">
        <v>740.22</v>
      </c>
      <c r="G409" s="74">
        <v>734.63</v>
      </c>
      <c r="H409" s="74">
        <v>886.99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4604.91</v>
      </c>
    </row>
    <row r="410" spans="1:15" x14ac:dyDescent="0.25">
      <c r="A410" s="71" t="s">
        <v>394</v>
      </c>
      <c r="B410" s="74"/>
      <c r="C410" s="74">
        <v>67.75</v>
      </c>
      <c r="D410" s="74">
        <v>111.67</v>
      </c>
      <c r="E410" s="74">
        <v>89.26</v>
      </c>
      <c r="F410" s="74">
        <v>202.62</v>
      </c>
      <c r="G410" s="74">
        <v>67.27</v>
      </c>
      <c r="H410" s="74">
        <v>42.05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580.62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50</v>
      </c>
      <c r="D412" s="74">
        <v>100</v>
      </c>
      <c r="E412" s="74">
        <v>140</v>
      </c>
      <c r="F412" s="74">
        <v>0</v>
      </c>
      <c r="G412" s="74">
        <v>70</v>
      </c>
      <c r="H412" s="74">
        <v>55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415</v>
      </c>
    </row>
    <row r="413" spans="1:15" x14ac:dyDescent="0.25">
      <c r="A413" s="71" t="s">
        <v>397</v>
      </c>
      <c r="B413" s="74"/>
      <c r="C413" s="74">
        <v>842.91</v>
      </c>
      <c r="D413" s="74">
        <v>1685.82</v>
      </c>
      <c r="E413" s="74">
        <v>842.91</v>
      </c>
      <c r="F413" s="74">
        <v>1685.82</v>
      </c>
      <c r="G413" s="74">
        <v>1685.82</v>
      </c>
      <c r="H413" s="74">
        <v>1685.82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8429.1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628.83000000000004</v>
      </c>
      <c r="D415" s="74">
        <v>628.83000000000004</v>
      </c>
      <c r="E415" s="74">
        <v>628.83000000000004</v>
      </c>
      <c r="F415" s="74">
        <v>628.83000000000004</v>
      </c>
      <c r="G415" s="74">
        <v>628.83000000000004</v>
      </c>
      <c r="H415" s="74">
        <v>0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3144.15</v>
      </c>
    </row>
    <row r="416" spans="1:15" x14ac:dyDescent="0.25">
      <c r="A416" s="71" t="s">
        <v>400</v>
      </c>
      <c r="B416" s="74"/>
      <c r="C416" s="74">
        <v>551.25</v>
      </c>
      <c r="D416" s="74">
        <v>551.25</v>
      </c>
      <c r="E416" s="74">
        <v>551.25</v>
      </c>
      <c r="F416" s="74">
        <v>551.25</v>
      </c>
      <c r="G416" s="74">
        <v>551.25</v>
      </c>
      <c r="H416" s="74">
        <v>525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3281.25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0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719.44999999999993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4244.46</v>
      </c>
      <c r="D419" s="74">
        <v>3797.67</v>
      </c>
      <c r="E419" s="74">
        <v>3930.38</v>
      </c>
      <c r="F419" s="74">
        <v>3884.87</v>
      </c>
      <c r="G419" s="74">
        <v>3981.24</v>
      </c>
      <c r="H419" s="74">
        <v>3815.86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23654.480000000003</v>
      </c>
    </row>
    <row r="420" spans="1:15" x14ac:dyDescent="0.25">
      <c r="A420" s="71" t="s">
        <v>404</v>
      </c>
      <c r="B420" s="74"/>
      <c r="C420" s="74">
        <v>168.76</v>
      </c>
      <c r="D420" s="74">
        <v>180.31</v>
      </c>
      <c r="E420" s="74">
        <v>134.94</v>
      </c>
      <c r="F420" s="74">
        <v>182.36</v>
      </c>
      <c r="G420" s="74">
        <v>285.01</v>
      </c>
      <c r="H420" s="74">
        <v>88.52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1039.9000000000001</v>
      </c>
    </row>
    <row r="421" spans="1:15" x14ac:dyDescent="0.25">
      <c r="A421" s="71" t="s">
        <v>405</v>
      </c>
      <c r="B421" s="74"/>
      <c r="C421" s="74">
        <v>266.38</v>
      </c>
      <c r="D421" s="74">
        <v>690.92</v>
      </c>
      <c r="E421" s="74">
        <v>210.36</v>
      </c>
      <c r="F421" s="74">
        <v>316.49</v>
      </c>
      <c r="G421" s="74">
        <v>287.87</v>
      </c>
      <c r="H421" s="74">
        <v>351.4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2123.42</v>
      </c>
    </row>
    <row r="422" spans="1:15" x14ac:dyDescent="0.25">
      <c r="A422" s="71" t="s">
        <v>406</v>
      </c>
      <c r="B422" s="74"/>
      <c r="C422" s="74">
        <v>13484.51</v>
      </c>
      <c r="D422" s="74">
        <v>12054.27</v>
      </c>
      <c r="E422" s="74">
        <v>13490.03</v>
      </c>
      <c r="F422" s="74">
        <v>12195.51</v>
      </c>
      <c r="G422" s="74">
        <v>12386.61</v>
      </c>
      <c r="H422" s="74">
        <v>12473.4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76084.33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174.95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174.95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221.25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221.25</v>
      </c>
    </row>
    <row r="426" spans="1:15" x14ac:dyDescent="0.25">
      <c r="A426" s="71" t="s">
        <v>410</v>
      </c>
      <c r="B426" s="74"/>
      <c r="C426" s="74">
        <v>10711.61</v>
      </c>
      <c r="D426" s="74">
        <v>9331.18</v>
      </c>
      <c r="E426" s="74">
        <v>10117.129999999999</v>
      </c>
      <c r="F426" s="74">
        <v>9821.6</v>
      </c>
      <c r="G426" s="74">
        <v>9746.3700000000008</v>
      </c>
      <c r="H426" s="74">
        <v>9537.6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59265.49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-275</v>
      </c>
      <c r="D430" s="74">
        <v>130</v>
      </c>
      <c r="E430" s="74">
        <v>1148.4000000000001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1003.4000000000001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5000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5000</v>
      </c>
    </row>
    <row r="432" spans="1:15" x14ac:dyDescent="0.25">
      <c r="A432" s="71" t="s">
        <v>502</v>
      </c>
      <c r="B432" s="74"/>
      <c r="C432" s="74">
        <v>505.74</v>
      </c>
      <c r="D432" s="74">
        <v>673.97</v>
      </c>
      <c r="E432" s="74">
        <v>930.29</v>
      </c>
      <c r="F432" s="74">
        <v>669.83</v>
      </c>
      <c r="G432" s="74">
        <v>515.42999999999995</v>
      </c>
      <c r="H432" s="74">
        <v>1094.97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4390.2299999999996</v>
      </c>
    </row>
    <row r="433" spans="1:16" x14ac:dyDescent="0.25">
      <c r="A433" s="71" t="s">
        <v>416</v>
      </c>
      <c r="B433" s="74"/>
      <c r="C433" s="74">
        <v>18093</v>
      </c>
      <c r="D433" s="74">
        <v>18093</v>
      </c>
      <c r="E433" s="74">
        <v>18093</v>
      </c>
      <c r="F433" s="74">
        <v>18093</v>
      </c>
      <c r="G433" s="74">
        <v>18093</v>
      </c>
      <c r="H433" s="74">
        <v>18093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108558</v>
      </c>
    </row>
    <row r="434" spans="1:16" x14ac:dyDescent="0.25">
      <c r="A434" s="71" t="s">
        <v>417</v>
      </c>
      <c r="B434" s="74"/>
      <c r="C434" s="74">
        <v>1084.75</v>
      </c>
      <c r="D434" s="74">
        <v>1254.1500000000001</v>
      </c>
      <c r="E434" s="74">
        <v>981.74</v>
      </c>
      <c r="F434" s="74">
        <v>1325.11</v>
      </c>
      <c r="G434" s="74">
        <v>1029.81</v>
      </c>
      <c r="H434" s="74">
        <v>1050.4100000000001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6725.9699999999993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302.89999999999998</v>
      </c>
      <c r="D436" s="74">
        <v>302.89999999999998</v>
      </c>
      <c r="E436" s="74">
        <v>302.89999999999998</v>
      </c>
      <c r="F436" s="74">
        <v>302.89999999999998</v>
      </c>
      <c r="G436" s="74">
        <v>302.99</v>
      </c>
      <c r="H436" s="74">
        <v>908.61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2423.1999999999998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525</v>
      </c>
      <c r="F439" s="100">
        <v>0</v>
      </c>
      <c r="G439" s="100">
        <v>0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525</v>
      </c>
    </row>
    <row r="440" spans="1:16" x14ac:dyDescent="0.25">
      <c r="A440" s="71" t="s">
        <v>423</v>
      </c>
      <c r="C440" s="74">
        <v>60782.23</v>
      </c>
      <c r="D440" s="74">
        <v>60376.480000000003</v>
      </c>
      <c r="E440" s="74">
        <v>64142.700000000004</v>
      </c>
      <c r="F440" s="74">
        <v>59677.19</v>
      </c>
      <c r="G440" s="74">
        <v>59495.049999999996</v>
      </c>
      <c r="H440" s="74">
        <v>65235.700000000004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369709.35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7352.51</v>
      </c>
      <c r="D443" s="74">
        <v>6557.93</v>
      </c>
      <c r="E443" s="74">
        <v>7355.57</v>
      </c>
      <c r="F443" s="74">
        <v>6636.39</v>
      </c>
      <c r="G443" s="74">
        <v>6742.56</v>
      </c>
      <c r="H443" s="74">
        <v>6790.78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41435.74</v>
      </c>
    </row>
    <row r="444" spans="1:16" x14ac:dyDescent="0.25">
      <c r="A444" s="71" t="s">
        <v>426</v>
      </c>
      <c r="B444" s="74"/>
      <c r="C444" s="74">
        <v>0</v>
      </c>
      <c r="D444" s="74">
        <v>10624.46</v>
      </c>
      <c r="E444" s="74">
        <v>-5312.23</v>
      </c>
      <c r="F444" s="74">
        <v>-5312.23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1273.26</v>
      </c>
      <c r="D445" s="74">
        <v>2546.52</v>
      </c>
      <c r="E445" s="74">
        <v>1273.26</v>
      </c>
      <c r="F445" s="74">
        <v>2546.52</v>
      </c>
      <c r="G445" s="74">
        <v>2546.52</v>
      </c>
      <c r="H445" s="74">
        <v>2546.52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12732.6</v>
      </c>
    </row>
    <row r="446" spans="1:16" x14ac:dyDescent="0.25">
      <c r="A446" s="71" t="s">
        <v>428</v>
      </c>
      <c r="B446" s="74"/>
      <c r="C446" s="74">
        <v>35399.97</v>
      </c>
      <c r="D446" s="74">
        <v>35399.97</v>
      </c>
      <c r="E446" s="74">
        <v>38766.089999999997</v>
      </c>
      <c r="F446" s="74">
        <v>37083.03</v>
      </c>
      <c r="G446" s="74">
        <v>37083.03</v>
      </c>
      <c r="H446" s="74">
        <v>37083.03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220815.12</v>
      </c>
    </row>
    <row r="447" spans="1:16" x14ac:dyDescent="0.25">
      <c r="A447" s="71" t="s">
        <v>429</v>
      </c>
      <c r="B447" s="74"/>
      <c r="C447" s="74">
        <v>1859.82</v>
      </c>
      <c r="D447" s="74">
        <v>2562.4</v>
      </c>
      <c r="E447" s="74">
        <v>3292.4</v>
      </c>
      <c r="F447" s="74">
        <v>2255</v>
      </c>
      <c r="G447" s="74">
        <v>2581.39</v>
      </c>
      <c r="H447" s="74">
        <v>1894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14445.01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638</v>
      </c>
      <c r="D451" s="83">
        <v>638</v>
      </c>
      <c r="E451" s="83">
        <v>638</v>
      </c>
      <c r="F451" s="83">
        <v>638</v>
      </c>
      <c r="G451" s="83">
        <v>638</v>
      </c>
      <c r="H451" s="83">
        <v>638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3828</v>
      </c>
      <c r="P451" s="86"/>
    </row>
    <row r="452" spans="1:16" x14ac:dyDescent="0.25">
      <c r="A452" s="71" t="s">
        <v>434</v>
      </c>
      <c r="C452" s="74">
        <v>52.32</v>
      </c>
      <c r="D452" s="74">
        <v>52.32</v>
      </c>
      <c r="E452" s="74">
        <v>52.32</v>
      </c>
      <c r="F452" s="74">
        <v>52.32</v>
      </c>
      <c r="G452" s="74">
        <v>52.32</v>
      </c>
      <c r="H452" s="74">
        <v>52.32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313.92</v>
      </c>
    </row>
    <row r="453" spans="1:16" ht="18.75" thickBot="1" x14ac:dyDescent="0.3">
      <c r="A453" s="85" t="s">
        <v>435</v>
      </c>
      <c r="B453" s="85"/>
      <c r="C453" s="81">
        <v>46575.880000000005</v>
      </c>
      <c r="D453" s="81">
        <v>58381.600000000006</v>
      </c>
      <c r="E453" s="81">
        <v>46065.409999999996</v>
      </c>
      <c r="F453" s="81">
        <v>43899.03</v>
      </c>
      <c r="G453" s="81">
        <v>49643.82</v>
      </c>
      <c r="H453" s="81">
        <v>49004.65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293570.38999999996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286636.17000000004</v>
      </c>
      <c r="D455" s="71">
        <v>283188.36</v>
      </c>
      <c r="E455" s="71">
        <v>293005.13</v>
      </c>
      <c r="F455" s="71">
        <v>273796.33999999997</v>
      </c>
      <c r="G455" s="71">
        <v>283108.76999999996</v>
      </c>
      <c r="H455" s="71">
        <v>297110.56000000006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1716845.33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509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54.451612903225808</v>
      </c>
      <c r="D8" s="97">
        <v>54.464285714285715</v>
      </c>
      <c r="E8" s="97">
        <v>53</v>
      </c>
      <c r="F8" s="97">
        <v>52.5</v>
      </c>
      <c r="G8" s="97">
        <v>51.354838709677416</v>
      </c>
      <c r="H8" s="97">
        <v>50.233333333333334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248</v>
      </c>
      <c r="D11" s="74">
        <v>224</v>
      </c>
      <c r="E11" s="74">
        <v>248</v>
      </c>
      <c r="F11" s="74">
        <v>240</v>
      </c>
      <c r="G11" s="74">
        <v>243</v>
      </c>
      <c r="H11" s="74">
        <v>221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1424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5">
      <c r="A13" s="71" t="s">
        <v>43</v>
      </c>
      <c r="C13" s="74">
        <v>1417</v>
      </c>
      <c r="D13" s="74">
        <v>1273</v>
      </c>
      <c r="E13" s="74">
        <v>1478</v>
      </c>
      <c r="F13" s="74">
        <v>1331</v>
      </c>
      <c r="G13" s="74">
        <v>1346</v>
      </c>
      <c r="H13" s="74">
        <v>1278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8123</v>
      </c>
    </row>
    <row r="14" spans="1:15" x14ac:dyDescent="0.25">
      <c r="A14" s="71" t="s">
        <v>44</v>
      </c>
      <c r="C14" s="74">
        <v>0</v>
      </c>
      <c r="D14" s="74">
        <v>0</v>
      </c>
      <c r="E14" s="74">
        <v>-86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-86</v>
      </c>
    </row>
    <row r="15" spans="1:15" x14ac:dyDescent="0.25">
      <c r="A15" s="71" t="s">
        <v>45</v>
      </c>
      <c r="C15" s="74">
        <v>5</v>
      </c>
      <c r="D15" s="74">
        <v>0</v>
      </c>
      <c r="E15" s="74">
        <v>0</v>
      </c>
      <c r="F15" s="74">
        <v>4</v>
      </c>
      <c r="G15" s="74">
        <v>3</v>
      </c>
      <c r="H15" s="74">
        <v>2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14</v>
      </c>
    </row>
    <row r="16" spans="1:15" x14ac:dyDescent="0.25">
      <c r="A16" s="71" t="s">
        <v>46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6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6</v>
      </c>
    </row>
    <row r="17" spans="1:18" x14ac:dyDescent="0.25">
      <c r="A17" s="71" t="s">
        <v>47</v>
      </c>
      <c r="C17" s="74">
        <v>18</v>
      </c>
      <c r="D17" s="74">
        <v>28</v>
      </c>
      <c r="E17" s="74">
        <v>3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49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1688</v>
      </c>
      <c r="D23" s="79">
        <v>1525</v>
      </c>
      <c r="E23" s="79">
        <v>1643</v>
      </c>
      <c r="F23" s="79">
        <v>1575</v>
      </c>
      <c r="G23" s="79">
        <v>1592</v>
      </c>
      <c r="H23" s="79">
        <v>1507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9530</v>
      </c>
      <c r="P23" s="86">
        <v>9530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260621.50999999998</v>
      </c>
      <c r="D26" s="74">
        <v>236110.93000000002</v>
      </c>
      <c r="E26" s="74">
        <v>245389.33</v>
      </c>
      <c r="F26" s="74">
        <v>241890.11000000002</v>
      </c>
      <c r="G26" s="74">
        <v>247240.28</v>
      </c>
      <c r="H26" s="74">
        <v>235409.82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1466661.98</v>
      </c>
      <c r="P26" s="86"/>
    </row>
    <row r="27" spans="1:18" x14ac:dyDescent="0.25">
      <c r="A27" s="71" t="s">
        <v>57</v>
      </c>
      <c r="C27" s="74">
        <v>32775.53</v>
      </c>
      <c r="D27" s="74">
        <v>30959.35</v>
      </c>
      <c r="E27" s="74">
        <v>40566.339999999997</v>
      </c>
      <c r="F27" s="74">
        <v>36214.130000000005</v>
      </c>
      <c r="G27" s="74">
        <v>32431.829999999998</v>
      </c>
      <c r="H27" s="74">
        <v>31742.83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204690.01</v>
      </c>
      <c r="P27" s="86"/>
    </row>
    <row r="28" spans="1:18" x14ac:dyDescent="0.25">
      <c r="A28" s="71" t="s">
        <v>58</v>
      </c>
      <c r="C28" s="74">
        <v>2723.39</v>
      </c>
      <c r="D28" s="74">
        <v>2.9699999999999989</v>
      </c>
      <c r="E28" s="74">
        <v>10.969999999999999</v>
      </c>
      <c r="F28" s="74">
        <v>14.969999999999999</v>
      </c>
      <c r="G28" s="74">
        <v>2.9699999999999989</v>
      </c>
      <c r="H28" s="74">
        <v>-17.03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2738.2399999999989</v>
      </c>
      <c r="P28" s="86"/>
    </row>
    <row r="29" spans="1:18" ht="18.75" thickBot="1" x14ac:dyDescent="0.3">
      <c r="A29" s="71" t="s">
        <v>59</v>
      </c>
      <c r="C29" s="80">
        <v>296120.43</v>
      </c>
      <c r="D29" s="80">
        <v>267073.25</v>
      </c>
      <c r="E29" s="80">
        <v>285966.63999999996</v>
      </c>
      <c r="F29" s="80">
        <v>278119.20999999996</v>
      </c>
      <c r="G29" s="80">
        <v>279675.07999999996</v>
      </c>
      <c r="H29" s="80">
        <v>267135.62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1674090.23</v>
      </c>
      <c r="P29" s="86">
        <v>1674090.23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88465.35000000002</v>
      </c>
      <c r="D32" s="74">
        <v>71560.699999999983</v>
      </c>
      <c r="E32" s="74">
        <v>79960.040000000008</v>
      </c>
      <c r="F32" s="74">
        <v>91044.499999999985</v>
      </c>
      <c r="G32" s="74">
        <v>90899.81</v>
      </c>
      <c r="H32" s="74">
        <v>100013.02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521943.42</v>
      </c>
      <c r="P32" s="86"/>
    </row>
    <row r="33" spans="1:18" x14ac:dyDescent="0.25">
      <c r="A33" s="71" t="s">
        <v>62</v>
      </c>
      <c r="C33" s="74">
        <v>27044.820000000003</v>
      </c>
      <c r="D33" s="74">
        <v>25515.83</v>
      </c>
      <c r="E33" s="74">
        <v>33217.520000000004</v>
      </c>
      <c r="F33" s="74">
        <v>26261.69</v>
      </c>
      <c r="G33" s="74">
        <v>28496.26</v>
      </c>
      <c r="H33" s="74">
        <v>31651.860000000004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172187.98000000004</v>
      </c>
      <c r="P33" s="86"/>
    </row>
    <row r="34" spans="1:18" x14ac:dyDescent="0.25">
      <c r="A34" s="71" t="s">
        <v>57</v>
      </c>
      <c r="C34" s="74">
        <v>16033.99</v>
      </c>
      <c r="D34" s="74">
        <v>15414.649999999998</v>
      </c>
      <c r="E34" s="74">
        <v>18699.02</v>
      </c>
      <c r="F34" s="74">
        <v>17721.97</v>
      </c>
      <c r="G34" s="74">
        <v>8478.91</v>
      </c>
      <c r="H34" s="74">
        <v>16499.78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92848.320000000007</v>
      </c>
      <c r="P34" s="86"/>
    </row>
    <row r="35" spans="1:18" x14ac:dyDescent="0.25">
      <c r="A35" s="71" t="s">
        <v>63</v>
      </c>
      <c r="C35" s="74">
        <v>3712.82</v>
      </c>
      <c r="D35" s="74">
        <v>3573.96</v>
      </c>
      <c r="E35" s="74">
        <v>3503.23</v>
      </c>
      <c r="F35" s="74">
        <v>4381.53</v>
      </c>
      <c r="G35" s="74">
        <v>3459.9</v>
      </c>
      <c r="H35" s="74">
        <v>3333.64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21965.08</v>
      </c>
      <c r="P35" s="86"/>
    </row>
    <row r="36" spans="1:18" x14ac:dyDescent="0.25">
      <c r="A36" s="71" t="s">
        <v>64</v>
      </c>
      <c r="C36" s="74">
        <v>15029.6</v>
      </c>
      <c r="D36" s="74">
        <v>9150.16</v>
      </c>
      <c r="E36" s="74">
        <v>11486.649999999998</v>
      </c>
      <c r="F36" s="74">
        <v>7694.0199999999995</v>
      </c>
      <c r="G36" s="74">
        <v>11156.84</v>
      </c>
      <c r="H36" s="74">
        <v>13883.78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68401.05</v>
      </c>
      <c r="P36" s="86"/>
    </row>
    <row r="37" spans="1:18" x14ac:dyDescent="0.25">
      <c r="A37" s="71" t="s">
        <v>65</v>
      </c>
      <c r="C37" s="74">
        <v>21609.279999999999</v>
      </c>
      <c r="D37" s="74">
        <v>17358.55</v>
      </c>
      <c r="E37" s="74">
        <v>14898.599999999999</v>
      </c>
      <c r="F37" s="74">
        <v>15397.789999999999</v>
      </c>
      <c r="G37" s="74">
        <v>16640.759999999998</v>
      </c>
      <c r="H37" s="74">
        <v>17415.379999999997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103320.35999999999</v>
      </c>
      <c r="P37" s="86"/>
    </row>
    <row r="38" spans="1:18" x14ac:dyDescent="0.25">
      <c r="A38" s="71" t="s">
        <v>66</v>
      </c>
      <c r="C38" s="74">
        <v>65796.86</v>
      </c>
      <c r="D38" s="74">
        <v>68247</v>
      </c>
      <c r="E38" s="74">
        <v>67307.959999999992</v>
      </c>
      <c r="F38" s="74">
        <v>59487.299999999996</v>
      </c>
      <c r="G38" s="74">
        <v>65136.219999999994</v>
      </c>
      <c r="H38" s="74">
        <v>68596.13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394571.47</v>
      </c>
      <c r="P38" s="86"/>
    </row>
    <row r="39" spans="1:18" x14ac:dyDescent="0.25">
      <c r="A39" s="71" t="s">
        <v>67</v>
      </c>
      <c r="C39" s="74">
        <v>44349.46</v>
      </c>
      <c r="D39" s="74">
        <v>44047.360000000001</v>
      </c>
      <c r="E39" s="74">
        <v>48161.34</v>
      </c>
      <c r="F39" s="74">
        <v>45574.18</v>
      </c>
      <c r="G39" s="74">
        <v>45698.13</v>
      </c>
      <c r="H39" s="74">
        <v>45358.99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273189.46000000002</v>
      </c>
      <c r="P39" s="86"/>
    </row>
    <row r="40" spans="1:18" ht="18.75" thickBot="1" x14ac:dyDescent="0.3">
      <c r="A40" s="71" t="s">
        <v>68</v>
      </c>
      <c r="C40" s="80">
        <v>282042.18000000005</v>
      </c>
      <c r="D40" s="80">
        <v>254868.20999999996</v>
      </c>
      <c r="E40" s="80">
        <v>277234.36</v>
      </c>
      <c r="F40" s="80">
        <v>267562.98</v>
      </c>
      <c r="G40" s="80">
        <v>269966.83</v>
      </c>
      <c r="H40" s="80">
        <v>296752.58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1648427.14</v>
      </c>
      <c r="P40" s="86">
        <v>1648427.14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14078.249999999942</v>
      </c>
      <c r="D41" s="81">
        <v>12205.040000000037</v>
      </c>
      <c r="E41" s="81">
        <v>8732.2799999999697</v>
      </c>
      <c r="F41" s="81">
        <v>10556.229999999981</v>
      </c>
      <c r="G41" s="81">
        <v>9708.2499999999418</v>
      </c>
      <c r="H41" s="81">
        <v>-29616.960000000021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25663.090000000084</v>
      </c>
      <c r="P41" s="86">
        <v>25663.090000000084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71842.959999999948</v>
      </c>
      <c r="D43" s="74">
        <v>68127.060000000041</v>
      </c>
      <c r="E43" s="74">
        <v>69398.919999999969</v>
      </c>
      <c r="F43" s="74">
        <v>68825.639999999985</v>
      </c>
      <c r="G43" s="74">
        <v>68114.729999999952</v>
      </c>
      <c r="H43" s="76">
        <v>27944.919999999976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374254.2300000001</v>
      </c>
      <c r="P43" s="71">
        <v>374254.23000000004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509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233094.24</v>
      </c>
      <c r="D50" s="74">
        <v>208670.16</v>
      </c>
      <c r="E50" s="74">
        <v>242765.52</v>
      </c>
      <c r="F50" s="74">
        <v>218833.2</v>
      </c>
      <c r="G50" s="74">
        <v>221128.08</v>
      </c>
      <c r="H50" s="74">
        <v>209817.60000000001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1334308.8000000003</v>
      </c>
    </row>
    <row r="51" spans="1:15" x14ac:dyDescent="0.25">
      <c r="A51" s="71" t="s">
        <v>73</v>
      </c>
      <c r="B51" s="82"/>
      <c r="C51" s="74">
        <v>0</v>
      </c>
      <c r="D51" s="74">
        <v>20.25</v>
      </c>
      <c r="E51" s="74">
        <v>-14588.88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-14568.63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2400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2400</v>
      </c>
    </row>
    <row r="64" spans="1:15" x14ac:dyDescent="0.25">
      <c r="A64" s="71" t="s">
        <v>86</v>
      </c>
      <c r="B64" s="82"/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879.06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879.06</v>
      </c>
    </row>
    <row r="65" spans="1:15" x14ac:dyDescent="0.25">
      <c r="A65" s="71" t="s">
        <v>87</v>
      </c>
      <c r="B65" s="82"/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715.78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715.78</v>
      </c>
    </row>
    <row r="66" spans="1:15" x14ac:dyDescent="0.25">
      <c r="A66" s="71" t="s">
        <v>88</v>
      </c>
      <c r="B66" s="82"/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74">
        <v>907.55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907.55</v>
      </c>
    </row>
    <row r="67" spans="1:15" x14ac:dyDescent="0.25">
      <c r="A67" s="71" t="s">
        <v>89</v>
      </c>
      <c r="B67" s="82"/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99</v>
      </c>
      <c r="B78" s="82"/>
      <c r="C78" s="74">
        <v>0</v>
      </c>
      <c r="D78" s="74">
        <v>0</v>
      </c>
      <c r="E78" s="74">
        <v>0</v>
      </c>
      <c r="F78" s="74">
        <v>0</v>
      </c>
      <c r="G78" s="74">
        <v>0</v>
      </c>
      <c r="H78" s="74">
        <v>-1623.33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-1623.33</v>
      </c>
    </row>
    <row r="79" spans="1:15" x14ac:dyDescent="0.25">
      <c r="A79" s="71" t="s">
        <v>100</v>
      </c>
      <c r="B79" s="82"/>
      <c r="C79" s="74">
        <v>0</v>
      </c>
      <c r="D79" s="74">
        <v>0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36456</v>
      </c>
      <c r="D82" s="74">
        <v>32928</v>
      </c>
      <c r="E82" s="74">
        <v>36456</v>
      </c>
      <c r="F82" s="74">
        <v>35280</v>
      </c>
      <c r="G82" s="74">
        <v>35721</v>
      </c>
      <c r="H82" s="74">
        <v>33150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209991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5">
      <c r="A84" s="71" t="s">
        <v>481</v>
      </c>
      <c r="B84" s="82"/>
      <c r="C84" s="74">
        <v>-28309.29</v>
      </c>
      <c r="D84" s="74">
        <v>-26527.24</v>
      </c>
      <c r="E84" s="74">
        <v>-35165.07</v>
      </c>
      <c r="F84" s="74">
        <v>-30713.09</v>
      </c>
      <c r="G84" s="74">
        <v>-27628.799999999999</v>
      </c>
      <c r="H84" s="74">
        <v>-29916.84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-178260.33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5">
      <c r="A86" s="71" t="s">
        <v>483</v>
      </c>
      <c r="B86" s="82"/>
      <c r="C86" s="74">
        <v>16430</v>
      </c>
      <c r="D86" s="74">
        <v>16430</v>
      </c>
      <c r="E86" s="74">
        <v>16430</v>
      </c>
      <c r="F86" s="74">
        <v>17490</v>
      </c>
      <c r="G86" s="74">
        <v>18020</v>
      </c>
      <c r="H86" s="74">
        <v>19080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103880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-1000</v>
      </c>
      <c r="F94" s="74">
        <v>1000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2950.56</v>
      </c>
      <c r="D95" s="74">
        <v>4589.76</v>
      </c>
      <c r="E95" s="74">
        <v>491.76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8032.08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260621.50999999998</v>
      </c>
      <c r="D111" s="74">
        <v>236110.93000000002</v>
      </c>
      <c r="E111" s="74">
        <v>245389.33000000002</v>
      </c>
      <c r="F111" s="74">
        <v>241890.11000000002</v>
      </c>
      <c r="G111" s="74">
        <v>247240.28</v>
      </c>
      <c r="H111" s="74">
        <v>235409.82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1466661.9800000004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1742.04</v>
      </c>
      <c r="D114" s="74">
        <v>1788.79</v>
      </c>
      <c r="E114" s="74">
        <v>3875.49</v>
      </c>
      <c r="F114" s="74">
        <v>4598.18</v>
      </c>
      <c r="G114" s="74">
        <v>3541.76</v>
      </c>
      <c r="H114" s="74">
        <v>843.28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16389.54</v>
      </c>
    </row>
    <row r="115" spans="1:15" x14ac:dyDescent="0.25">
      <c r="A115" s="71" t="s">
        <v>130</v>
      </c>
      <c r="B115" s="74"/>
      <c r="C115" s="74">
        <v>6213.12</v>
      </c>
      <c r="D115" s="74">
        <v>6196.02</v>
      </c>
      <c r="E115" s="74">
        <v>5124.42</v>
      </c>
      <c r="F115" s="74">
        <v>3714.19</v>
      </c>
      <c r="G115" s="74">
        <v>4542.7</v>
      </c>
      <c r="H115" s="74">
        <v>1988.56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27779.01</v>
      </c>
    </row>
    <row r="116" spans="1:15" x14ac:dyDescent="0.25">
      <c r="A116" s="71" t="s">
        <v>131</v>
      </c>
      <c r="B116" s="74"/>
      <c r="C116" s="74">
        <v>0</v>
      </c>
      <c r="D116" s="74">
        <v>0</v>
      </c>
      <c r="E116" s="74">
        <v>485.1</v>
      </c>
      <c r="F116" s="74">
        <v>606.35</v>
      </c>
      <c r="G116" s="74">
        <v>606.25</v>
      </c>
      <c r="H116" s="74">
        <v>485.1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2182.8000000000002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-3491.62</v>
      </c>
      <c r="D122" s="74">
        <v>-3532.44</v>
      </c>
      <c r="E122" s="74">
        <v>-4112.33</v>
      </c>
      <c r="F122" s="74">
        <v>-3961.29</v>
      </c>
      <c r="G122" s="74">
        <v>-3864.8</v>
      </c>
      <c r="H122" s="74">
        <v>-1455.68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-20418.16</v>
      </c>
    </row>
    <row r="123" spans="1:15" x14ac:dyDescent="0.25">
      <c r="A123" s="71" t="s">
        <v>136</v>
      </c>
      <c r="B123" s="74"/>
      <c r="C123" s="74">
        <v>-411.77</v>
      </c>
      <c r="D123" s="74">
        <v>-20.260000000000002</v>
      </c>
      <c r="E123" s="74">
        <v>28.59</v>
      </c>
      <c r="F123" s="74">
        <v>13.61</v>
      </c>
      <c r="G123" s="74">
        <v>-367.23</v>
      </c>
      <c r="H123" s="74">
        <v>3.4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-753.66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-39.880000000000003</v>
      </c>
      <c r="H124" s="74">
        <v>-38.67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-78.550000000000011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5">
      <c r="A127" s="71" t="s">
        <v>489</v>
      </c>
      <c r="B127" s="74"/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</row>
    <row r="130" spans="1:16" x14ac:dyDescent="0.25">
      <c r="A130" s="71" t="s">
        <v>139</v>
      </c>
      <c r="B130" s="74"/>
      <c r="C130" s="74">
        <v>13769.08</v>
      </c>
      <c r="D130" s="74">
        <v>11305.39</v>
      </c>
      <c r="E130" s="74">
        <v>15125.23</v>
      </c>
      <c r="F130" s="74">
        <v>12480.25</v>
      </c>
      <c r="G130" s="74">
        <v>12279.5</v>
      </c>
      <c r="H130" s="74">
        <v>9326.9500000000007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74286.399999999994</v>
      </c>
    </row>
    <row r="131" spans="1:16" x14ac:dyDescent="0.25">
      <c r="A131" s="71" t="s">
        <v>140</v>
      </c>
      <c r="C131" s="83">
        <v>14954.68</v>
      </c>
      <c r="D131" s="83">
        <v>15221.85</v>
      </c>
      <c r="E131" s="83">
        <v>20039.84</v>
      </c>
      <c r="F131" s="83">
        <v>18762.84</v>
      </c>
      <c r="G131" s="83">
        <v>15733.53</v>
      </c>
      <c r="H131" s="83">
        <v>19013.439999999999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103726.18</v>
      </c>
      <c r="P131" s="86"/>
    </row>
    <row r="132" spans="1:16" x14ac:dyDescent="0.25">
      <c r="A132" s="71" t="s">
        <v>141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1576.45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1576.45</v>
      </c>
    </row>
    <row r="133" spans="1:16" x14ac:dyDescent="0.25">
      <c r="A133" s="71" t="s">
        <v>142</v>
      </c>
      <c r="C133" s="74">
        <v>32775.53</v>
      </c>
      <c r="D133" s="74">
        <v>30959.35</v>
      </c>
      <c r="E133" s="74">
        <v>40566.339999999997</v>
      </c>
      <c r="F133" s="74">
        <v>36214.130000000005</v>
      </c>
      <c r="G133" s="74">
        <v>32431.83</v>
      </c>
      <c r="H133" s="74">
        <v>31742.829999999998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204690.01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28</v>
      </c>
      <c r="D138" s="74">
        <v>40</v>
      </c>
      <c r="E138" s="74">
        <v>48</v>
      </c>
      <c r="F138" s="74">
        <v>52</v>
      </c>
      <c r="G138" s="74">
        <v>40</v>
      </c>
      <c r="H138" s="74">
        <v>20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228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-37.03</v>
      </c>
      <c r="D142" s="74">
        <v>-37.03</v>
      </c>
      <c r="E142" s="74">
        <v>-37.03</v>
      </c>
      <c r="F142" s="74">
        <v>-37.03</v>
      </c>
      <c r="G142" s="74">
        <v>-37.03</v>
      </c>
      <c r="H142" s="74">
        <v>-37.03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-222.18</v>
      </c>
    </row>
    <row r="143" spans="1:16" x14ac:dyDescent="0.25">
      <c r="A143" s="71" t="s">
        <v>492</v>
      </c>
      <c r="B143" s="74"/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2732.42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2732.42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2723.39</v>
      </c>
      <c r="D148" s="81">
        <v>2.9699999999999989</v>
      </c>
      <c r="E148" s="81">
        <v>10.969999999999999</v>
      </c>
      <c r="F148" s="81">
        <v>14.969999999999999</v>
      </c>
      <c r="G148" s="81">
        <v>2.9699999999999989</v>
      </c>
      <c r="H148" s="81">
        <v>-17.03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2738.2400000000002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296120.43</v>
      </c>
      <c r="D150" s="74">
        <v>267073.25</v>
      </c>
      <c r="E150" s="74">
        <v>285966.64</v>
      </c>
      <c r="F150" s="74">
        <v>278119.21000000002</v>
      </c>
      <c r="G150" s="74">
        <v>279675.08</v>
      </c>
      <c r="H150" s="76">
        <v>267135.62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1674090.2300000004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509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500</v>
      </c>
      <c r="D157" s="74">
        <v>500</v>
      </c>
      <c r="E157" s="74">
        <v>0</v>
      </c>
      <c r="F157" s="74">
        <v>1500</v>
      </c>
      <c r="G157" s="74">
        <v>0</v>
      </c>
      <c r="H157" s="74">
        <v>500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3000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413</v>
      </c>
      <c r="D162" s="74">
        <v>392</v>
      </c>
      <c r="E162" s="74">
        <v>409.5</v>
      </c>
      <c r="F162" s="74">
        <v>399</v>
      </c>
      <c r="G162" s="74">
        <v>385</v>
      </c>
      <c r="H162" s="74">
        <v>484.5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2483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2267.81</v>
      </c>
      <c r="D167" s="74">
        <v>2005.03</v>
      </c>
      <c r="E167" s="74">
        <v>2479.11</v>
      </c>
      <c r="F167" s="74">
        <v>2455.25</v>
      </c>
      <c r="G167" s="74">
        <v>6318.9</v>
      </c>
      <c r="H167" s="74">
        <v>7280.52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22806.620000000003</v>
      </c>
    </row>
    <row r="168" spans="1:15" x14ac:dyDescent="0.25">
      <c r="A168" s="71" t="s">
        <v>168</v>
      </c>
      <c r="B168" s="74"/>
      <c r="C168" s="74">
        <v>52.24</v>
      </c>
      <c r="D168" s="74">
        <v>18</v>
      </c>
      <c r="E168" s="74">
        <v>185.12</v>
      </c>
      <c r="F168" s="74">
        <v>136.16</v>
      </c>
      <c r="G168" s="74">
        <v>0</v>
      </c>
      <c r="H168" s="74">
        <v>839.2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1230.72</v>
      </c>
    </row>
    <row r="169" spans="1:15" x14ac:dyDescent="0.25">
      <c r="A169" s="71" t="s">
        <v>169</v>
      </c>
      <c r="B169" s="74"/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202.99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202.99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5">
      <c r="A176" s="71" t="s">
        <v>176</v>
      </c>
      <c r="B176" s="74"/>
      <c r="C176" s="74">
        <v>0</v>
      </c>
      <c r="D176" s="74">
        <v>2735.29</v>
      </c>
      <c r="E176" s="74">
        <v>0</v>
      </c>
      <c r="F176" s="74">
        <v>0</v>
      </c>
      <c r="G176" s="74">
        <v>0</v>
      </c>
      <c r="H176" s="74">
        <v>-30.46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2704.83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2492.4499999999998</v>
      </c>
      <c r="D178" s="74">
        <v>2193.4699999999998</v>
      </c>
      <c r="E178" s="74">
        <v>2539.04</v>
      </c>
      <c r="F178" s="74">
        <v>2212.0500000000002</v>
      </c>
      <c r="G178" s="74">
        <v>2137.16</v>
      </c>
      <c r="H178" s="74">
        <v>2325.25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13899.42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266.39999999999998</v>
      </c>
      <c r="H183" s="74">
        <v>266.39999999999998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532.79999999999995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133.19999999999999</v>
      </c>
      <c r="F185" s="74">
        <v>66.599999999999994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199.79999999999998</v>
      </c>
    </row>
    <row r="186" spans="1:15" x14ac:dyDescent="0.25">
      <c r="A186" s="71" t="s">
        <v>186</v>
      </c>
      <c r="B186" s="74"/>
      <c r="C186" s="74">
        <v>0</v>
      </c>
      <c r="D186" s="74">
        <v>0</v>
      </c>
      <c r="E186" s="74">
        <v>0</v>
      </c>
      <c r="F186" s="74">
        <v>0</v>
      </c>
      <c r="G186" s="74">
        <v>-20.46</v>
      </c>
      <c r="H186" s="74">
        <v>-3.26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-23.72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0</v>
      </c>
      <c r="D188" s="74">
        <v>0</v>
      </c>
      <c r="E188" s="74">
        <v>0</v>
      </c>
      <c r="F188" s="74">
        <v>0</v>
      </c>
      <c r="G188" s="74">
        <v>3333.33</v>
      </c>
      <c r="H188" s="74">
        <v>6666.66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9999.99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22201.33</v>
      </c>
      <c r="D192" s="74">
        <v>21066.78</v>
      </c>
      <c r="E192" s="74">
        <v>24017.09</v>
      </c>
      <c r="F192" s="74">
        <v>21943.63</v>
      </c>
      <c r="G192" s="74">
        <v>18560.43</v>
      </c>
      <c r="H192" s="74">
        <v>15477.25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123266.51000000001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12739.36</v>
      </c>
      <c r="D194" s="74">
        <v>9161.14</v>
      </c>
      <c r="E194" s="74">
        <v>12255.7</v>
      </c>
      <c r="F194" s="74">
        <v>11050.89</v>
      </c>
      <c r="G194" s="74">
        <v>11490.87</v>
      </c>
      <c r="H194" s="74">
        <v>8200.16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64898.119999999995</v>
      </c>
    </row>
    <row r="195" spans="1:15" x14ac:dyDescent="0.25">
      <c r="A195" s="71" t="s">
        <v>495</v>
      </c>
      <c r="B195" s="74"/>
      <c r="C195" s="74">
        <v>5643.62</v>
      </c>
      <c r="D195" s="74">
        <v>4509.82</v>
      </c>
      <c r="E195" s="74">
        <v>5791.58</v>
      </c>
      <c r="F195" s="74">
        <v>4784.6099999999997</v>
      </c>
      <c r="G195" s="74">
        <v>5945.86</v>
      </c>
      <c r="H195" s="74">
        <v>4682.05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31357.539999999997</v>
      </c>
    </row>
    <row r="196" spans="1:15" x14ac:dyDescent="0.25">
      <c r="A196" s="71" t="s">
        <v>194</v>
      </c>
      <c r="B196" s="74"/>
      <c r="C196" s="74">
        <v>15624.79</v>
      </c>
      <c r="D196" s="74">
        <v>13093.59</v>
      </c>
      <c r="E196" s="74">
        <v>15336.86</v>
      </c>
      <c r="F196" s="74">
        <v>15473.34</v>
      </c>
      <c r="G196" s="74">
        <v>20244.939999999999</v>
      </c>
      <c r="H196" s="74">
        <v>16932.2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96705.72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6195.32</v>
      </c>
      <c r="D200" s="74">
        <v>5083.79</v>
      </c>
      <c r="E200" s="74">
        <v>6949.22</v>
      </c>
      <c r="F200" s="74">
        <v>5431.25</v>
      </c>
      <c r="G200" s="74">
        <v>5033.6499999999996</v>
      </c>
      <c r="H200" s="74">
        <v>3579.94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32273.170000000002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4920</v>
      </c>
      <c r="D202" s="74">
        <v>3263.64</v>
      </c>
      <c r="E202" s="74">
        <v>2450.0700000000002</v>
      </c>
      <c r="F202" s="74">
        <v>3529.2</v>
      </c>
      <c r="G202" s="74">
        <v>2626.21</v>
      </c>
      <c r="H202" s="74">
        <v>2945.06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19734.18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3638.82</v>
      </c>
      <c r="D204" s="74">
        <v>1374.49</v>
      </c>
      <c r="E204" s="74">
        <v>1367.43</v>
      </c>
      <c r="F204" s="74">
        <v>2763.93</v>
      </c>
      <c r="G204" s="74">
        <v>111.01</v>
      </c>
      <c r="H204" s="74">
        <v>2410.12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11665.8</v>
      </c>
    </row>
    <row r="205" spans="1:15" x14ac:dyDescent="0.25">
      <c r="A205" s="71" t="s">
        <v>201</v>
      </c>
      <c r="B205" s="74"/>
      <c r="C205" s="74">
        <v>2354.92</v>
      </c>
      <c r="D205" s="74">
        <v>482.37</v>
      </c>
      <c r="E205" s="74">
        <v>473.13</v>
      </c>
      <c r="F205" s="74">
        <v>1826.47</v>
      </c>
      <c r="G205" s="74">
        <v>601.72</v>
      </c>
      <c r="H205" s="74">
        <v>1203.3599999999999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6941.97</v>
      </c>
    </row>
    <row r="206" spans="1:15" x14ac:dyDescent="0.25">
      <c r="A206" s="71" t="s">
        <v>202</v>
      </c>
      <c r="B206" s="74"/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5">
      <c r="A207" s="71" t="s">
        <v>203</v>
      </c>
      <c r="B207" s="74"/>
      <c r="C207" s="74">
        <v>359</v>
      </c>
      <c r="D207" s="74">
        <v>64.67</v>
      </c>
      <c r="E207" s="74">
        <v>394</v>
      </c>
      <c r="F207" s="74">
        <v>431.5</v>
      </c>
      <c r="G207" s="74">
        <v>788.5</v>
      </c>
      <c r="H207" s="74">
        <v>394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2431.67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1862.14</v>
      </c>
      <c r="D209" s="74">
        <v>2912.93</v>
      </c>
      <c r="E209" s="74">
        <v>1721.36</v>
      </c>
      <c r="F209" s="74">
        <v>1117.6500000000001</v>
      </c>
      <c r="G209" s="74">
        <v>765.79</v>
      </c>
      <c r="H209" s="74">
        <v>1340.26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9720.1299999999992</v>
      </c>
    </row>
    <row r="210" spans="1:15" x14ac:dyDescent="0.25">
      <c r="A210" s="71" t="s">
        <v>206</v>
      </c>
      <c r="B210" s="74"/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</row>
    <row r="211" spans="1:15" x14ac:dyDescent="0.25">
      <c r="A211" s="71" t="s">
        <v>207</v>
      </c>
      <c r="B211" s="74"/>
      <c r="C211" s="74">
        <v>0</v>
      </c>
      <c r="D211" s="74">
        <v>136</v>
      </c>
      <c r="E211" s="74">
        <v>1224</v>
      </c>
      <c r="F211" s="74">
        <v>1657.42</v>
      </c>
      <c r="G211" s="74">
        <v>4595.17</v>
      </c>
      <c r="H211" s="74">
        <v>14569.66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22182.25</v>
      </c>
    </row>
    <row r="212" spans="1:15" x14ac:dyDescent="0.25">
      <c r="A212" s="71" t="s">
        <v>208</v>
      </c>
      <c r="B212" s="74"/>
      <c r="C212" s="74">
        <v>485.84</v>
      </c>
      <c r="D212" s="74">
        <v>932.61</v>
      </c>
      <c r="E212" s="74">
        <v>267.72000000000003</v>
      </c>
      <c r="F212" s="74">
        <v>1699</v>
      </c>
      <c r="G212" s="74">
        <v>773.12</v>
      </c>
      <c r="H212" s="74">
        <v>1469.6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5627.8899999999994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162.80000000000001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162.80000000000001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306.42</v>
      </c>
      <c r="D217" s="74">
        <v>0</v>
      </c>
      <c r="E217" s="74">
        <v>0</v>
      </c>
      <c r="F217" s="74">
        <v>0</v>
      </c>
      <c r="G217" s="74">
        <v>0</v>
      </c>
      <c r="H217" s="74">
        <v>342.42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648.84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420.24</v>
      </c>
      <c r="D221" s="74">
        <v>1906</v>
      </c>
      <c r="E221" s="74">
        <v>0</v>
      </c>
      <c r="F221" s="74">
        <v>1837.33</v>
      </c>
      <c r="G221" s="74">
        <v>3868</v>
      </c>
      <c r="H221" s="74">
        <v>2634.75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10666.32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1212.08</v>
      </c>
      <c r="D225" s="74">
        <v>1151.25</v>
      </c>
      <c r="E225" s="74">
        <v>1264.5999999999999</v>
      </c>
      <c r="F225" s="74">
        <v>632.75</v>
      </c>
      <c r="G225" s="74">
        <v>1167.5999999999999</v>
      </c>
      <c r="H225" s="74">
        <v>632.4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6060.68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4775.97</v>
      </c>
      <c r="D227" s="74">
        <v>-1422.17</v>
      </c>
      <c r="E227" s="74">
        <v>538.51</v>
      </c>
      <c r="F227" s="74">
        <v>10096.469999999999</v>
      </c>
      <c r="G227" s="74">
        <v>1906.61</v>
      </c>
      <c r="H227" s="74">
        <v>4667.99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20563.379999999997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88465.35000000002</v>
      </c>
      <c r="D244" s="74">
        <v>71560.699999999983</v>
      </c>
      <c r="E244" s="74">
        <v>79960.040000000008</v>
      </c>
      <c r="F244" s="74">
        <v>91044.499999999985</v>
      </c>
      <c r="G244" s="74">
        <v>90899.81</v>
      </c>
      <c r="H244" s="74">
        <v>100013.02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521943.41999999993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16003.59</v>
      </c>
      <c r="D247" s="74">
        <v>14029.75</v>
      </c>
      <c r="E247" s="74">
        <v>17499.86</v>
      </c>
      <c r="F247" s="74">
        <v>16557.34</v>
      </c>
      <c r="G247" s="74">
        <v>17430.189999999999</v>
      </c>
      <c r="H247" s="74">
        <v>16768.38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98289.11</v>
      </c>
    </row>
    <row r="248" spans="1:16" x14ac:dyDescent="0.25">
      <c r="A248" s="71" t="s">
        <v>243</v>
      </c>
      <c r="B248" s="74"/>
      <c r="C248" s="74">
        <v>903.43</v>
      </c>
      <c r="D248" s="74">
        <v>120</v>
      </c>
      <c r="E248" s="74">
        <v>457.5</v>
      </c>
      <c r="F248" s="74">
        <v>670.44</v>
      </c>
      <c r="G248" s="74">
        <v>120</v>
      </c>
      <c r="H248" s="74">
        <v>1512.57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3783.9399999999996</v>
      </c>
    </row>
    <row r="249" spans="1:16" x14ac:dyDescent="0.25">
      <c r="A249" s="71" t="s">
        <v>244</v>
      </c>
      <c r="B249" s="74"/>
      <c r="C249" s="74">
        <v>372.48</v>
      </c>
      <c r="D249" s="74">
        <v>526.08000000000004</v>
      </c>
      <c r="E249" s="74">
        <v>416.01</v>
      </c>
      <c r="F249" s="74">
        <v>179.49</v>
      </c>
      <c r="G249" s="74">
        <v>353.84</v>
      </c>
      <c r="H249" s="74">
        <v>356.24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2204.1400000000003</v>
      </c>
    </row>
    <row r="250" spans="1:16" x14ac:dyDescent="0.25">
      <c r="A250" s="71" t="s">
        <v>245</v>
      </c>
      <c r="B250" s="74"/>
      <c r="C250" s="74">
        <v>565.82000000000005</v>
      </c>
      <c r="D250" s="74">
        <v>458.61</v>
      </c>
      <c r="E250" s="74">
        <v>709.72</v>
      </c>
      <c r="F250" s="74">
        <v>140.53</v>
      </c>
      <c r="G250" s="74">
        <v>534.36</v>
      </c>
      <c r="H250" s="74">
        <v>605.77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3014.81</v>
      </c>
    </row>
    <row r="251" spans="1:16" x14ac:dyDescent="0.25">
      <c r="A251" s="71" t="s">
        <v>246</v>
      </c>
      <c r="B251" s="74"/>
      <c r="C251" s="74">
        <v>9261.7199999999993</v>
      </c>
      <c r="D251" s="74">
        <v>10067.620000000001</v>
      </c>
      <c r="E251" s="74">
        <v>13184.73</v>
      </c>
      <c r="F251" s="74">
        <v>8405.17</v>
      </c>
      <c r="G251" s="74">
        <v>9783.57</v>
      </c>
      <c r="H251" s="74">
        <v>12472.29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63175.1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198.9</v>
      </c>
      <c r="D253" s="74">
        <v>242.47</v>
      </c>
      <c r="E253" s="74">
        <v>198</v>
      </c>
      <c r="F253" s="74">
        <v>237.42</v>
      </c>
      <c r="G253" s="74">
        <v>193</v>
      </c>
      <c r="H253" s="74">
        <v>188.73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1258.52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680.4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680.4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6" x14ac:dyDescent="0.25">
      <c r="A260" s="71" t="s">
        <v>255</v>
      </c>
      <c r="C260" s="83">
        <v>-261.12</v>
      </c>
      <c r="D260" s="83">
        <v>71.3</v>
      </c>
      <c r="E260" s="83">
        <v>71.3</v>
      </c>
      <c r="F260" s="83">
        <v>71.3</v>
      </c>
      <c r="G260" s="83">
        <v>81.3</v>
      </c>
      <c r="H260" s="83">
        <v>-252.12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-218.04000000000002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27044.820000000003</v>
      </c>
      <c r="D262" s="74">
        <v>25515.83</v>
      </c>
      <c r="E262" s="74">
        <v>33217.520000000004</v>
      </c>
      <c r="F262" s="74">
        <v>26261.69</v>
      </c>
      <c r="G262" s="74">
        <v>28496.26</v>
      </c>
      <c r="H262" s="74">
        <v>31651.860000000004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172187.97999999998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3376</v>
      </c>
      <c r="D265" s="74">
        <v>3158</v>
      </c>
      <c r="E265" s="74">
        <v>3290</v>
      </c>
      <c r="F265" s="74">
        <v>3150</v>
      </c>
      <c r="G265" s="74">
        <v>3168</v>
      </c>
      <c r="H265" s="74">
        <v>2263.5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18405.5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359.38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359.38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457.94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457.94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37.700000000000003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37.700000000000003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0</v>
      </c>
      <c r="D283" s="74">
        <v>0</v>
      </c>
      <c r="E283" s="74">
        <v>60</v>
      </c>
      <c r="F283" s="74">
        <v>687</v>
      </c>
      <c r="G283" s="74">
        <v>-7766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-7019</v>
      </c>
    </row>
    <row r="284" spans="1:15" x14ac:dyDescent="0.25">
      <c r="A284" s="71" t="s">
        <v>277</v>
      </c>
      <c r="B284" s="74"/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171.29</v>
      </c>
      <c r="D290" s="74">
        <v>222.65</v>
      </c>
      <c r="E290" s="74">
        <v>0</v>
      </c>
      <c r="F290" s="74">
        <v>0</v>
      </c>
      <c r="G290" s="74">
        <v>169.6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563.54</v>
      </c>
    </row>
    <row r="291" spans="1:15" x14ac:dyDescent="0.25">
      <c r="A291" s="71" t="s">
        <v>284</v>
      </c>
      <c r="B291" s="74"/>
      <c r="C291" s="74">
        <v>868.87</v>
      </c>
      <c r="D291" s="74">
        <v>502.07</v>
      </c>
      <c r="E291" s="74">
        <v>691.36</v>
      </c>
      <c r="F291" s="74">
        <v>723.1</v>
      </c>
      <c r="G291" s="74">
        <v>378.58</v>
      </c>
      <c r="H291" s="74">
        <v>1815.6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4979.58</v>
      </c>
    </row>
    <row r="292" spans="1:15" x14ac:dyDescent="0.25">
      <c r="A292" s="71" t="s">
        <v>285</v>
      </c>
      <c r="B292" s="74"/>
      <c r="C292" s="74">
        <v>0</v>
      </c>
      <c r="D292" s="74">
        <v>0</v>
      </c>
      <c r="E292" s="74">
        <v>240.25</v>
      </c>
      <c r="F292" s="74">
        <v>300.27</v>
      </c>
      <c r="G292" s="74">
        <v>300.10000000000002</v>
      </c>
      <c r="H292" s="74">
        <v>240.25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1080.8699999999999</v>
      </c>
    </row>
    <row r="293" spans="1:15" x14ac:dyDescent="0.25">
      <c r="A293" s="71" t="s">
        <v>286</v>
      </c>
      <c r="B293" s="74"/>
      <c r="C293" s="74">
        <v>1315.22</v>
      </c>
      <c r="D293" s="74">
        <v>1721.19</v>
      </c>
      <c r="E293" s="74">
        <v>2122.0700000000002</v>
      </c>
      <c r="F293" s="74">
        <v>1855.63</v>
      </c>
      <c r="G293" s="74">
        <v>2271.23</v>
      </c>
      <c r="H293" s="74">
        <v>994.8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10280.14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40</v>
      </c>
      <c r="D296" s="74">
        <v>40</v>
      </c>
      <c r="E296" s="74">
        <v>40</v>
      </c>
      <c r="F296" s="74">
        <v>0</v>
      </c>
      <c r="G296" s="74">
        <v>120</v>
      </c>
      <c r="H296" s="74">
        <v>672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912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x14ac:dyDescent="0.25">
      <c r="A304" s="71" t="s">
        <v>499</v>
      </c>
      <c r="B304" s="74"/>
      <c r="C304" s="74">
        <v>4445.01</v>
      </c>
      <c r="D304" s="74">
        <v>4001.62</v>
      </c>
      <c r="E304" s="74">
        <v>5734.78</v>
      </c>
      <c r="F304" s="74">
        <v>5188.37</v>
      </c>
      <c r="G304" s="74">
        <v>4888.3999999999996</v>
      </c>
      <c r="H304" s="74">
        <v>3324.9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27583.08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400.97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400.97</v>
      </c>
    </row>
    <row r="306" spans="1:16" x14ac:dyDescent="0.25">
      <c r="A306" s="71" t="s">
        <v>501</v>
      </c>
      <c r="B306" s="74"/>
      <c r="C306" s="74">
        <v>5817.6</v>
      </c>
      <c r="D306" s="74">
        <v>5769.12</v>
      </c>
      <c r="E306" s="74">
        <v>6520.56</v>
      </c>
      <c r="F306" s="74">
        <v>5817.6</v>
      </c>
      <c r="G306" s="74">
        <v>4949</v>
      </c>
      <c r="H306" s="74">
        <v>5932.74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34806.620000000003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16033.99</v>
      </c>
      <c r="D321" s="74">
        <v>15414.649999999998</v>
      </c>
      <c r="E321" s="74">
        <v>18699.02</v>
      </c>
      <c r="F321" s="74">
        <v>17721.97</v>
      </c>
      <c r="G321" s="74">
        <v>8478.91</v>
      </c>
      <c r="H321" s="74">
        <v>16499.78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92848.320000000007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3385.57</v>
      </c>
      <c r="D324" s="74">
        <v>3343.91</v>
      </c>
      <c r="E324" s="74">
        <v>3467.58</v>
      </c>
      <c r="F324" s="74">
        <v>3448.71</v>
      </c>
      <c r="G324" s="74">
        <v>3075.79</v>
      </c>
      <c r="H324" s="74">
        <v>1673.25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18394.810000000001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0</v>
      </c>
      <c r="D326" s="74">
        <v>0</v>
      </c>
      <c r="E326" s="74">
        <v>0</v>
      </c>
      <c r="F326" s="74">
        <v>548.16999999999996</v>
      </c>
      <c r="G326" s="74">
        <v>0</v>
      </c>
      <c r="H326" s="74">
        <v>517.14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1065.31</v>
      </c>
    </row>
    <row r="327" spans="1:16" x14ac:dyDescent="0.25">
      <c r="A327" s="71" t="s">
        <v>315</v>
      </c>
      <c r="B327" s="74"/>
      <c r="C327" s="74">
        <v>0</v>
      </c>
      <c r="D327" s="74">
        <v>0</v>
      </c>
      <c r="E327" s="74">
        <v>0</v>
      </c>
      <c r="F327" s="74">
        <v>349</v>
      </c>
      <c r="G327" s="74">
        <v>0</v>
      </c>
      <c r="H327" s="74">
        <v>330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679</v>
      </c>
    </row>
    <row r="328" spans="1:16" x14ac:dyDescent="0.25">
      <c r="A328" s="71" t="s">
        <v>316</v>
      </c>
      <c r="B328" s="74"/>
      <c r="C328" s="74">
        <v>0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0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194.4</v>
      </c>
      <c r="E333" s="74">
        <v>0</v>
      </c>
      <c r="F333" s="74">
        <v>0</v>
      </c>
      <c r="G333" s="74">
        <v>322.45999999999998</v>
      </c>
      <c r="H333" s="74">
        <v>777.6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1294.46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291.60000000000002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291.60000000000002</v>
      </c>
    </row>
    <row r="336" spans="1:16" x14ac:dyDescent="0.25">
      <c r="A336" s="71" t="s">
        <v>324</v>
      </c>
      <c r="C336" s="83">
        <v>35.65</v>
      </c>
      <c r="D336" s="83">
        <v>35.65</v>
      </c>
      <c r="E336" s="83">
        <v>35.65</v>
      </c>
      <c r="F336" s="83">
        <v>35.65</v>
      </c>
      <c r="G336" s="83">
        <v>61.65</v>
      </c>
      <c r="H336" s="83">
        <v>35.65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239.9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3712.82</v>
      </c>
      <c r="D338" s="74">
        <v>3573.96</v>
      </c>
      <c r="E338" s="74">
        <v>3503.23</v>
      </c>
      <c r="F338" s="74">
        <v>4381.53</v>
      </c>
      <c r="G338" s="74">
        <v>3459.9</v>
      </c>
      <c r="H338" s="74">
        <v>3333.64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21965.08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7942.85</v>
      </c>
      <c r="D341" s="74">
        <v>5960.16</v>
      </c>
      <c r="E341" s="74">
        <v>6785.82</v>
      </c>
      <c r="F341" s="74">
        <v>5716.87</v>
      </c>
      <c r="G341" s="74">
        <v>8377.7099999999991</v>
      </c>
      <c r="H341" s="74">
        <v>8351.92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43135.33</v>
      </c>
    </row>
    <row r="342" spans="1:16" x14ac:dyDescent="0.25">
      <c r="A342" s="71" t="s">
        <v>329</v>
      </c>
      <c r="B342" s="74"/>
      <c r="C342" s="74">
        <v>5909.24</v>
      </c>
      <c r="D342" s="74">
        <v>2006.86</v>
      </c>
      <c r="E342" s="74">
        <v>2445.4699999999998</v>
      </c>
      <c r="F342" s="74">
        <v>610.45000000000005</v>
      </c>
      <c r="G342" s="74">
        <v>1137.8800000000001</v>
      </c>
      <c r="H342" s="74">
        <v>979.78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13089.680000000002</v>
      </c>
    </row>
    <row r="343" spans="1:16" x14ac:dyDescent="0.25">
      <c r="A343" s="71" t="s">
        <v>330</v>
      </c>
      <c r="B343" s="74"/>
      <c r="C343" s="74">
        <v>0</v>
      </c>
      <c r="D343" s="74">
        <v>0</v>
      </c>
      <c r="E343" s="74">
        <v>0</v>
      </c>
      <c r="F343" s="74">
        <v>525.5</v>
      </c>
      <c r="G343" s="74">
        <v>0</v>
      </c>
      <c r="H343" s="74">
        <v>495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1020.5</v>
      </c>
    </row>
    <row r="344" spans="1:16" x14ac:dyDescent="0.25">
      <c r="A344" s="71" t="s">
        <v>331</v>
      </c>
      <c r="B344" s="74"/>
      <c r="C344" s="74">
        <v>642.69000000000005</v>
      </c>
      <c r="D344" s="74">
        <v>800.32</v>
      </c>
      <c r="E344" s="74">
        <v>1739.54</v>
      </c>
      <c r="F344" s="74">
        <v>439.38</v>
      </c>
      <c r="G344" s="74">
        <v>1087.99</v>
      </c>
      <c r="H344" s="74">
        <v>1354.28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6064.2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228</v>
      </c>
      <c r="F349" s="74">
        <v>114</v>
      </c>
      <c r="G349" s="74">
        <v>114</v>
      </c>
      <c r="H349" s="74">
        <v>2367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2823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228</v>
      </c>
      <c r="D351" s="74">
        <v>114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342</v>
      </c>
    </row>
    <row r="352" spans="1:16" x14ac:dyDescent="0.25">
      <c r="A352" s="71" t="s">
        <v>339</v>
      </c>
      <c r="C352" s="83">
        <v>306.82</v>
      </c>
      <c r="D352" s="83">
        <v>268.82</v>
      </c>
      <c r="E352" s="83">
        <v>287.82</v>
      </c>
      <c r="F352" s="83">
        <v>287.82</v>
      </c>
      <c r="G352" s="83">
        <v>439.26</v>
      </c>
      <c r="H352" s="83">
        <v>335.8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1926.34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15029.6</v>
      </c>
      <c r="D354" s="74">
        <v>9150.16</v>
      </c>
      <c r="E354" s="74">
        <v>11486.649999999998</v>
      </c>
      <c r="F354" s="74">
        <v>7694.0199999999995</v>
      </c>
      <c r="G354" s="74">
        <v>11156.84</v>
      </c>
      <c r="H354" s="74">
        <v>13883.78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68401.049999999988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2616.41</v>
      </c>
      <c r="D358" s="74">
        <v>2982.66</v>
      </c>
      <c r="E358" s="74">
        <v>3212.39</v>
      </c>
      <c r="F358" s="74">
        <v>3027.45</v>
      </c>
      <c r="G358" s="74">
        <v>3182.6</v>
      </c>
      <c r="H358" s="74">
        <v>2659.48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17680.990000000002</v>
      </c>
    </row>
    <row r="359" spans="1:16" x14ac:dyDescent="0.25">
      <c r="A359" s="71" t="s">
        <v>344</v>
      </c>
      <c r="B359" s="74"/>
      <c r="C359" s="74">
        <v>0</v>
      </c>
      <c r="D359" s="74">
        <v>0</v>
      </c>
      <c r="E359" s="74">
        <v>250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250</v>
      </c>
    </row>
    <row r="360" spans="1:16" x14ac:dyDescent="0.25">
      <c r="A360" s="71" t="s">
        <v>345</v>
      </c>
      <c r="B360" s="74"/>
      <c r="C360" s="74">
        <v>863.34</v>
      </c>
      <c r="D360" s="74">
        <v>888.96</v>
      </c>
      <c r="E360" s="74">
        <v>1041.17</v>
      </c>
      <c r="F360" s="74">
        <v>408.07</v>
      </c>
      <c r="G360" s="74">
        <v>1912.08</v>
      </c>
      <c r="H360" s="74">
        <v>937.26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6050.880000000001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91</v>
      </c>
      <c r="D362" s="74">
        <v>0</v>
      </c>
      <c r="E362" s="74">
        <v>0</v>
      </c>
      <c r="F362" s="74">
        <v>0</v>
      </c>
      <c r="G362" s="74">
        <v>207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298</v>
      </c>
    </row>
    <row r="363" spans="1:16" x14ac:dyDescent="0.25">
      <c r="A363" s="71" t="s">
        <v>348</v>
      </c>
      <c r="B363" s="74"/>
      <c r="C363" s="74">
        <v>815.71</v>
      </c>
      <c r="D363" s="74">
        <v>288.97000000000003</v>
      </c>
      <c r="E363" s="74">
        <v>404.74</v>
      </c>
      <c r="F363" s="74">
        <v>321.52999999999997</v>
      </c>
      <c r="G363" s="74">
        <v>321.83</v>
      </c>
      <c r="H363" s="74">
        <v>326.70999999999998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2479.4900000000002</v>
      </c>
    </row>
    <row r="364" spans="1:16" x14ac:dyDescent="0.25">
      <c r="A364" s="71" t="s">
        <v>349</v>
      </c>
      <c r="B364" s="74"/>
      <c r="C364" s="74">
        <v>672.93</v>
      </c>
      <c r="D364" s="74">
        <v>672.93</v>
      </c>
      <c r="E364" s="74">
        <v>0</v>
      </c>
      <c r="F364" s="74">
        <v>672.93</v>
      </c>
      <c r="G364" s="74">
        <v>672.93</v>
      </c>
      <c r="H364" s="74">
        <v>1345.86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4037.58</v>
      </c>
    </row>
    <row r="365" spans="1:16" x14ac:dyDescent="0.25">
      <c r="A365" s="71" t="s">
        <v>350</v>
      </c>
      <c r="B365" s="74"/>
      <c r="C365" s="74">
        <v>0</v>
      </c>
      <c r="D365" s="74">
        <v>0</v>
      </c>
      <c r="E365" s="74">
        <v>0</v>
      </c>
      <c r="F365" s="74">
        <v>0</v>
      </c>
      <c r="G365" s="74">
        <v>116</v>
      </c>
      <c r="H365" s="74">
        <v>322.72000000000003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438.72</v>
      </c>
    </row>
    <row r="366" spans="1:16" x14ac:dyDescent="0.25">
      <c r="A366" s="71" t="s">
        <v>351</v>
      </c>
      <c r="B366" s="74"/>
      <c r="C366" s="74">
        <v>4916.49</v>
      </c>
      <c r="D366" s="74">
        <v>4033.87</v>
      </c>
      <c r="E366" s="74">
        <v>2231</v>
      </c>
      <c r="F366" s="74">
        <v>3873.85</v>
      </c>
      <c r="G366" s="74">
        <v>2467.11</v>
      </c>
      <c r="H366" s="74">
        <v>3885.16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21407.48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730</v>
      </c>
      <c r="D370" s="74">
        <v>0</v>
      </c>
      <c r="E370" s="74">
        <v>0</v>
      </c>
      <c r="F370" s="74">
        <v>0</v>
      </c>
      <c r="G370" s="74">
        <v>292</v>
      </c>
      <c r="H370" s="74">
        <v>584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1606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146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146</v>
      </c>
    </row>
    <row r="373" spans="1:16" x14ac:dyDescent="0.25">
      <c r="A373" s="71" t="s">
        <v>358</v>
      </c>
      <c r="B373" s="74"/>
      <c r="C373" s="74">
        <v>294.05</v>
      </c>
      <c r="D373" s="74">
        <v>294.05</v>
      </c>
      <c r="E373" s="74">
        <v>294.05</v>
      </c>
      <c r="F373" s="74">
        <v>294.05</v>
      </c>
      <c r="G373" s="74">
        <v>334.05</v>
      </c>
      <c r="H373" s="74">
        <v>268.69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1778.94</v>
      </c>
    </row>
    <row r="374" spans="1:16" x14ac:dyDescent="0.25">
      <c r="A374" s="71" t="s">
        <v>359</v>
      </c>
      <c r="B374" s="74"/>
      <c r="C374" s="74">
        <v>372</v>
      </c>
      <c r="D374" s="74">
        <v>0</v>
      </c>
      <c r="E374" s="74">
        <v>0</v>
      </c>
      <c r="F374" s="74">
        <v>0</v>
      </c>
      <c r="G374" s="74">
        <v>303</v>
      </c>
      <c r="H374" s="74">
        <v>303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978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2240.52</v>
      </c>
      <c r="D376" s="74">
        <v>2530.13</v>
      </c>
      <c r="E376" s="74">
        <v>2344.52</v>
      </c>
      <c r="F376" s="74">
        <v>1987.13</v>
      </c>
      <c r="G376" s="74">
        <v>1837.81</v>
      </c>
      <c r="H376" s="74">
        <v>1731.15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12671.259999999998</v>
      </c>
    </row>
    <row r="377" spans="1:16" x14ac:dyDescent="0.25">
      <c r="A377" s="71" t="s">
        <v>362</v>
      </c>
      <c r="C377" s="83">
        <v>1667.37</v>
      </c>
      <c r="D377" s="83">
        <v>2288.37</v>
      </c>
      <c r="E377" s="83">
        <v>1957.03</v>
      </c>
      <c r="F377" s="83">
        <v>1621.25</v>
      </c>
      <c r="G377" s="83">
        <v>1741.57</v>
      </c>
      <c r="H377" s="83">
        <v>1278.8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10554.39</v>
      </c>
      <c r="P377" s="86"/>
    </row>
    <row r="378" spans="1:16" x14ac:dyDescent="0.25">
      <c r="A378" s="71" t="s">
        <v>363</v>
      </c>
      <c r="C378" s="98">
        <v>6329.46</v>
      </c>
      <c r="D378" s="98">
        <v>3378.61</v>
      </c>
      <c r="E378" s="98">
        <v>3017.7</v>
      </c>
      <c r="F378" s="98">
        <v>3191.53</v>
      </c>
      <c r="G378" s="98">
        <v>3252.78</v>
      </c>
      <c r="H378" s="98">
        <v>3772.55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22942.63</v>
      </c>
    </row>
    <row r="379" spans="1:16" x14ac:dyDescent="0.25">
      <c r="A379" s="71" t="s">
        <v>364</v>
      </c>
      <c r="C379" s="74">
        <v>21609.279999999999</v>
      </c>
      <c r="D379" s="74">
        <v>17358.55</v>
      </c>
      <c r="E379" s="74">
        <v>14898.599999999999</v>
      </c>
      <c r="F379" s="74">
        <v>15397.789999999999</v>
      </c>
      <c r="G379" s="74">
        <v>16640.759999999998</v>
      </c>
      <c r="H379" s="74">
        <v>17415.379999999997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103320.36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6840</v>
      </c>
      <c r="D382" s="74">
        <v>6840</v>
      </c>
      <c r="E382" s="74">
        <v>6840</v>
      </c>
      <c r="F382" s="74">
        <v>5261.6</v>
      </c>
      <c r="G382" s="74">
        <v>6840</v>
      </c>
      <c r="H382" s="74">
        <v>6208.64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38830.239999999998</v>
      </c>
    </row>
    <row r="383" spans="1:16" x14ac:dyDescent="0.25">
      <c r="A383" s="71" t="s">
        <v>367</v>
      </c>
      <c r="B383" s="74"/>
      <c r="C383" s="74">
        <v>2618.1799999999998</v>
      </c>
      <c r="D383" s="74">
        <v>2380.66</v>
      </c>
      <c r="E383" s="74">
        <v>3082.75</v>
      </c>
      <c r="F383" s="74">
        <v>2496.54</v>
      </c>
      <c r="G383" s="74">
        <v>2722.43</v>
      </c>
      <c r="H383" s="74">
        <v>2694.43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15994.990000000002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677.99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677.99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60</v>
      </c>
      <c r="D391" s="74">
        <v>60</v>
      </c>
      <c r="E391" s="74">
        <v>60</v>
      </c>
      <c r="F391" s="74">
        <v>60</v>
      </c>
      <c r="G391" s="74">
        <v>60</v>
      </c>
      <c r="H391" s="74">
        <v>60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360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0</v>
      </c>
      <c r="E393" s="74">
        <v>0</v>
      </c>
      <c r="F393" s="74">
        <v>1702.4</v>
      </c>
      <c r="G393" s="74">
        <v>0</v>
      </c>
      <c r="H393" s="74">
        <v>631.36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2333.7600000000002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124</v>
      </c>
      <c r="E395" s="74">
        <v>0</v>
      </c>
      <c r="F395" s="74">
        <v>0</v>
      </c>
      <c r="G395" s="74">
        <v>0</v>
      </c>
      <c r="H395" s="74">
        <v>201.5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325.5</v>
      </c>
    </row>
    <row r="396" spans="1:15" x14ac:dyDescent="0.25">
      <c r="A396" s="71" t="s">
        <v>380</v>
      </c>
      <c r="B396" s="74"/>
      <c r="C396" s="74">
        <v>259.73</v>
      </c>
      <c r="D396" s="74">
        <v>-418.26</v>
      </c>
      <c r="E396" s="74">
        <v>259.73</v>
      </c>
      <c r="F396" s="74">
        <v>259.73</v>
      </c>
      <c r="G396" s="74">
        <v>-10.27</v>
      </c>
      <c r="H396" s="74">
        <v>250.71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601.37000000000012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7418.32</v>
      </c>
      <c r="E400" s="74">
        <v>0</v>
      </c>
      <c r="F400" s="74">
        <v>0</v>
      </c>
      <c r="G400" s="74">
        <v>1662.38</v>
      </c>
      <c r="H400" s="74">
        <v>5000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14080.7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50</v>
      </c>
      <c r="D407" s="74">
        <v>0</v>
      </c>
      <c r="E407" s="74">
        <v>0</v>
      </c>
      <c r="F407" s="74">
        <v>145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195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261.3</v>
      </c>
      <c r="F408" s="74">
        <v>284.85000000000002</v>
      </c>
      <c r="G408" s="74">
        <v>0</v>
      </c>
      <c r="H408" s="74">
        <v>621.22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1668.26</v>
      </c>
    </row>
    <row r="409" spans="1:15" x14ac:dyDescent="0.25">
      <c r="A409" s="71" t="s">
        <v>393</v>
      </c>
      <c r="B409" s="74"/>
      <c r="C409" s="74">
        <v>124.67</v>
      </c>
      <c r="D409" s="74">
        <v>100.18</v>
      </c>
      <c r="E409" s="74">
        <v>103.25</v>
      </c>
      <c r="F409" s="74">
        <v>116.36</v>
      </c>
      <c r="G409" s="74">
        <v>113.46</v>
      </c>
      <c r="H409" s="74">
        <v>88.19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646.11000000000013</v>
      </c>
    </row>
    <row r="410" spans="1:15" x14ac:dyDescent="0.25">
      <c r="A410" s="71" t="s">
        <v>394</v>
      </c>
      <c r="B410" s="74"/>
      <c r="C410" s="74">
        <v>120.17</v>
      </c>
      <c r="D410" s="74">
        <v>147.84</v>
      </c>
      <c r="E410" s="74">
        <v>376.05</v>
      </c>
      <c r="F410" s="74">
        <v>352.12</v>
      </c>
      <c r="G410" s="74">
        <v>550.69000000000005</v>
      </c>
      <c r="H410" s="74">
        <v>628.84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2175.71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112.65</v>
      </c>
      <c r="G411" s="74">
        <v>200.42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313.07</v>
      </c>
    </row>
    <row r="412" spans="1:15" x14ac:dyDescent="0.25">
      <c r="A412" s="71" t="s">
        <v>396</v>
      </c>
      <c r="B412" s="74"/>
      <c r="C412" s="74">
        <v>77.650000000000006</v>
      </c>
      <c r="D412" s="74">
        <v>0</v>
      </c>
      <c r="E412" s="74">
        <v>0</v>
      </c>
      <c r="F412" s="74">
        <v>0</v>
      </c>
      <c r="G412" s="74">
        <v>0</v>
      </c>
      <c r="H412" s="74">
        <v>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77.650000000000006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777.63</v>
      </c>
      <c r="D415" s="74">
        <v>777.63</v>
      </c>
      <c r="E415" s="74">
        <v>777.63</v>
      </c>
      <c r="F415" s="74">
        <v>777.63</v>
      </c>
      <c r="G415" s="74">
        <v>777.63</v>
      </c>
      <c r="H415" s="74">
        <v>777.63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4665.78</v>
      </c>
    </row>
    <row r="416" spans="1:15" x14ac:dyDescent="0.25">
      <c r="A416" s="71" t="s">
        <v>400</v>
      </c>
      <c r="B416" s="74"/>
      <c r="C416" s="74">
        <v>551.25</v>
      </c>
      <c r="D416" s="74">
        <v>551.25</v>
      </c>
      <c r="E416" s="74">
        <v>551.25</v>
      </c>
      <c r="F416" s="74">
        <v>551.25</v>
      </c>
      <c r="G416" s="74">
        <v>551.25</v>
      </c>
      <c r="H416" s="74">
        <v>551.25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3307.5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3601.73</v>
      </c>
      <c r="D419" s="74">
        <v>3090.91</v>
      </c>
      <c r="E419" s="74">
        <v>5972.6</v>
      </c>
      <c r="F419" s="74">
        <v>304.45</v>
      </c>
      <c r="G419" s="74">
        <v>3618.3</v>
      </c>
      <c r="H419" s="74">
        <v>3295.03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19883.02</v>
      </c>
    </row>
    <row r="420" spans="1:15" x14ac:dyDescent="0.25">
      <c r="A420" s="71" t="s">
        <v>404</v>
      </c>
      <c r="B420" s="74"/>
      <c r="C420" s="74">
        <v>186.06</v>
      </c>
      <c r="D420" s="74">
        <v>155.86000000000001</v>
      </c>
      <c r="E420" s="74">
        <v>101.71</v>
      </c>
      <c r="F420" s="74">
        <v>238.2</v>
      </c>
      <c r="G420" s="74">
        <v>180.15</v>
      </c>
      <c r="H420" s="74">
        <v>109.95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971.93</v>
      </c>
    </row>
    <row r="421" spans="1:15" x14ac:dyDescent="0.25">
      <c r="A421" s="71" t="s">
        <v>405</v>
      </c>
      <c r="B421" s="74"/>
      <c r="C421" s="74">
        <v>1698.53</v>
      </c>
      <c r="D421" s="74">
        <v>1022.38</v>
      </c>
      <c r="E421" s="74">
        <v>487.05</v>
      </c>
      <c r="F421" s="74">
        <v>906.56</v>
      </c>
      <c r="G421" s="74">
        <v>82.79</v>
      </c>
      <c r="H421" s="74">
        <v>1040.92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5238.2300000000005</v>
      </c>
    </row>
    <row r="422" spans="1:15" x14ac:dyDescent="0.25">
      <c r="A422" s="71" t="s">
        <v>406</v>
      </c>
      <c r="B422" s="74"/>
      <c r="C422" s="74">
        <v>13452.75</v>
      </c>
      <c r="D422" s="74">
        <v>12268.16</v>
      </c>
      <c r="E422" s="74">
        <v>13154.34</v>
      </c>
      <c r="F422" s="74">
        <v>12695.23</v>
      </c>
      <c r="G422" s="74">
        <v>12783.35</v>
      </c>
      <c r="H422" s="74">
        <v>12240.39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76594.22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25</v>
      </c>
      <c r="D425" s="74">
        <v>30</v>
      </c>
      <c r="E425" s="74">
        <v>221.25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276.25</v>
      </c>
    </row>
    <row r="426" spans="1:15" x14ac:dyDescent="0.25">
      <c r="A426" s="71" t="s">
        <v>410</v>
      </c>
      <c r="B426" s="74"/>
      <c r="C426" s="74">
        <v>9373.24</v>
      </c>
      <c r="D426" s="74">
        <v>7821.03</v>
      </c>
      <c r="E426" s="74">
        <v>9145.56</v>
      </c>
      <c r="F426" s="74">
        <v>8367.0300000000007</v>
      </c>
      <c r="G426" s="74">
        <v>9569.09</v>
      </c>
      <c r="H426" s="74">
        <v>8867.56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53143.509999999995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143.58000000000001</v>
      </c>
      <c r="D428" s="74">
        <v>0</v>
      </c>
      <c r="E428" s="74">
        <v>70</v>
      </c>
      <c r="F428" s="74">
        <v>121.99</v>
      </c>
      <c r="G428" s="74">
        <v>72.16</v>
      </c>
      <c r="H428" s="74">
        <v>80.64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488.37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0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416.26</v>
      </c>
      <c r="D432" s="74">
        <v>309.11</v>
      </c>
      <c r="E432" s="74">
        <v>317.86</v>
      </c>
      <c r="F432" s="74">
        <v>126.6</v>
      </c>
      <c r="G432" s="74">
        <v>688.02</v>
      </c>
      <c r="H432" s="74">
        <v>314.06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2171.91</v>
      </c>
    </row>
    <row r="433" spans="1:16" x14ac:dyDescent="0.25">
      <c r="A433" s="71" t="s">
        <v>416</v>
      </c>
      <c r="B433" s="74"/>
      <c r="C433" s="74">
        <v>21649</v>
      </c>
      <c r="D433" s="74">
        <v>21649</v>
      </c>
      <c r="E433" s="74">
        <v>21649</v>
      </c>
      <c r="F433" s="74">
        <v>21649</v>
      </c>
      <c r="G433" s="74">
        <v>21649</v>
      </c>
      <c r="H433" s="74">
        <v>21649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129894</v>
      </c>
    </row>
    <row r="434" spans="1:16" x14ac:dyDescent="0.25">
      <c r="A434" s="71" t="s">
        <v>417</v>
      </c>
      <c r="B434" s="74"/>
      <c r="C434" s="74">
        <v>1919.2</v>
      </c>
      <c r="D434" s="74">
        <v>1867.34</v>
      </c>
      <c r="E434" s="74">
        <v>1569.61</v>
      </c>
      <c r="F434" s="74">
        <v>1802.04</v>
      </c>
      <c r="G434" s="74">
        <v>1855.81</v>
      </c>
      <c r="H434" s="74">
        <v>1725.19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10739.19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950.05</v>
      </c>
      <c r="D436" s="74">
        <v>457.11</v>
      </c>
      <c r="E436" s="74">
        <v>598.13</v>
      </c>
      <c r="F436" s="74">
        <v>497.18</v>
      </c>
      <c r="G436" s="74">
        <v>510.67</v>
      </c>
      <c r="H436" s="74">
        <v>495.63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3508.77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0</v>
      </c>
      <c r="H439" s="100">
        <v>405.1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405.1</v>
      </c>
    </row>
    <row r="440" spans="1:16" x14ac:dyDescent="0.25">
      <c r="A440" s="71" t="s">
        <v>423</v>
      </c>
      <c r="C440" s="74">
        <v>65796.86</v>
      </c>
      <c r="D440" s="74">
        <v>68247</v>
      </c>
      <c r="E440" s="74">
        <v>67307.959999999992</v>
      </c>
      <c r="F440" s="74">
        <v>59487.299999999996</v>
      </c>
      <c r="G440" s="74">
        <v>65136.219999999994</v>
      </c>
      <c r="H440" s="74">
        <v>68596.13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394571.47000000003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7334.86</v>
      </c>
      <c r="D443" s="74">
        <v>6676.76</v>
      </c>
      <c r="E443" s="74">
        <v>7169.08</v>
      </c>
      <c r="F443" s="74">
        <v>6914.02</v>
      </c>
      <c r="G443" s="74">
        <v>6962.97</v>
      </c>
      <c r="H443" s="74">
        <v>6661.33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41719.019999999997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673.87</v>
      </c>
      <c r="D445" s="74">
        <v>673.87</v>
      </c>
      <c r="E445" s="74">
        <v>673.87</v>
      </c>
      <c r="F445" s="74">
        <v>673.87</v>
      </c>
      <c r="G445" s="74">
        <v>673.87</v>
      </c>
      <c r="H445" s="74">
        <v>673.87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4043.22</v>
      </c>
    </row>
    <row r="446" spans="1:16" x14ac:dyDescent="0.25">
      <c r="A446" s="71" t="s">
        <v>428</v>
      </c>
      <c r="B446" s="74"/>
      <c r="C446" s="74">
        <v>35399.97</v>
      </c>
      <c r="D446" s="74">
        <v>35399.97</v>
      </c>
      <c r="E446" s="74">
        <v>38766.089999999997</v>
      </c>
      <c r="F446" s="74">
        <v>37083.03</v>
      </c>
      <c r="G446" s="74">
        <v>37083.03</v>
      </c>
      <c r="H446" s="74">
        <v>37083.03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220815.12</v>
      </c>
    </row>
    <row r="447" spans="1:16" x14ac:dyDescent="0.25">
      <c r="A447" s="71" t="s">
        <v>429</v>
      </c>
      <c r="B447" s="74"/>
      <c r="C447" s="74">
        <v>37.5</v>
      </c>
      <c r="D447" s="74">
        <v>393.5</v>
      </c>
      <c r="E447" s="74">
        <v>649.04</v>
      </c>
      <c r="F447" s="74">
        <v>0</v>
      </c>
      <c r="G447" s="74">
        <v>75</v>
      </c>
      <c r="H447" s="74">
        <v>37.5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1192.54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862</v>
      </c>
      <c r="D451" s="83">
        <v>862</v>
      </c>
      <c r="E451" s="83">
        <v>862</v>
      </c>
      <c r="F451" s="83">
        <v>862</v>
      </c>
      <c r="G451" s="83">
        <v>862</v>
      </c>
      <c r="H451" s="83">
        <v>862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5172</v>
      </c>
      <c r="P451" s="86"/>
    </row>
    <row r="452" spans="1:16" x14ac:dyDescent="0.25">
      <c r="A452" s="71" t="s">
        <v>434</v>
      </c>
      <c r="C452" s="74">
        <v>41.26</v>
      </c>
      <c r="D452" s="74">
        <v>41.26</v>
      </c>
      <c r="E452" s="74">
        <v>41.26</v>
      </c>
      <c r="F452" s="74">
        <v>41.26</v>
      </c>
      <c r="G452" s="74">
        <v>41.26</v>
      </c>
      <c r="H452" s="74">
        <v>41.26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247.55999999999997</v>
      </c>
    </row>
    <row r="453" spans="1:16" ht="18.75" thickBot="1" x14ac:dyDescent="0.3">
      <c r="A453" s="85" t="s">
        <v>435</v>
      </c>
      <c r="B453" s="85"/>
      <c r="C453" s="81">
        <v>44349.46</v>
      </c>
      <c r="D453" s="81">
        <v>44047.360000000001</v>
      </c>
      <c r="E453" s="81">
        <v>48161.34</v>
      </c>
      <c r="F453" s="81">
        <v>45574.18</v>
      </c>
      <c r="G453" s="81">
        <v>45698.13</v>
      </c>
      <c r="H453" s="81">
        <v>45358.99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273189.45999999996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282042.18000000005</v>
      </c>
      <c r="D455" s="71">
        <v>254868.21</v>
      </c>
      <c r="E455" s="71">
        <v>277234.36</v>
      </c>
      <c r="F455" s="71">
        <v>267562.98</v>
      </c>
      <c r="G455" s="71">
        <v>269966.82999999996</v>
      </c>
      <c r="H455" s="71">
        <v>296752.58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1648427.1399999997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510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49.967741935483872</v>
      </c>
      <c r="D8" s="97">
        <v>47.821428571428569</v>
      </c>
      <c r="E8" s="97">
        <v>50.548387096774192</v>
      </c>
      <c r="F8" s="97">
        <v>58</v>
      </c>
      <c r="G8" s="97">
        <v>56.387096774193552</v>
      </c>
      <c r="H8" s="97">
        <v>60.56666666666667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109</v>
      </c>
      <c r="D11" s="74">
        <v>77</v>
      </c>
      <c r="E11" s="74">
        <v>117</v>
      </c>
      <c r="F11" s="74">
        <v>211</v>
      </c>
      <c r="G11" s="74">
        <v>246</v>
      </c>
      <c r="H11" s="74">
        <v>279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1039</v>
      </c>
    </row>
    <row r="12" spans="1:15" x14ac:dyDescent="0.25">
      <c r="A12" s="71" t="s">
        <v>42</v>
      </c>
      <c r="C12" s="74">
        <v>51</v>
      </c>
      <c r="D12" s="74">
        <v>18</v>
      </c>
      <c r="E12" s="74">
        <v>29</v>
      </c>
      <c r="F12" s="74">
        <v>17</v>
      </c>
      <c r="G12" s="74">
        <v>55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170</v>
      </c>
    </row>
    <row r="13" spans="1:15" x14ac:dyDescent="0.25">
      <c r="A13" s="71" t="s">
        <v>43</v>
      </c>
      <c r="C13" s="74">
        <v>1064</v>
      </c>
      <c r="D13" s="74">
        <v>1013</v>
      </c>
      <c r="E13" s="74">
        <v>1097</v>
      </c>
      <c r="F13" s="74">
        <v>1153</v>
      </c>
      <c r="G13" s="74">
        <v>1118</v>
      </c>
      <c r="H13" s="74">
        <v>1070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6515</v>
      </c>
    </row>
    <row r="14" spans="1:15" x14ac:dyDescent="0.25">
      <c r="A14" s="71" t="s">
        <v>44</v>
      </c>
      <c r="C14" s="74">
        <v>56</v>
      </c>
      <c r="D14" s="74">
        <v>28</v>
      </c>
      <c r="E14" s="74">
        <v>51</v>
      </c>
      <c r="F14" s="74">
        <v>53</v>
      </c>
      <c r="G14" s="74">
        <v>68</v>
      </c>
      <c r="H14" s="74">
        <v>-34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222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0</v>
      </c>
      <c r="G15" s="74">
        <v>6</v>
      </c>
      <c r="H15" s="74">
        <v>7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13</v>
      </c>
    </row>
    <row r="16" spans="1:15" x14ac:dyDescent="0.25">
      <c r="A16" s="71" t="s">
        <v>46</v>
      </c>
      <c r="C16" s="74">
        <v>114</v>
      </c>
      <c r="D16" s="74">
        <v>87</v>
      </c>
      <c r="E16" s="74">
        <v>172</v>
      </c>
      <c r="F16" s="74">
        <v>167</v>
      </c>
      <c r="G16" s="74">
        <v>131</v>
      </c>
      <c r="H16" s="74">
        <v>263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934</v>
      </c>
    </row>
    <row r="17" spans="1:18" x14ac:dyDescent="0.25">
      <c r="A17" s="71" t="s">
        <v>47</v>
      </c>
      <c r="C17" s="74">
        <v>155</v>
      </c>
      <c r="D17" s="74">
        <v>116</v>
      </c>
      <c r="E17" s="74">
        <v>101</v>
      </c>
      <c r="F17" s="74">
        <v>139</v>
      </c>
      <c r="G17" s="74">
        <v>124</v>
      </c>
      <c r="H17" s="74">
        <v>232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867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1549</v>
      </c>
      <c r="D23" s="79">
        <v>1339</v>
      </c>
      <c r="E23" s="79">
        <v>1567</v>
      </c>
      <c r="F23" s="79">
        <v>1740</v>
      </c>
      <c r="G23" s="79">
        <v>1748</v>
      </c>
      <c r="H23" s="79">
        <v>1817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9760</v>
      </c>
      <c r="P23" s="86">
        <v>9760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334378.76000000007</v>
      </c>
      <c r="D26" s="74">
        <v>280129.84999999998</v>
      </c>
      <c r="E26" s="74">
        <v>358772.55999999994</v>
      </c>
      <c r="F26" s="74">
        <v>383536.33999999997</v>
      </c>
      <c r="G26" s="74">
        <v>362771.86</v>
      </c>
      <c r="H26" s="74">
        <v>457447.19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2177036.56</v>
      </c>
      <c r="P26" s="86"/>
    </row>
    <row r="27" spans="1:18" x14ac:dyDescent="0.25">
      <c r="A27" s="71" t="s">
        <v>57</v>
      </c>
      <c r="C27" s="74">
        <v>38531.829999999994</v>
      </c>
      <c r="D27" s="74">
        <v>29703.760000000002</v>
      </c>
      <c r="E27" s="74">
        <v>35711.46</v>
      </c>
      <c r="F27" s="74">
        <v>29599.13</v>
      </c>
      <c r="G27" s="74">
        <v>61643.590000000004</v>
      </c>
      <c r="H27" s="74">
        <v>23432.269999999997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218622.03999999998</v>
      </c>
      <c r="P27" s="86"/>
    </row>
    <row r="28" spans="1:18" x14ac:dyDescent="0.25">
      <c r="A28" s="71" t="s">
        <v>58</v>
      </c>
      <c r="C28" s="74">
        <v>-11247.650000000001</v>
      </c>
      <c r="D28" s="74">
        <v>-9228.130000000001</v>
      </c>
      <c r="E28" s="74">
        <v>-19637.660000000003</v>
      </c>
      <c r="F28" s="74">
        <v>-10198.48</v>
      </c>
      <c r="G28" s="74">
        <v>-18030.39</v>
      </c>
      <c r="H28" s="74">
        <v>-27525.260000000002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-95867.57</v>
      </c>
      <c r="P28" s="86"/>
    </row>
    <row r="29" spans="1:18" ht="18.75" thickBot="1" x14ac:dyDescent="0.3">
      <c r="A29" s="71" t="s">
        <v>59</v>
      </c>
      <c r="C29" s="80">
        <v>361662.94000000006</v>
      </c>
      <c r="D29" s="80">
        <v>300605.48</v>
      </c>
      <c r="E29" s="80">
        <v>374846.36</v>
      </c>
      <c r="F29" s="80">
        <v>402936.99</v>
      </c>
      <c r="G29" s="80">
        <v>406385.06</v>
      </c>
      <c r="H29" s="80">
        <v>453354.2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2299791.0300000003</v>
      </c>
      <c r="P29" s="86">
        <v>2299791.0300000003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140482.16999999998</v>
      </c>
      <c r="D32" s="74">
        <v>122565.95000000003</v>
      </c>
      <c r="E32" s="74">
        <v>146445.07999999996</v>
      </c>
      <c r="F32" s="74">
        <v>161278.42000000001</v>
      </c>
      <c r="G32" s="74">
        <v>169349.39999999997</v>
      </c>
      <c r="H32" s="74">
        <v>151269.55000000005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891390.57000000007</v>
      </c>
      <c r="P32" s="86"/>
    </row>
    <row r="33" spans="1:18" x14ac:dyDescent="0.25">
      <c r="A33" s="71" t="s">
        <v>62</v>
      </c>
      <c r="C33" s="74">
        <v>31808.27</v>
      </c>
      <c r="D33" s="74">
        <v>30191.72</v>
      </c>
      <c r="E33" s="74">
        <v>36233.480000000003</v>
      </c>
      <c r="F33" s="74">
        <v>33319.46</v>
      </c>
      <c r="G33" s="74">
        <v>36693.89</v>
      </c>
      <c r="H33" s="74">
        <v>32454.240000000002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200701.06</v>
      </c>
      <c r="P33" s="86"/>
    </row>
    <row r="34" spans="1:18" x14ac:dyDescent="0.25">
      <c r="A34" s="71" t="s">
        <v>57</v>
      </c>
      <c r="C34" s="74">
        <v>30604.820000000003</v>
      </c>
      <c r="D34" s="74">
        <v>26069.940000000002</v>
      </c>
      <c r="E34" s="74">
        <v>40025.69</v>
      </c>
      <c r="F34" s="74">
        <v>43603.289999999994</v>
      </c>
      <c r="G34" s="74">
        <v>38217.760000000002</v>
      </c>
      <c r="H34" s="74">
        <v>52480.5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231002</v>
      </c>
      <c r="P34" s="86"/>
    </row>
    <row r="35" spans="1:18" x14ac:dyDescent="0.25">
      <c r="A35" s="71" t="s">
        <v>63</v>
      </c>
      <c r="C35" s="74">
        <v>7360.9400000000005</v>
      </c>
      <c r="D35" s="74">
        <v>6229.0499999999993</v>
      </c>
      <c r="E35" s="74">
        <v>7391.1</v>
      </c>
      <c r="F35" s="74">
        <v>6712.36</v>
      </c>
      <c r="G35" s="74">
        <v>8778.31</v>
      </c>
      <c r="H35" s="74">
        <v>7018.29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43490.05</v>
      </c>
      <c r="P35" s="86"/>
    </row>
    <row r="36" spans="1:18" x14ac:dyDescent="0.25">
      <c r="A36" s="71" t="s">
        <v>64</v>
      </c>
      <c r="C36" s="74">
        <v>12010.46</v>
      </c>
      <c r="D36" s="74">
        <v>9829.7400000000016</v>
      </c>
      <c r="E36" s="74">
        <v>12545.789999999999</v>
      </c>
      <c r="F36" s="74">
        <v>10618.499999999998</v>
      </c>
      <c r="G36" s="74">
        <v>11700.890000000001</v>
      </c>
      <c r="H36" s="74">
        <v>8869.7499999999982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65575.12999999999</v>
      </c>
      <c r="P36" s="86"/>
    </row>
    <row r="37" spans="1:18" x14ac:dyDescent="0.25">
      <c r="A37" s="71" t="s">
        <v>65</v>
      </c>
      <c r="C37" s="74">
        <v>22815.280000000002</v>
      </c>
      <c r="D37" s="74">
        <v>21690.710000000003</v>
      </c>
      <c r="E37" s="74">
        <v>18433.469999999998</v>
      </c>
      <c r="F37" s="74">
        <v>21580.5</v>
      </c>
      <c r="G37" s="74">
        <v>25809.58</v>
      </c>
      <c r="H37" s="74">
        <v>19775.75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130105.29000000001</v>
      </c>
      <c r="P37" s="86"/>
    </row>
    <row r="38" spans="1:18" x14ac:dyDescent="0.25">
      <c r="A38" s="71" t="s">
        <v>66</v>
      </c>
      <c r="C38" s="74">
        <v>93879.83</v>
      </c>
      <c r="D38" s="74">
        <v>89352.679999999978</v>
      </c>
      <c r="E38" s="74">
        <v>88355.62999999999</v>
      </c>
      <c r="F38" s="74">
        <v>89971.089999999982</v>
      </c>
      <c r="G38" s="74">
        <v>156390.76</v>
      </c>
      <c r="H38" s="74">
        <v>93675.189999999988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611625.17999999993</v>
      </c>
      <c r="P38" s="86"/>
    </row>
    <row r="39" spans="1:18" x14ac:dyDescent="0.25">
      <c r="A39" s="71" t="s">
        <v>67</v>
      </c>
      <c r="C39" s="74">
        <v>79122.64</v>
      </c>
      <c r="D39" s="74">
        <v>74576.25</v>
      </c>
      <c r="E39" s="74">
        <v>82293.600000000006</v>
      </c>
      <c r="F39" s="74">
        <v>78647.13</v>
      </c>
      <c r="G39" s="74">
        <v>80487.049999999988</v>
      </c>
      <c r="H39" s="74">
        <v>81187.650000000009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476314.32</v>
      </c>
      <c r="P39" s="86"/>
    </row>
    <row r="40" spans="1:18" ht="18.75" thickBot="1" x14ac:dyDescent="0.3">
      <c r="A40" s="71" t="s">
        <v>68</v>
      </c>
      <c r="C40" s="80">
        <v>418084.41</v>
      </c>
      <c r="D40" s="80">
        <v>380506.04</v>
      </c>
      <c r="E40" s="80">
        <v>431723.83999999997</v>
      </c>
      <c r="F40" s="80">
        <v>445730.74999999994</v>
      </c>
      <c r="G40" s="80">
        <v>527427.64</v>
      </c>
      <c r="H40" s="80">
        <v>446730.9200000001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2650203.6</v>
      </c>
      <c r="P40" s="86">
        <v>2650203.6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-56421.469999999914</v>
      </c>
      <c r="D41" s="81">
        <v>-79900.56</v>
      </c>
      <c r="E41" s="81">
        <v>-56877.479999999981</v>
      </c>
      <c r="F41" s="81">
        <v>-42793.759999999951</v>
      </c>
      <c r="G41" s="81">
        <v>-121042.58000000002</v>
      </c>
      <c r="H41" s="81">
        <v>6623.2799999999115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-350412.56999999983</v>
      </c>
      <c r="P41" s="86">
        <v>-350412.56999999983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28537.03000000009</v>
      </c>
      <c r="D43" s="74">
        <v>-1460.5499999999975</v>
      </c>
      <c r="E43" s="74">
        <v>32207.080000000024</v>
      </c>
      <c r="F43" s="74">
        <v>45501.28000000005</v>
      </c>
      <c r="G43" s="74">
        <v>-33248.449999999997</v>
      </c>
      <c r="H43" s="76">
        <v>99245.169999999911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170781.56000000017</v>
      </c>
      <c r="P43" s="71">
        <v>170781.56000000017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510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195084.4</v>
      </c>
      <c r="D50" s="74">
        <v>185733.55</v>
      </c>
      <c r="E50" s="74">
        <v>204435.25</v>
      </c>
      <c r="F50" s="74">
        <v>219836.65</v>
      </c>
      <c r="G50" s="74">
        <v>220386.7</v>
      </c>
      <c r="H50" s="74">
        <v>197467.95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1222944.5</v>
      </c>
    </row>
    <row r="51" spans="1:15" x14ac:dyDescent="0.25">
      <c r="A51" s="71" t="s">
        <v>73</v>
      </c>
      <c r="B51" s="82"/>
      <c r="C51" s="74">
        <v>10267.6</v>
      </c>
      <c r="D51" s="74">
        <v>5151.57</v>
      </c>
      <c r="E51" s="74">
        <v>6570.55</v>
      </c>
      <c r="F51" s="74">
        <v>1963.45</v>
      </c>
      <c r="G51" s="74">
        <v>-1496.85</v>
      </c>
      <c r="H51" s="74">
        <v>-6417.25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16039.070000000003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2046</v>
      </c>
      <c r="D58" s="74">
        <v>1848</v>
      </c>
      <c r="E58" s="74">
        <v>2046</v>
      </c>
      <c r="F58" s="74">
        <v>1980</v>
      </c>
      <c r="G58" s="74">
        <v>2510.25</v>
      </c>
      <c r="H58" s="74">
        <v>2290.1999999999998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12720.45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-113.63</v>
      </c>
      <c r="G61" s="74">
        <v>113.63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45600</v>
      </c>
      <c r="D63" s="74">
        <v>34800</v>
      </c>
      <c r="E63" s="74">
        <v>68800</v>
      </c>
      <c r="F63" s="74">
        <v>66800</v>
      </c>
      <c r="G63" s="74">
        <v>52400</v>
      </c>
      <c r="H63" s="74">
        <v>105200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373600</v>
      </c>
    </row>
    <row r="64" spans="1:15" x14ac:dyDescent="0.25">
      <c r="A64" s="71" t="s">
        <v>86</v>
      </c>
      <c r="B64" s="82"/>
      <c r="C64" s="74">
        <v>12570.28</v>
      </c>
      <c r="D64" s="74">
        <v>8476.01</v>
      </c>
      <c r="E64" s="74">
        <v>17493.27</v>
      </c>
      <c r="F64" s="74">
        <v>20059.23</v>
      </c>
      <c r="G64" s="74">
        <v>11955.02</v>
      </c>
      <c r="H64" s="74">
        <v>34736.92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105290.73</v>
      </c>
    </row>
    <row r="65" spans="1:15" x14ac:dyDescent="0.25">
      <c r="A65" s="71" t="s">
        <v>87</v>
      </c>
      <c r="B65" s="82"/>
      <c r="C65" s="74">
        <v>13376.68</v>
      </c>
      <c r="D65" s="74">
        <v>8559.58</v>
      </c>
      <c r="E65" s="74">
        <v>16644.849999999999</v>
      </c>
      <c r="F65" s="74">
        <v>16058.97</v>
      </c>
      <c r="G65" s="74">
        <v>14143.86</v>
      </c>
      <c r="H65" s="74">
        <v>22401.38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91185.32</v>
      </c>
    </row>
    <row r="66" spans="1:15" x14ac:dyDescent="0.25">
      <c r="A66" s="71" t="s">
        <v>88</v>
      </c>
      <c r="B66" s="82"/>
      <c r="C66" s="74">
        <v>13009.48</v>
      </c>
      <c r="D66" s="74">
        <v>10594.52</v>
      </c>
      <c r="E66" s="74">
        <v>20997.3</v>
      </c>
      <c r="F66" s="74">
        <v>20170.13</v>
      </c>
      <c r="G66" s="74">
        <v>16391.560000000001</v>
      </c>
      <c r="H66" s="74">
        <v>29667.26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110830.25</v>
      </c>
    </row>
    <row r="67" spans="1:15" x14ac:dyDescent="0.25">
      <c r="A67" s="71" t="s">
        <v>89</v>
      </c>
      <c r="B67" s="82"/>
      <c r="C67" s="74">
        <v>3211.99</v>
      </c>
      <c r="D67" s="74">
        <v>5583.49</v>
      </c>
      <c r="E67" s="74">
        <v>11153.37</v>
      </c>
      <c r="F67" s="74">
        <v>10003.73</v>
      </c>
      <c r="G67" s="74">
        <v>3217</v>
      </c>
      <c r="H67" s="74">
        <v>17019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50188.58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4655.45</v>
      </c>
      <c r="D69" s="74">
        <v>6190.53</v>
      </c>
      <c r="E69" s="74">
        <v>6970.85</v>
      </c>
      <c r="F69" s="74">
        <v>9077.4599999999991</v>
      </c>
      <c r="G69" s="74">
        <v>4530.71</v>
      </c>
      <c r="H69" s="74">
        <v>14505.5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45930.5</v>
      </c>
    </row>
    <row r="70" spans="1:15" x14ac:dyDescent="0.25">
      <c r="A70" s="71" t="s">
        <v>92</v>
      </c>
      <c r="B70" s="82"/>
      <c r="C70" s="74">
        <v>644.52</v>
      </c>
      <c r="D70" s="74">
        <v>883.19</v>
      </c>
      <c r="E70" s="74">
        <v>254.08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1781.79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76.63</v>
      </c>
      <c r="D72" s="74">
        <v>40.409999999999997</v>
      </c>
      <c r="E72" s="74">
        <v>0</v>
      </c>
      <c r="F72" s="74">
        <v>17.34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134.38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12060</v>
      </c>
      <c r="D77" s="74">
        <v>12060</v>
      </c>
      <c r="E77" s="74">
        <v>18090</v>
      </c>
      <c r="F77" s="74">
        <v>12000</v>
      </c>
      <c r="G77" s="74">
        <v>11940</v>
      </c>
      <c r="H77" s="74">
        <v>11940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78090</v>
      </c>
    </row>
    <row r="78" spans="1:15" x14ac:dyDescent="0.25">
      <c r="A78" s="71" t="s">
        <v>99</v>
      </c>
      <c r="B78" s="82"/>
      <c r="C78" s="74">
        <v>-34974.75</v>
      </c>
      <c r="D78" s="74">
        <v>-31851.72</v>
      </c>
      <c r="E78" s="74">
        <v>-56020.45</v>
      </c>
      <c r="F78" s="74">
        <v>-55327.63</v>
      </c>
      <c r="G78" s="74">
        <v>-38283.129999999997</v>
      </c>
      <c r="H78" s="74">
        <v>-83593.14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-300050.82</v>
      </c>
    </row>
    <row r="79" spans="1:15" x14ac:dyDescent="0.25">
      <c r="A79" s="71" t="s">
        <v>100</v>
      </c>
      <c r="B79" s="82"/>
      <c r="C79" s="74">
        <v>-5107.49</v>
      </c>
      <c r="D79" s="74">
        <v>975.14</v>
      </c>
      <c r="E79" s="74">
        <v>-974.21</v>
      </c>
      <c r="F79" s="74">
        <v>0.89</v>
      </c>
      <c r="G79" s="74">
        <v>961.9</v>
      </c>
      <c r="H79" s="74">
        <v>6628.8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2485.0300000000007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-627.05999999999995</v>
      </c>
      <c r="H80" s="74">
        <v>-466.92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-1093.98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23476</v>
      </c>
      <c r="D82" s="74">
        <v>17075</v>
      </c>
      <c r="E82" s="74">
        <v>30275</v>
      </c>
      <c r="F82" s="74">
        <v>50107</v>
      </c>
      <c r="G82" s="74">
        <v>56641</v>
      </c>
      <c r="H82" s="74">
        <v>63266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240840</v>
      </c>
    </row>
    <row r="83" spans="1:15" x14ac:dyDescent="0.25">
      <c r="A83" s="71" t="s">
        <v>103</v>
      </c>
      <c r="B83" s="82"/>
      <c r="C83" s="74">
        <v>26362.1</v>
      </c>
      <c r="D83" s="74">
        <v>6588.19</v>
      </c>
      <c r="E83" s="74">
        <v>15438.28</v>
      </c>
      <c r="F83" s="74">
        <v>8875.2999999999993</v>
      </c>
      <c r="G83" s="74">
        <v>21682.27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78946.14</v>
      </c>
    </row>
    <row r="84" spans="1:15" x14ac:dyDescent="0.25">
      <c r="A84" s="71" t="s">
        <v>481</v>
      </c>
      <c r="B84" s="82"/>
      <c r="C84" s="74">
        <v>-30216.22</v>
      </c>
      <c r="D84" s="74">
        <v>-22544.61</v>
      </c>
      <c r="E84" s="74">
        <v>-34830.879999999997</v>
      </c>
      <c r="F84" s="74">
        <v>-36348.959999999999</v>
      </c>
      <c r="G84" s="74">
        <v>-43448.86</v>
      </c>
      <c r="H84" s="74">
        <v>-14826.97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-182216.49999999997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5251.51</v>
      </c>
      <c r="F85" s="74">
        <v>4361.37</v>
      </c>
      <c r="G85" s="74">
        <v>3726.91</v>
      </c>
      <c r="H85" s="74">
        <v>5849.46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19189.25</v>
      </c>
    </row>
    <row r="86" spans="1:15" x14ac:dyDescent="0.25">
      <c r="A86" s="71" t="s">
        <v>483</v>
      </c>
      <c r="B86" s="82"/>
      <c r="C86" s="74">
        <v>12720</v>
      </c>
      <c r="D86" s="74">
        <v>9010</v>
      </c>
      <c r="E86" s="74">
        <v>8480</v>
      </c>
      <c r="F86" s="74">
        <v>8480</v>
      </c>
      <c r="G86" s="74">
        <v>8480</v>
      </c>
      <c r="H86" s="74">
        <v>9010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56180</v>
      </c>
    </row>
    <row r="87" spans="1:15" x14ac:dyDescent="0.25">
      <c r="A87" s="71" t="s">
        <v>105</v>
      </c>
      <c r="B87" s="82"/>
      <c r="C87" s="74">
        <v>177.54</v>
      </c>
      <c r="D87" s="74">
        <v>0</v>
      </c>
      <c r="E87" s="74">
        <v>110.94</v>
      </c>
      <c r="F87" s="74">
        <v>-64.47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224.01000000000002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0</v>
      </c>
      <c r="F88" s="74">
        <v>54.86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54.86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324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324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600</v>
      </c>
      <c r="D94" s="74">
        <v>-600</v>
      </c>
      <c r="E94" s="74">
        <v>-1500</v>
      </c>
      <c r="F94" s="74">
        <v>-250</v>
      </c>
      <c r="G94" s="74">
        <v>250</v>
      </c>
      <c r="H94" s="74">
        <v>250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-1250</v>
      </c>
    </row>
    <row r="95" spans="1:15" x14ac:dyDescent="0.25">
      <c r="A95" s="71" t="s">
        <v>111</v>
      </c>
      <c r="B95" s="82"/>
      <c r="C95" s="74">
        <v>28188.5</v>
      </c>
      <c r="D95" s="74">
        <v>22107.05</v>
      </c>
      <c r="E95" s="74">
        <v>18762.849999999999</v>
      </c>
      <c r="F95" s="74">
        <v>25794.65</v>
      </c>
      <c r="G95" s="74">
        <v>17296.95</v>
      </c>
      <c r="H95" s="74">
        <v>42519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154669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550.04999999999995</v>
      </c>
      <c r="D110" s="74">
        <v>-550.04999999999995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334378.76</v>
      </c>
      <c r="D111" s="74">
        <v>280129.85000000003</v>
      </c>
      <c r="E111" s="74">
        <v>358772.55999999994</v>
      </c>
      <c r="F111" s="74">
        <v>383536.33999999997</v>
      </c>
      <c r="G111" s="74">
        <v>362771.86000000004</v>
      </c>
      <c r="H111" s="74">
        <v>457447.19000000006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2177036.5600000005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0</v>
      </c>
      <c r="D114" s="74">
        <v>1113.17</v>
      </c>
      <c r="E114" s="74">
        <v>2463.39</v>
      </c>
      <c r="F114" s="74">
        <v>1955.17</v>
      </c>
      <c r="G114" s="74">
        <v>2545.2199999999998</v>
      </c>
      <c r="H114" s="74">
        <v>7757.05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15834</v>
      </c>
    </row>
    <row r="115" spans="1:15" x14ac:dyDescent="0.25">
      <c r="A115" s="71" t="s">
        <v>130</v>
      </c>
      <c r="B115" s="74"/>
      <c r="C115" s="74">
        <v>3347.39</v>
      </c>
      <c r="D115" s="74">
        <v>4218.5600000000004</v>
      </c>
      <c r="E115" s="74">
        <v>6177.33</v>
      </c>
      <c r="F115" s="74">
        <v>2772.86</v>
      </c>
      <c r="G115" s="74">
        <v>5126.43</v>
      </c>
      <c r="H115" s="74">
        <v>8417.25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30059.82</v>
      </c>
    </row>
    <row r="116" spans="1:15" x14ac:dyDescent="0.25">
      <c r="A116" s="71" t="s">
        <v>131</v>
      </c>
      <c r="B116" s="74"/>
      <c r="C116" s="74">
        <v>-124.83</v>
      </c>
      <c r="D116" s="74">
        <v>0</v>
      </c>
      <c r="E116" s="74">
        <v>0</v>
      </c>
      <c r="F116" s="74">
        <v>485.1</v>
      </c>
      <c r="G116" s="74">
        <v>1455</v>
      </c>
      <c r="H116" s="74">
        <v>1204.27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3019.54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-25</v>
      </c>
      <c r="F118" s="74">
        <v>-50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-75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-1497.59</v>
      </c>
      <c r="D122" s="74">
        <v>-2584.54</v>
      </c>
      <c r="E122" s="74">
        <v>-4243.29</v>
      </c>
      <c r="F122" s="74">
        <v>-2416.6999999999998</v>
      </c>
      <c r="G122" s="74">
        <v>-4217.5600000000004</v>
      </c>
      <c r="H122" s="74">
        <v>-8279.07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-23238.75</v>
      </c>
    </row>
    <row r="123" spans="1:15" x14ac:dyDescent="0.25">
      <c r="A123" s="71" t="s">
        <v>136</v>
      </c>
      <c r="B123" s="74"/>
      <c r="C123" s="74">
        <v>-40.44</v>
      </c>
      <c r="D123" s="74">
        <v>-116.2</v>
      </c>
      <c r="E123" s="74">
        <v>-88.75</v>
      </c>
      <c r="F123" s="74">
        <v>2.25</v>
      </c>
      <c r="G123" s="74">
        <v>13.6</v>
      </c>
      <c r="H123" s="74">
        <v>3.16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-226.38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-22.21</v>
      </c>
      <c r="H124" s="74">
        <v>-19.71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-41.92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1941.29</v>
      </c>
      <c r="D126" s="74">
        <v>2946.69</v>
      </c>
      <c r="E126" s="74">
        <v>1762.81</v>
      </c>
      <c r="F126" s="74">
        <v>-1187.73</v>
      </c>
      <c r="G126" s="74">
        <v>9406.36</v>
      </c>
      <c r="H126" s="74">
        <v>6429.05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21298.47</v>
      </c>
    </row>
    <row r="127" spans="1:15" x14ac:dyDescent="0.25">
      <c r="A127" s="71" t="s">
        <v>489</v>
      </c>
      <c r="B127" s="74"/>
      <c r="C127" s="74">
        <v>1609.9</v>
      </c>
      <c r="D127" s="74">
        <v>3006.03</v>
      </c>
      <c r="E127" s="74">
        <v>1308.68</v>
      </c>
      <c r="F127" s="74">
        <v>-1379.33</v>
      </c>
      <c r="G127" s="74">
        <v>8367.6299999999992</v>
      </c>
      <c r="H127" s="74">
        <v>7610.29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20523.2</v>
      </c>
    </row>
    <row r="128" spans="1:15" x14ac:dyDescent="0.25">
      <c r="A128" s="71" t="s">
        <v>490</v>
      </c>
      <c r="B128" s="74"/>
      <c r="C128" s="74">
        <v>124.83</v>
      </c>
      <c r="D128" s="74">
        <v>0</v>
      </c>
      <c r="E128" s="74">
        <v>0</v>
      </c>
      <c r="F128" s="74">
        <v>0</v>
      </c>
      <c r="G128" s="74">
        <v>606.35</v>
      </c>
      <c r="H128" s="74">
        <v>2425.1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3156.2799999999997</v>
      </c>
    </row>
    <row r="129" spans="1:16" x14ac:dyDescent="0.25">
      <c r="A129" s="71" t="s">
        <v>491</v>
      </c>
      <c r="B129" s="74"/>
      <c r="C129" s="74">
        <v>0</v>
      </c>
      <c r="D129" s="74">
        <v>34.17</v>
      </c>
      <c r="E129" s="74">
        <v>-2825.22</v>
      </c>
      <c r="F129" s="74">
        <v>-3113.1</v>
      </c>
      <c r="G129" s="74">
        <v>-2486.4899999999998</v>
      </c>
      <c r="H129" s="74">
        <v>-4972.01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-13362.65</v>
      </c>
    </row>
    <row r="130" spans="1:16" x14ac:dyDescent="0.25">
      <c r="A130" s="71" t="s">
        <v>139</v>
      </c>
      <c r="B130" s="74"/>
      <c r="C130" s="74">
        <v>14987.14</v>
      </c>
      <c r="D130" s="74">
        <v>8771.3799999999992</v>
      </c>
      <c r="E130" s="74">
        <v>14367.51</v>
      </c>
      <c r="F130" s="74">
        <v>15473.56</v>
      </c>
      <c r="G130" s="74">
        <v>15125.65</v>
      </c>
      <c r="H130" s="74">
        <v>164.16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68889.399999999994</v>
      </c>
    </row>
    <row r="131" spans="1:16" x14ac:dyDescent="0.25">
      <c r="A131" s="71" t="s">
        <v>140</v>
      </c>
      <c r="C131" s="83">
        <v>14846.68</v>
      </c>
      <c r="D131" s="83">
        <v>9924.7800000000007</v>
      </c>
      <c r="E131" s="83">
        <v>14322.24</v>
      </c>
      <c r="F131" s="83">
        <v>12718.51</v>
      </c>
      <c r="G131" s="83">
        <v>20695.599999999999</v>
      </c>
      <c r="H131" s="83">
        <v>3571.77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76079.58</v>
      </c>
      <c r="P131" s="86"/>
    </row>
    <row r="132" spans="1:16" x14ac:dyDescent="0.25">
      <c r="A132" s="71" t="s">
        <v>141</v>
      </c>
      <c r="C132" s="74">
        <v>3337.46</v>
      </c>
      <c r="D132" s="74">
        <v>2389.7199999999998</v>
      </c>
      <c r="E132" s="74">
        <v>2491.7600000000002</v>
      </c>
      <c r="F132" s="74">
        <v>4338.54</v>
      </c>
      <c r="G132" s="74">
        <v>5028.01</v>
      </c>
      <c r="H132" s="74">
        <v>-879.04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16706.449999999997</v>
      </c>
    </row>
    <row r="133" spans="1:16" x14ac:dyDescent="0.25">
      <c r="A133" s="71" t="s">
        <v>142</v>
      </c>
      <c r="C133" s="74">
        <v>38531.829999999994</v>
      </c>
      <c r="D133" s="74">
        <v>29703.760000000002</v>
      </c>
      <c r="E133" s="74">
        <v>35711.46</v>
      </c>
      <c r="F133" s="74">
        <v>29599.130000000005</v>
      </c>
      <c r="G133" s="74">
        <v>61643.590000000004</v>
      </c>
      <c r="H133" s="74">
        <v>23432.269999999997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218622.03999999998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388</v>
      </c>
      <c r="D138" s="74">
        <v>212</v>
      </c>
      <c r="E138" s="74">
        <v>84</v>
      </c>
      <c r="F138" s="74">
        <v>44</v>
      </c>
      <c r="G138" s="74">
        <v>136</v>
      </c>
      <c r="H138" s="74">
        <v>144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1008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-7651.76</v>
      </c>
      <c r="D142" s="74">
        <v>-7651.76</v>
      </c>
      <c r="E142" s="74">
        <v>-7651.76</v>
      </c>
      <c r="F142" s="74">
        <v>-7651.76</v>
      </c>
      <c r="G142" s="74">
        <v>-7651.76</v>
      </c>
      <c r="H142" s="74">
        <v>-7651.76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-45910.560000000005</v>
      </c>
    </row>
    <row r="143" spans="1:16" x14ac:dyDescent="0.25">
      <c r="A143" s="71" t="s">
        <v>492</v>
      </c>
      <c r="B143" s="74"/>
      <c r="C143" s="74">
        <v>-10017</v>
      </c>
      <c r="D143" s="74">
        <v>-5750.5</v>
      </c>
      <c r="E143" s="74">
        <v>-12064.5</v>
      </c>
      <c r="F143" s="74">
        <v>-2334</v>
      </c>
      <c r="G143" s="74">
        <v>-10514.63</v>
      </c>
      <c r="H143" s="74">
        <v>-20017.5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-60698.13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6033.11</v>
      </c>
      <c r="D145" s="74">
        <v>3962.13</v>
      </c>
      <c r="E145" s="74">
        <v>-5.4</v>
      </c>
      <c r="F145" s="74">
        <v>-256.72000000000003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9733.1200000000008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-11247.650000000001</v>
      </c>
      <c r="D148" s="81">
        <v>-9228.130000000001</v>
      </c>
      <c r="E148" s="81">
        <v>-19637.660000000003</v>
      </c>
      <c r="F148" s="81">
        <v>-10198.48</v>
      </c>
      <c r="G148" s="81">
        <v>-18030.39</v>
      </c>
      <c r="H148" s="81">
        <v>-27525.260000000002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-95867.57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361662.94</v>
      </c>
      <c r="D150" s="74">
        <v>300605.48000000004</v>
      </c>
      <c r="E150" s="74">
        <v>374846.35999999993</v>
      </c>
      <c r="F150" s="74">
        <v>402936.99</v>
      </c>
      <c r="G150" s="74">
        <v>406385.06000000006</v>
      </c>
      <c r="H150" s="76">
        <v>453354.20000000007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2299791.0300000003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510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1500</v>
      </c>
      <c r="D157" s="74">
        <v>1500</v>
      </c>
      <c r="E157" s="74">
        <v>1500</v>
      </c>
      <c r="F157" s="74">
        <v>1500</v>
      </c>
      <c r="G157" s="74">
        <v>1500</v>
      </c>
      <c r="H157" s="74">
        <v>1500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9000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339.5</v>
      </c>
      <c r="D162" s="74">
        <v>332.5</v>
      </c>
      <c r="E162" s="74">
        <v>350</v>
      </c>
      <c r="F162" s="74">
        <v>472.5</v>
      </c>
      <c r="G162" s="74">
        <v>392</v>
      </c>
      <c r="H162" s="74">
        <v>523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2409.5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3084.48</v>
      </c>
      <c r="D167" s="74">
        <v>2401.09</v>
      </c>
      <c r="E167" s="74">
        <v>4124.91</v>
      </c>
      <c r="F167" s="74">
        <v>2867.29</v>
      </c>
      <c r="G167" s="74">
        <v>3215.94</v>
      </c>
      <c r="H167" s="74">
        <v>2467.15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18160.86</v>
      </c>
    </row>
    <row r="168" spans="1:15" x14ac:dyDescent="0.25">
      <c r="A168" s="71" t="s">
        <v>168</v>
      </c>
      <c r="B168" s="74"/>
      <c r="C168" s="74">
        <v>271.27999999999997</v>
      </c>
      <c r="D168" s="74">
        <v>160.87</v>
      </c>
      <c r="E168" s="74">
        <v>158.05000000000001</v>
      </c>
      <c r="F168" s="74">
        <v>199.74</v>
      </c>
      <c r="G168" s="74">
        <v>203.96</v>
      </c>
      <c r="H168" s="74">
        <v>100.5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1094.4000000000001</v>
      </c>
    </row>
    <row r="169" spans="1:15" x14ac:dyDescent="0.25">
      <c r="A169" s="71" t="s">
        <v>169</v>
      </c>
      <c r="B169" s="74"/>
      <c r="C169" s="74">
        <v>83.79</v>
      </c>
      <c r="D169" s="74">
        <v>294.01</v>
      </c>
      <c r="E169" s="74">
        <v>200.74</v>
      </c>
      <c r="F169" s="74">
        <v>0</v>
      </c>
      <c r="G169" s="74">
        <v>444.52</v>
      </c>
      <c r="H169" s="74">
        <v>143.77000000000001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1166.83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0</v>
      </c>
      <c r="F173" s="74">
        <v>264</v>
      </c>
      <c r="G173" s="74">
        <v>82.5</v>
      </c>
      <c r="H173" s="74">
        <v>528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874.5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5">
      <c r="A176" s="71" t="s">
        <v>176</v>
      </c>
      <c r="B176" s="74"/>
      <c r="C176" s="74">
        <v>-0.01</v>
      </c>
      <c r="D176" s="74">
        <v>-0.01</v>
      </c>
      <c r="E176" s="74">
        <v>-0.01</v>
      </c>
      <c r="F176" s="74">
        <v>-0.1</v>
      </c>
      <c r="G176" s="74">
        <v>2.65</v>
      </c>
      <c r="H176" s="74">
        <v>0.01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2.5299999999999998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2414.9</v>
      </c>
      <c r="D178" s="74">
        <v>3502.76</v>
      </c>
      <c r="E178" s="74">
        <v>3756.24</v>
      </c>
      <c r="F178" s="74">
        <v>2890.63</v>
      </c>
      <c r="G178" s="74">
        <v>3093.65</v>
      </c>
      <c r="H178" s="74">
        <v>2790.88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18449.059999999998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144</v>
      </c>
      <c r="D183" s="74">
        <v>0</v>
      </c>
      <c r="E183" s="74">
        <v>0</v>
      </c>
      <c r="F183" s="74">
        <v>0</v>
      </c>
      <c r="G183" s="74">
        <v>0</v>
      </c>
      <c r="H183" s="74">
        <v>288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432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234</v>
      </c>
      <c r="D185" s="74">
        <v>234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468</v>
      </c>
    </row>
    <row r="186" spans="1:15" x14ac:dyDescent="0.25">
      <c r="A186" s="71" t="s">
        <v>186</v>
      </c>
      <c r="B186" s="74"/>
      <c r="C186" s="74">
        <v>0</v>
      </c>
      <c r="D186" s="74">
        <v>117.65</v>
      </c>
      <c r="E186" s="74">
        <v>35.65</v>
      </c>
      <c r="F186" s="74">
        <v>35.65</v>
      </c>
      <c r="G186" s="74">
        <v>101.65</v>
      </c>
      <c r="H186" s="74">
        <v>101.65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392.25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7913.42</v>
      </c>
      <c r="D188" s="74">
        <v>7913.42</v>
      </c>
      <c r="E188" s="74">
        <v>7913.42</v>
      </c>
      <c r="F188" s="74">
        <v>7913.42</v>
      </c>
      <c r="G188" s="74">
        <v>7913.42</v>
      </c>
      <c r="H188" s="74">
        <v>7913.42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47480.52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7941.82</v>
      </c>
      <c r="D190" s="74">
        <v>6324.56</v>
      </c>
      <c r="E190" s="74">
        <v>7175.46</v>
      </c>
      <c r="F190" s="74">
        <v>14283.28</v>
      </c>
      <c r="G190" s="74">
        <v>15965.38</v>
      </c>
      <c r="H190" s="74">
        <v>13384.45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65074.95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6817.3</v>
      </c>
      <c r="D192" s="74">
        <v>6625.91</v>
      </c>
      <c r="E192" s="74">
        <v>11774.04</v>
      </c>
      <c r="F192" s="74">
        <v>12315.28</v>
      </c>
      <c r="G192" s="74">
        <v>13021.53</v>
      </c>
      <c r="H192" s="74">
        <v>13019.62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63573.68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28629.22</v>
      </c>
      <c r="D194" s="74">
        <v>28448.32</v>
      </c>
      <c r="E194" s="74">
        <v>34807.65</v>
      </c>
      <c r="F194" s="74">
        <v>34017.360000000001</v>
      </c>
      <c r="G194" s="74">
        <v>39038.86</v>
      </c>
      <c r="H194" s="74">
        <v>37309.11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202250.52000000002</v>
      </c>
    </row>
    <row r="195" spans="1:15" x14ac:dyDescent="0.25">
      <c r="A195" s="71" t="s">
        <v>495</v>
      </c>
      <c r="B195" s="74"/>
      <c r="C195" s="74">
        <v>4625.28</v>
      </c>
      <c r="D195" s="74">
        <v>2754.86</v>
      </c>
      <c r="E195" s="74">
        <v>4827.58</v>
      </c>
      <c r="F195" s="74">
        <v>4255.5</v>
      </c>
      <c r="G195" s="74">
        <v>4328.07</v>
      </c>
      <c r="H195" s="74">
        <v>3991.46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24782.75</v>
      </c>
    </row>
    <row r="196" spans="1:15" x14ac:dyDescent="0.25">
      <c r="A196" s="71" t="s">
        <v>194</v>
      </c>
      <c r="B196" s="74"/>
      <c r="C196" s="74">
        <v>37323.39</v>
      </c>
      <c r="D196" s="74">
        <v>27782.05</v>
      </c>
      <c r="E196" s="74">
        <v>39404.99</v>
      </c>
      <c r="F196" s="74">
        <v>47496.66</v>
      </c>
      <c r="G196" s="74">
        <v>43723.67</v>
      </c>
      <c r="H196" s="74">
        <v>39239.06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234969.82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13106.8</v>
      </c>
      <c r="D200" s="74">
        <v>14196.16</v>
      </c>
      <c r="E200" s="74">
        <v>15660.71</v>
      </c>
      <c r="F200" s="74">
        <v>11557.42</v>
      </c>
      <c r="G200" s="74">
        <v>12105.83</v>
      </c>
      <c r="H200" s="74">
        <v>17184.57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83811.489999999991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2957.51</v>
      </c>
      <c r="D202" s="74">
        <v>2598.66</v>
      </c>
      <c r="E202" s="74">
        <v>2507.27</v>
      </c>
      <c r="F202" s="74">
        <v>2630.88</v>
      </c>
      <c r="G202" s="74">
        <v>2437.5700000000002</v>
      </c>
      <c r="H202" s="74">
        <v>2757.67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15889.56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2328.2600000000002</v>
      </c>
      <c r="D204" s="74">
        <v>3903.46</v>
      </c>
      <c r="E204" s="74">
        <v>2087.75</v>
      </c>
      <c r="F204" s="74">
        <v>3904.81</v>
      </c>
      <c r="G204" s="74">
        <v>2937.23</v>
      </c>
      <c r="H204" s="74">
        <v>1884.48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17045.990000000002</v>
      </c>
    </row>
    <row r="205" spans="1:15" x14ac:dyDescent="0.25">
      <c r="A205" s="71" t="s">
        <v>201</v>
      </c>
      <c r="B205" s="74"/>
      <c r="C205" s="74">
        <v>306.61</v>
      </c>
      <c r="D205" s="74">
        <v>631.45000000000005</v>
      </c>
      <c r="E205" s="74">
        <v>182.55</v>
      </c>
      <c r="F205" s="74">
        <v>385.49</v>
      </c>
      <c r="G205" s="74">
        <v>213.05</v>
      </c>
      <c r="H205" s="74">
        <v>246.43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1965.5800000000002</v>
      </c>
    </row>
    <row r="206" spans="1:15" x14ac:dyDescent="0.25">
      <c r="A206" s="71" t="s">
        <v>202</v>
      </c>
      <c r="B206" s="74"/>
      <c r="C206" s="74">
        <v>593.1</v>
      </c>
      <c r="D206" s="74">
        <v>413.73</v>
      </c>
      <c r="E206" s="74">
        <v>0</v>
      </c>
      <c r="F206" s="74">
        <v>1160.42</v>
      </c>
      <c r="G206" s="74">
        <v>0</v>
      </c>
      <c r="H206" s="74">
        <v>667.09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2834.34</v>
      </c>
    </row>
    <row r="207" spans="1:15" x14ac:dyDescent="0.25">
      <c r="A207" s="71" t="s">
        <v>203</v>
      </c>
      <c r="B207" s="74"/>
      <c r="C207" s="74">
        <v>827.84</v>
      </c>
      <c r="D207" s="74">
        <v>263.52</v>
      </c>
      <c r="E207" s="74">
        <v>762.16</v>
      </c>
      <c r="F207" s="74">
        <v>465.5</v>
      </c>
      <c r="G207" s="74">
        <v>1336.25</v>
      </c>
      <c r="H207" s="74">
        <v>906.26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4561.53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1334.27</v>
      </c>
      <c r="D209" s="74">
        <v>1079.32</v>
      </c>
      <c r="E209" s="74">
        <v>1031.71</v>
      </c>
      <c r="F209" s="74">
        <v>1452.12</v>
      </c>
      <c r="G209" s="74">
        <v>1647.14</v>
      </c>
      <c r="H209" s="74">
        <v>896.49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7441.05</v>
      </c>
    </row>
    <row r="210" spans="1:15" x14ac:dyDescent="0.25">
      <c r="A210" s="71" t="s">
        <v>206</v>
      </c>
      <c r="B210" s="74"/>
      <c r="C210" s="74">
        <v>67.94</v>
      </c>
      <c r="D210" s="74">
        <v>53.82</v>
      </c>
      <c r="E210" s="74">
        <v>25.9</v>
      </c>
      <c r="F210" s="74">
        <v>108.94</v>
      </c>
      <c r="G210" s="74">
        <v>17.940000000000001</v>
      </c>
      <c r="H210" s="74">
        <v>92.92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367.46000000000004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1095.29</v>
      </c>
      <c r="D212" s="74">
        <v>316.51</v>
      </c>
      <c r="E212" s="74">
        <v>195.4</v>
      </c>
      <c r="F212" s="74">
        <v>0</v>
      </c>
      <c r="G212" s="74">
        <v>1621.34</v>
      </c>
      <c r="H212" s="74">
        <v>595.64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3824.18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0</v>
      </c>
      <c r="F213" s="74">
        <v>151.05000000000001</v>
      </c>
      <c r="G213" s="74">
        <v>0</v>
      </c>
      <c r="H213" s="74">
        <v>125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276.05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3088.37</v>
      </c>
      <c r="D215" s="74">
        <v>4108</v>
      </c>
      <c r="E215" s="74">
        <v>3515.82</v>
      </c>
      <c r="F215" s="74">
        <v>2947.04</v>
      </c>
      <c r="G215" s="74">
        <v>2474.62</v>
      </c>
      <c r="H215" s="74">
        <v>3884.03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20017.879999999997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1133.5</v>
      </c>
      <c r="D221" s="74">
        <v>1278</v>
      </c>
      <c r="E221" s="74">
        <v>342</v>
      </c>
      <c r="F221" s="74">
        <v>2006.06</v>
      </c>
      <c r="G221" s="74">
        <v>4506</v>
      </c>
      <c r="H221" s="74">
        <v>539.13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9804.6899999999987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7531.1</v>
      </c>
      <c r="D225" s="74">
        <v>1620</v>
      </c>
      <c r="E225" s="74">
        <v>337</v>
      </c>
      <c r="F225" s="74">
        <v>1328.44</v>
      </c>
      <c r="G225" s="74">
        <v>0</v>
      </c>
      <c r="H225" s="74">
        <v>336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11152.54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2765.59</v>
      </c>
      <c r="D227" s="74">
        <v>2745.3</v>
      </c>
      <c r="E227" s="74">
        <v>3120.75</v>
      </c>
      <c r="F227" s="74">
        <v>4290.2299999999996</v>
      </c>
      <c r="G227" s="74">
        <v>4806.05</v>
      </c>
      <c r="H227" s="74">
        <v>-5160.3999999999996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12567.519999999999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2023.62</v>
      </c>
      <c r="D229" s="74">
        <v>966.03</v>
      </c>
      <c r="E229" s="74">
        <v>647.34</v>
      </c>
      <c r="F229" s="74">
        <v>378.81</v>
      </c>
      <c r="G229" s="74">
        <v>2218.58</v>
      </c>
      <c r="H229" s="74">
        <v>3014.16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9248.5399999999991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140482.16999999998</v>
      </c>
      <c r="D244" s="74">
        <v>122565.95000000003</v>
      </c>
      <c r="E244" s="74">
        <v>146445.07999999996</v>
      </c>
      <c r="F244" s="74">
        <v>161278.42000000001</v>
      </c>
      <c r="G244" s="74">
        <v>169349.39999999997</v>
      </c>
      <c r="H244" s="74">
        <v>151269.55000000005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891390.57000000007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15176.94</v>
      </c>
      <c r="D247" s="74">
        <v>15888.82</v>
      </c>
      <c r="E247" s="74">
        <v>19031.13</v>
      </c>
      <c r="F247" s="74">
        <v>19770.04</v>
      </c>
      <c r="G247" s="74">
        <v>18524.509999999998</v>
      </c>
      <c r="H247" s="74">
        <v>18197.77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106589.20999999999</v>
      </c>
    </row>
    <row r="248" spans="1:16" x14ac:dyDescent="0.25">
      <c r="A248" s="71" t="s">
        <v>243</v>
      </c>
      <c r="B248" s="74"/>
      <c r="C248" s="74">
        <v>1227.72</v>
      </c>
      <c r="D248" s="74">
        <v>1076.6600000000001</v>
      </c>
      <c r="E248" s="74">
        <v>1280.0999999999999</v>
      </c>
      <c r="F248" s="74">
        <v>1455.56</v>
      </c>
      <c r="G248" s="74">
        <v>1027.6500000000001</v>
      </c>
      <c r="H248" s="74">
        <v>976.62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7044.31</v>
      </c>
    </row>
    <row r="249" spans="1:16" x14ac:dyDescent="0.25">
      <c r="A249" s="71" t="s">
        <v>244</v>
      </c>
      <c r="B249" s="74"/>
      <c r="C249" s="74">
        <v>889.15</v>
      </c>
      <c r="D249" s="74">
        <v>1603.64</v>
      </c>
      <c r="E249" s="74">
        <v>1399.25</v>
      </c>
      <c r="F249" s="74">
        <v>683.55</v>
      </c>
      <c r="G249" s="74">
        <v>1879.09</v>
      </c>
      <c r="H249" s="74">
        <v>568.52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7023.2000000000007</v>
      </c>
    </row>
    <row r="250" spans="1:16" x14ac:dyDescent="0.25">
      <c r="A250" s="71" t="s">
        <v>245</v>
      </c>
      <c r="B250" s="74"/>
      <c r="C250" s="74">
        <v>1434.55</v>
      </c>
      <c r="D250" s="74">
        <v>512.48</v>
      </c>
      <c r="E250" s="74">
        <v>684.74</v>
      </c>
      <c r="F250" s="74">
        <v>822.7</v>
      </c>
      <c r="G250" s="74">
        <v>969.83</v>
      </c>
      <c r="H250" s="74">
        <v>733.47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5157.7700000000004</v>
      </c>
    </row>
    <row r="251" spans="1:16" x14ac:dyDescent="0.25">
      <c r="A251" s="71" t="s">
        <v>246</v>
      </c>
      <c r="B251" s="74"/>
      <c r="C251" s="74">
        <v>10912.33</v>
      </c>
      <c r="D251" s="74">
        <v>10256.4</v>
      </c>
      <c r="E251" s="74">
        <v>13403.44</v>
      </c>
      <c r="F251" s="74">
        <v>9699.52</v>
      </c>
      <c r="G251" s="74">
        <v>13895.74</v>
      </c>
      <c r="H251" s="74">
        <v>11517.79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69685.22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242.27</v>
      </c>
      <c r="D253" s="74">
        <v>146.08000000000001</v>
      </c>
      <c r="E253" s="74">
        <v>267.18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655.53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573.66999999999996</v>
      </c>
      <c r="D257" s="74">
        <v>0</v>
      </c>
      <c r="E257" s="74">
        <v>132</v>
      </c>
      <c r="F257" s="74">
        <v>132</v>
      </c>
      <c r="G257" s="74">
        <v>0</v>
      </c>
      <c r="H257" s="74">
        <v>388.8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1226.47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1316</v>
      </c>
      <c r="D259" s="74">
        <v>672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1988</v>
      </c>
    </row>
    <row r="260" spans="1:16" x14ac:dyDescent="0.25">
      <c r="A260" s="71" t="s">
        <v>255</v>
      </c>
      <c r="C260" s="83">
        <v>35.64</v>
      </c>
      <c r="D260" s="83">
        <v>35.64</v>
      </c>
      <c r="E260" s="83">
        <v>35.64</v>
      </c>
      <c r="F260" s="83">
        <v>756.09</v>
      </c>
      <c r="G260" s="83">
        <v>397.07</v>
      </c>
      <c r="H260" s="83">
        <v>71.27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1331.35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31808.27</v>
      </c>
      <c r="D262" s="74">
        <v>30191.72</v>
      </c>
      <c r="E262" s="74">
        <v>36233.480000000003</v>
      </c>
      <c r="F262" s="74">
        <v>33319.46</v>
      </c>
      <c r="G262" s="74">
        <v>36693.89</v>
      </c>
      <c r="H262" s="74">
        <v>32454.240000000002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200701.06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3098</v>
      </c>
      <c r="D265" s="74">
        <v>2774</v>
      </c>
      <c r="E265" s="74">
        <v>3134</v>
      </c>
      <c r="F265" s="74">
        <v>3484</v>
      </c>
      <c r="G265" s="74">
        <v>3494</v>
      </c>
      <c r="H265" s="74">
        <v>2731.5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18715.5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4535.12</v>
      </c>
      <c r="D267" s="74">
        <v>2893.25</v>
      </c>
      <c r="E267" s="74">
        <v>5830.88</v>
      </c>
      <c r="F267" s="74">
        <v>5998.41</v>
      </c>
      <c r="G267" s="74">
        <v>4551.07</v>
      </c>
      <c r="H267" s="74">
        <v>9025.02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32833.75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25.51</v>
      </c>
      <c r="H271" s="74">
        <v>190.93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216.44</v>
      </c>
    </row>
    <row r="272" spans="1:16" x14ac:dyDescent="0.25">
      <c r="A272" s="71" t="s">
        <v>265</v>
      </c>
      <c r="B272" s="74"/>
      <c r="C272" s="74">
        <v>4632.07</v>
      </c>
      <c r="D272" s="74">
        <v>3386.34</v>
      </c>
      <c r="E272" s="74">
        <v>6717.36</v>
      </c>
      <c r="F272" s="74">
        <v>7111.22</v>
      </c>
      <c r="G272" s="74">
        <v>5502.34</v>
      </c>
      <c r="H272" s="74">
        <v>11376.87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38726.200000000004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4105.8599999999997</v>
      </c>
      <c r="D276" s="74">
        <v>2861.54</v>
      </c>
      <c r="E276" s="74">
        <v>4645.28</v>
      </c>
      <c r="F276" s="74">
        <v>7278.51</v>
      </c>
      <c r="G276" s="74">
        <v>2717.17</v>
      </c>
      <c r="H276" s="74">
        <v>9374.93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30983.29</v>
      </c>
    </row>
    <row r="277" spans="1:15" x14ac:dyDescent="0.25">
      <c r="A277" s="71" t="s">
        <v>270</v>
      </c>
      <c r="B277" s="74"/>
      <c r="C277" s="74">
        <v>579.02</v>
      </c>
      <c r="D277" s="74">
        <v>612.79999999999995</v>
      </c>
      <c r="E277" s="74">
        <v>579.19000000000005</v>
      </c>
      <c r="F277" s="74">
        <v>781.98</v>
      </c>
      <c r="G277" s="74">
        <v>0</v>
      </c>
      <c r="H277" s="74">
        <v>1629.69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4182.68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924.74</v>
      </c>
      <c r="D279" s="74">
        <v>1777.36</v>
      </c>
      <c r="E279" s="74">
        <v>2928.03</v>
      </c>
      <c r="F279" s="74">
        <v>2660.12</v>
      </c>
      <c r="G279" s="74">
        <v>912.46</v>
      </c>
      <c r="H279" s="74">
        <v>5009.72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14212.43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449.63</v>
      </c>
      <c r="D283" s="74">
        <v>814.15</v>
      </c>
      <c r="E283" s="74">
        <v>447.51</v>
      </c>
      <c r="F283" s="74">
        <v>323.38</v>
      </c>
      <c r="G283" s="74">
        <v>211.52</v>
      </c>
      <c r="H283" s="74">
        <v>144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2390.19</v>
      </c>
    </row>
    <row r="284" spans="1:15" x14ac:dyDescent="0.25">
      <c r="A284" s="71" t="s">
        <v>277</v>
      </c>
      <c r="B284" s="74"/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0</v>
      </c>
      <c r="E290" s="74">
        <v>0</v>
      </c>
      <c r="F290" s="74">
        <v>508.79</v>
      </c>
      <c r="G290" s="74">
        <v>0</v>
      </c>
      <c r="H290" s="74">
        <v>44.18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552.97</v>
      </c>
    </row>
    <row r="291" spans="1:15" x14ac:dyDescent="0.25">
      <c r="A291" s="71" t="s">
        <v>284</v>
      </c>
      <c r="B291" s="74"/>
      <c r="C291" s="74">
        <v>0</v>
      </c>
      <c r="D291" s="74">
        <v>503.9</v>
      </c>
      <c r="E291" s="74">
        <v>1195.05</v>
      </c>
      <c r="F291" s="74">
        <v>893.26</v>
      </c>
      <c r="G291" s="74">
        <v>673.72</v>
      </c>
      <c r="H291" s="74">
        <v>1906.39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5172.3200000000006</v>
      </c>
    </row>
    <row r="292" spans="1:15" x14ac:dyDescent="0.25">
      <c r="A292" s="71" t="s">
        <v>285</v>
      </c>
      <c r="B292" s="74"/>
      <c r="C292" s="74">
        <v>0</v>
      </c>
      <c r="D292" s="74">
        <v>0</v>
      </c>
      <c r="E292" s="74">
        <v>0</v>
      </c>
      <c r="F292" s="74">
        <v>226.37</v>
      </c>
      <c r="G292" s="74">
        <v>678.96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905.33</v>
      </c>
    </row>
    <row r="293" spans="1:15" x14ac:dyDescent="0.25">
      <c r="A293" s="71" t="s">
        <v>286</v>
      </c>
      <c r="B293" s="74"/>
      <c r="C293" s="74">
        <v>1400.48</v>
      </c>
      <c r="D293" s="74">
        <v>1821.56</v>
      </c>
      <c r="E293" s="74">
        <v>2740.15</v>
      </c>
      <c r="F293" s="74">
        <v>1219.33</v>
      </c>
      <c r="G293" s="74">
        <v>1776.86</v>
      </c>
      <c r="H293" s="74">
        <v>2101.6999999999998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11060.080000000002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49.36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49.36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4862.84</v>
      </c>
      <c r="D301" s="74">
        <v>1029.1099999999999</v>
      </c>
      <c r="E301" s="74">
        <v>2423.3000000000002</v>
      </c>
      <c r="F301" s="74">
        <v>2808.15</v>
      </c>
      <c r="G301" s="74">
        <v>2762.08</v>
      </c>
      <c r="H301" s="74">
        <v>1116.05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15001.529999999999</v>
      </c>
    </row>
    <row r="302" spans="1:15" x14ac:dyDescent="0.25">
      <c r="A302" s="71" t="s">
        <v>295</v>
      </c>
      <c r="B302" s="74"/>
      <c r="C302" s="74">
        <v>1005.84</v>
      </c>
      <c r="D302" s="74">
        <v>257.55</v>
      </c>
      <c r="E302" s="74">
        <v>102.86</v>
      </c>
      <c r="F302" s="74">
        <v>362.99</v>
      </c>
      <c r="G302" s="74">
        <v>784.57</v>
      </c>
      <c r="H302" s="74">
        <v>414.1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2927.91</v>
      </c>
    </row>
    <row r="303" spans="1:15" x14ac:dyDescent="0.25">
      <c r="A303" s="71" t="s">
        <v>296</v>
      </c>
      <c r="B303" s="74"/>
      <c r="C303" s="74">
        <v>5011.22</v>
      </c>
      <c r="D303" s="74">
        <v>1254.1400000000001</v>
      </c>
      <c r="E303" s="74">
        <v>2821.24</v>
      </c>
      <c r="F303" s="74">
        <v>2882.84</v>
      </c>
      <c r="G303" s="74">
        <v>3477.05</v>
      </c>
      <c r="H303" s="74">
        <v>1543.28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16989.77</v>
      </c>
    </row>
    <row r="304" spans="1:15" x14ac:dyDescent="0.25">
      <c r="A304" s="71" t="s">
        <v>499</v>
      </c>
      <c r="B304" s="74"/>
      <c r="C304" s="74">
        <v>0</v>
      </c>
      <c r="D304" s="74">
        <v>2900.72</v>
      </c>
      <c r="E304" s="74">
        <v>3091.61</v>
      </c>
      <c r="F304" s="74">
        <v>3552.17</v>
      </c>
      <c r="G304" s="74">
        <v>4435.92</v>
      </c>
      <c r="H304" s="74">
        <v>2438.14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16418.560000000001</v>
      </c>
    </row>
    <row r="305" spans="1:16" x14ac:dyDescent="0.25">
      <c r="A305" s="71" t="s">
        <v>500</v>
      </c>
      <c r="B305" s="74"/>
      <c r="C305" s="74">
        <v>0</v>
      </c>
      <c r="D305" s="74">
        <v>194.93</v>
      </c>
      <c r="E305" s="74">
        <v>614.08000000000004</v>
      </c>
      <c r="F305" s="74">
        <v>812.04</v>
      </c>
      <c r="G305" s="74">
        <v>871.63</v>
      </c>
      <c r="H305" s="74">
        <v>169.68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2662.3599999999997</v>
      </c>
    </row>
    <row r="306" spans="1:16" x14ac:dyDescent="0.25">
      <c r="A306" s="71" t="s">
        <v>501</v>
      </c>
      <c r="B306" s="74"/>
      <c r="C306" s="74">
        <v>0</v>
      </c>
      <c r="D306" s="74">
        <v>2988.59</v>
      </c>
      <c r="E306" s="74">
        <v>2705.79</v>
      </c>
      <c r="F306" s="74">
        <v>2699.73</v>
      </c>
      <c r="G306" s="74">
        <v>4679.33</v>
      </c>
      <c r="H306" s="74">
        <v>3264.32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16337.76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663.57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663.57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30604.820000000003</v>
      </c>
      <c r="D321" s="74">
        <v>26069.940000000002</v>
      </c>
      <c r="E321" s="74">
        <v>40025.69</v>
      </c>
      <c r="F321" s="74">
        <v>43603.289999999994</v>
      </c>
      <c r="G321" s="74">
        <v>38217.760000000002</v>
      </c>
      <c r="H321" s="74">
        <v>52480.5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231001.99999999997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5602.76</v>
      </c>
      <c r="D324" s="74">
        <v>4755.3</v>
      </c>
      <c r="E324" s="74">
        <v>5687.35</v>
      </c>
      <c r="F324" s="74">
        <v>5966.92</v>
      </c>
      <c r="G324" s="74">
        <v>5712.05</v>
      </c>
      <c r="H324" s="74">
        <v>5417.39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33141.770000000004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184.3</v>
      </c>
      <c r="F325" s="74">
        <v>314.58999999999997</v>
      </c>
      <c r="G325" s="74">
        <v>296.67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795.56</v>
      </c>
    </row>
    <row r="326" spans="1:16" x14ac:dyDescent="0.25">
      <c r="A326" s="71" t="s">
        <v>314</v>
      </c>
      <c r="B326" s="74"/>
      <c r="C326" s="74">
        <v>566.44000000000005</v>
      </c>
      <c r="D326" s="74">
        <v>492.32</v>
      </c>
      <c r="E326" s="74">
        <v>513.01</v>
      </c>
      <c r="F326" s="74">
        <v>0</v>
      </c>
      <c r="G326" s="74">
        <v>1158.57</v>
      </c>
      <c r="H326" s="74">
        <v>589.54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3319.88</v>
      </c>
    </row>
    <row r="327" spans="1:16" x14ac:dyDescent="0.25">
      <c r="A327" s="71" t="s">
        <v>315</v>
      </c>
      <c r="B327" s="74"/>
      <c r="C327" s="74">
        <v>361.46</v>
      </c>
      <c r="D327" s="74">
        <v>314.16000000000003</v>
      </c>
      <c r="E327" s="74">
        <v>327.31</v>
      </c>
      <c r="F327" s="74">
        <v>0</v>
      </c>
      <c r="G327" s="74">
        <v>765.38</v>
      </c>
      <c r="H327" s="74">
        <v>376.2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2144.5099999999998</v>
      </c>
    </row>
    <row r="328" spans="1:16" x14ac:dyDescent="0.25">
      <c r="A328" s="71" t="s">
        <v>316</v>
      </c>
      <c r="B328" s="74"/>
      <c r="C328" s="74">
        <v>697.43</v>
      </c>
      <c r="D328" s="74">
        <v>437.22</v>
      </c>
      <c r="E328" s="74">
        <v>643.48</v>
      </c>
      <c r="F328" s="74">
        <v>298</v>
      </c>
      <c r="G328" s="74">
        <v>742.75</v>
      </c>
      <c r="H328" s="74">
        <v>210.71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3029.59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97.2</v>
      </c>
      <c r="D333" s="74">
        <v>194.4</v>
      </c>
      <c r="E333" s="74">
        <v>0</v>
      </c>
      <c r="F333" s="74">
        <v>97.2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388.8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388.8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388.8</v>
      </c>
    </row>
    <row r="336" spans="1:16" x14ac:dyDescent="0.25">
      <c r="A336" s="71" t="s">
        <v>324</v>
      </c>
      <c r="C336" s="83">
        <v>35.65</v>
      </c>
      <c r="D336" s="83">
        <v>35.65</v>
      </c>
      <c r="E336" s="83">
        <v>35.65</v>
      </c>
      <c r="F336" s="83">
        <v>35.65</v>
      </c>
      <c r="G336" s="83">
        <v>102.89</v>
      </c>
      <c r="H336" s="83">
        <v>35.65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281.14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7360.9400000000005</v>
      </c>
      <c r="D338" s="74">
        <v>6229.0499999999993</v>
      </c>
      <c r="E338" s="74">
        <v>7391.1</v>
      </c>
      <c r="F338" s="74">
        <v>6712.36</v>
      </c>
      <c r="G338" s="74">
        <v>8778.31</v>
      </c>
      <c r="H338" s="74">
        <v>7018.29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43490.05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10140.4</v>
      </c>
      <c r="D341" s="74">
        <v>8273.52</v>
      </c>
      <c r="E341" s="74">
        <v>10598.47</v>
      </c>
      <c r="F341" s="74">
        <v>9182.65</v>
      </c>
      <c r="G341" s="74">
        <v>8810.92</v>
      </c>
      <c r="H341" s="74">
        <v>7884.32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54890.28</v>
      </c>
    </row>
    <row r="342" spans="1:16" x14ac:dyDescent="0.25">
      <c r="A342" s="71" t="s">
        <v>329</v>
      </c>
      <c r="B342" s="74"/>
      <c r="C342" s="74">
        <v>937.91</v>
      </c>
      <c r="D342" s="74">
        <v>758.53</v>
      </c>
      <c r="E342" s="74">
        <v>861.1</v>
      </c>
      <c r="F342" s="74">
        <v>375.14</v>
      </c>
      <c r="G342" s="74">
        <v>707.62</v>
      </c>
      <c r="H342" s="74">
        <v>897.96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4538.26</v>
      </c>
    </row>
    <row r="343" spans="1:16" x14ac:dyDescent="0.25">
      <c r="A343" s="71" t="s">
        <v>330</v>
      </c>
      <c r="B343" s="74"/>
      <c r="C343" s="74">
        <v>542.19000000000005</v>
      </c>
      <c r="D343" s="74">
        <v>471.24</v>
      </c>
      <c r="E343" s="74">
        <v>491.09</v>
      </c>
      <c r="F343" s="74">
        <v>0</v>
      </c>
      <c r="G343" s="74">
        <v>1188.93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2693.45</v>
      </c>
    </row>
    <row r="344" spans="1:16" x14ac:dyDescent="0.25">
      <c r="A344" s="71" t="s">
        <v>331</v>
      </c>
      <c r="B344" s="74"/>
      <c r="C344" s="74">
        <v>60.73</v>
      </c>
      <c r="D344" s="74">
        <v>447.62</v>
      </c>
      <c r="E344" s="74">
        <v>449.73</v>
      </c>
      <c r="F344" s="74">
        <v>0</v>
      </c>
      <c r="G344" s="74">
        <v>570.66999999999996</v>
      </c>
      <c r="H344" s="74">
        <v>58.38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1587.13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297.60000000000002</v>
      </c>
      <c r="F349" s="74">
        <v>966.4</v>
      </c>
      <c r="G349" s="74">
        <v>291.60000000000002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1555.6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450.4</v>
      </c>
      <c r="D351" s="74">
        <v>0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450.4</v>
      </c>
    </row>
    <row r="352" spans="1:16" x14ac:dyDescent="0.25">
      <c r="A352" s="71" t="s">
        <v>339</v>
      </c>
      <c r="C352" s="83">
        <v>-121.17</v>
      </c>
      <c r="D352" s="83">
        <v>-121.17</v>
      </c>
      <c r="E352" s="83">
        <v>-152.19999999999999</v>
      </c>
      <c r="F352" s="83">
        <v>94.31</v>
      </c>
      <c r="G352" s="83">
        <v>131.15</v>
      </c>
      <c r="H352" s="83">
        <v>29.09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-139.98999999999995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12010.46</v>
      </c>
      <c r="D354" s="74">
        <v>9829.7400000000016</v>
      </c>
      <c r="E354" s="74">
        <v>12545.789999999999</v>
      </c>
      <c r="F354" s="74">
        <v>10618.499999999998</v>
      </c>
      <c r="G354" s="74">
        <v>11700.890000000001</v>
      </c>
      <c r="H354" s="74">
        <v>8869.7499999999982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65575.12999999999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2756.55</v>
      </c>
      <c r="D358" s="74">
        <v>3105.24</v>
      </c>
      <c r="E358" s="74">
        <v>3422.19</v>
      </c>
      <c r="F358" s="74">
        <v>2904.95</v>
      </c>
      <c r="G358" s="74">
        <v>4902.16</v>
      </c>
      <c r="H358" s="74">
        <v>5808.72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22899.81</v>
      </c>
    </row>
    <row r="359" spans="1:16" x14ac:dyDescent="0.25">
      <c r="A359" s="71" t="s">
        <v>344</v>
      </c>
      <c r="B359" s="74"/>
      <c r="C359" s="74">
        <v>563.75</v>
      </c>
      <c r="D359" s="74">
        <v>462.51</v>
      </c>
      <c r="E359" s="74">
        <v>502.29</v>
      </c>
      <c r="F359" s="74">
        <v>678.3</v>
      </c>
      <c r="G359" s="74">
        <v>0</v>
      </c>
      <c r="H359" s="74">
        <v>377.24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2584.09</v>
      </c>
    </row>
    <row r="360" spans="1:16" x14ac:dyDescent="0.25">
      <c r="A360" s="71" t="s">
        <v>345</v>
      </c>
      <c r="B360" s="74"/>
      <c r="C360" s="74">
        <v>2906.96</v>
      </c>
      <c r="D360" s="74">
        <v>1280.9100000000001</v>
      </c>
      <c r="E360" s="74">
        <v>597.52</v>
      </c>
      <c r="F360" s="74">
        <v>655.7</v>
      </c>
      <c r="G360" s="74">
        <v>2808.68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8249.7699999999986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255.04</v>
      </c>
      <c r="D362" s="74">
        <v>0</v>
      </c>
      <c r="E362" s="74">
        <v>255.04</v>
      </c>
      <c r="F362" s="74">
        <v>0</v>
      </c>
      <c r="G362" s="74">
        <v>869.12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1379.2</v>
      </c>
    </row>
    <row r="363" spans="1:16" x14ac:dyDescent="0.25">
      <c r="A363" s="71" t="s">
        <v>348</v>
      </c>
      <c r="B363" s="74"/>
      <c r="C363" s="74">
        <v>486.99</v>
      </c>
      <c r="D363" s="74">
        <v>445.3</v>
      </c>
      <c r="E363" s="74">
        <v>294.95999999999998</v>
      </c>
      <c r="F363" s="74">
        <v>321.36</v>
      </c>
      <c r="G363" s="74">
        <v>349.96</v>
      </c>
      <c r="H363" s="74">
        <v>357.11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2255.6800000000003</v>
      </c>
    </row>
    <row r="364" spans="1:16" x14ac:dyDescent="0.25">
      <c r="A364" s="71" t="s">
        <v>349</v>
      </c>
      <c r="B364" s="74"/>
      <c r="C364" s="74">
        <v>0</v>
      </c>
      <c r="D364" s="74">
        <v>0</v>
      </c>
      <c r="E364" s="74">
        <v>0</v>
      </c>
      <c r="F364" s="74">
        <v>2054.62</v>
      </c>
      <c r="G364" s="74">
        <v>1027.31</v>
      </c>
      <c r="H364" s="74">
        <v>1027.31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4109.24</v>
      </c>
    </row>
    <row r="365" spans="1:16" x14ac:dyDescent="0.25">
      <c r="A365" s="71" t="s">
        <v>350</v>
      </c>
      <c r="B365" s="74"/>
      <c r="C365" s="74">
        <v>1798.24</v>
      </c>
      <c r="D365" s="74">
        <v>2246.8000000000002</v>
      </c>
      <c r="E365" s="74">
        <v>614</v>
      </c>
      <c r="F365" s="74">
        <v>117.56</v>
      </c>
      <c r="G365" s="74">
        <v>1133.02</v>
      </c>
      <c r="H365" s="74">
        <v>1142.6500000000001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7052.27</v>
      </c>
    </row>
    <row r="366" spans="1:16" x14ac:dyDescent="0.25">
      <c r="A366" s="71" t="s">
        <v>351</v>
      </c>
      <c r="B366" s="74"/>
      <c r="C366" s="74">
        <v>4069.03</v>
      </c>
      <c r="D366" s="74">
        <v>2858.82</v>
      </c>
      <c r="E366" s="74">
        <v>2922.5</v>
      </c>
      <c r="F366" s="74">
        <v>5464.07</v>
      </c>
      <c r="G366" s="74">
        <v>6487.95</v>
      </c>
      <c r="H366" s="74">
        <v>2974.87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24777.239999999998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152</v>
      </c>
      <c r="D370" s="74">
        <v>0</v>
      </c>
      <c r="E370" s="74">
        <v>0</v>
      </c>
      <c r="F370" s="74">
        <v>0</v>
      </c>
      <c r="G370" s="74">
        <v>0</v>
      </c>
      <c r="H370" s="74">
        <v>-115.84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36.159999999999997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156.80000000000001</v>
      </c>
      <c r="D373" s="74">
        <v>156.80000000000001</v>
      </c>
      <c r="E373" s="74">
        <v>156.80000000000001</v>
      </c>
      <c r="F373" s="74">
        <v>156.80000000000001</v>
      </c>
      <c r="G373" s="74">
        <v>161.80000000000001</v>
      </c>
      <c r="H373" s="74">
        <v>35.64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824.64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4473.6099999999997</v>
      </c>
      <c r="D376" s="74">
        <v>5857.64</v>
      </c>
      <c r="E376" s="74">
        <v>5189.93</v>
      </c>
      <c r="F376" s="74">
        <v>4392.12</v>
      </c>
      <c r="G376" s="74">
        <v>3721.81</v>
      </c>
      <c r="H376" s="74">
        <v>4092.26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27727.370000000003</v>
      </c>
    </row>
    <row r="377" spans="1:16" x14ac:dyDescent="0.25">
      <c r="A377" s="71" t="s">
        <v>362</v>
      </c>
      <c r="C377" s="83">
        <v>2538.04</v>
      </c>
      <c r="D377" s="83">
        <v>2474.7399999999998</v>
      </c>
      <c r="E377" s="83">
        <v>2228.87</v>
      </c>
      <c r="F377" s="83">
        <v>2060.71</v>
      </c>
      <c r="G377" s="83">
        <v>1949.21</v>
      </c>
      <c r="H377" s="83">
        <v>1728.87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12980.439999999999</v>
      </c>
      <c r="P377" s="86"/>
    </row>
    <row r="378" spans="1:16" x14ac:dyDescent="0.25">
      <c r="A378" s="71" t="s">
        <v>363</v>
      </c>
      <c r="C378" s="98">
        <v>2658.27</v>
      </c>
      <c r="D378" s="98">
        <v>2801.95</v>
      </c>
      <c r="E378" s="98">
        <v>2249.37</v>
      </c>
      <c r="F378" s="98">
        <v>2774.31</v>
      </c>
      <c r="G378" s="98">
        <v>2398.56</v>
      </c>
      <c r="H378" s="98">
        <v>2346.92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15229.38</v>
      </c>
    </row>
    <row r="379" spans="1:16" x14ac:dyDescent="0.25">
      <c r="A379" s="71" t="s">
        <v>364</v>
      </c>
      <c r="C379" s="74">
        <v>22815.280000000002</v>
      </c>
      <c r="D379" s="74">
        <v>21690.710000000003</v>
      </c>
      <c r="E379" s="74">
        <v>18433.469999999998</v>
      </c>
      <c r="F379" s="74">
        <v>21580.5</v>
      </c>
      <c r="G379" s="74">
        <v>25809.58</v>
      </c>
      <c r="H379" s="74">
        <v>19775.75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130105.29000000001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8460.08</v>
      </c>
      <c r="D382" s="74">
        <v>8460.08</v>
      </c>
      <c r="E382" s="74">
        <v>8460.08</v>
      </c>
      <c r="F382" s="74">
        <v>6507.99</v>
      </c>
      <c r="G382" s="74">
        <v>8460.08</v>
      </c>
      <c r="H382" s="74">
        <v>8460.08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48808.39</v>
      </c>
    </row>
    <row r="383" spans="1:16" x14ac:dyDescent="0.25">
      <c r="A383" s="71" t="s">
        <v>367</v>
      </c>
      <c r="B383" s="74"/>
      <c r="C383" s="74">
        <v>6160.37</v>
      </c>
      <c r="D383" s="74">
        <v>5402.82</v>
      </c>
      <c r="E383" s="74">
        <v>6589.28</v>
      </c>
      <c r="F383" s="74">
        <v>3228.32</v>
      </c>
      <c r="G383" s="74">
        <v>2952.39</v>
      </c>
      <c r="H383" s="74">
        <v>2534.7199999999998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26867.899999999998</v>
      </c>
    </row>
    <row r="384" spans="1:16" x14ac:dyDescent="0.25">
      <c r="A384" s="71" t="s">
        <v>368</v>
      </c>
      <c r="B384" s="74"/>
      <c r="C384" s="74">
        <v>988.39</v>
      </c>
      <c r="D384" s="74">
        <v>1007.03</v>
      </c>
      <c r="E384" s="74">
        <v>922.99</v>
      </c>
      <c r="F384" s="74">
        <v>953.76</v>
      </c>
      <c r="G384" s="74">
        <v>955.59</v>
      </c>
      <c r="H384" s="74">
        <v>956.8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5784.56</v>
      </c>
    </row>
    <row r="385" spans="1:15" x14ac:dyDescent="0.25">
      <c r="A385" s="71" t="s">
        <v>369</v>
      </c>
      <c r="B385" s="74"/>
      <c r="C385" s="74">
        <v>116.3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116.3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4162.66</v>
      </c>
      <c r="G386" s="74">
        <v>5155.7</v>
      </c>
      <c r="H386" s="74">
        <v>4384.01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13702.37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100</v>
      </c>
      <c r="D391" s="74">
        <v>100</v>
      </c>
      <c r="E391" s="74">
        <v>100</v>
      </c>
      <c r="F391" s="74">
        <v>100</v>
      </c>
      <c r="G391" s="74">
        <v>100</v>
      </c>
      <c r="H391" s="74">
        <v>100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600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0</v>
      </c>
      <c r="E393" s="74">
        <v>0</v>
      </c>
      <c r="F393" s="74">
        <v>2528.4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2528.4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0</v>
      </c>
      <c r="E395" s="74">
        <v>414</v>
      </c>
      <c r="F395" s="74">
        <v>90</v>
      </c>
      <c r="G395" s="74">
        <v>0</v>
      </c>
      <c r="H395" s="74">
        <v>108.75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612.75</v>
      </c>
    </row>
    <row r="396" spans="1:15" x14ac:dyDescent="0.25">
      <c r="A396" s="71" t="s">
        <v>380</v>
      </c>
      <c r="B396" s="74"/>
      <c r="C396" s="74">
        <v>399.07</v>
      </c>
      <c r="D396" s="74">
        <v>399.07</v>
      </c>
      <c r="E396" s="74">
        <v>269.64999999999998</v>
      </c>
      <c r="F396" s="74">
        <v>156.86000000000001</v>
      </c>
      <c r="G396" s="74">
        <v>152.34</v>
      </c>
      <c r="H396" s="74">
        <v>180.34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1557.33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8178.54</v>
      </c>
      <c r="D400" s="74">
        <v>7980.96</v>
      </c>
      <c r="E400" s="74">
        <v>0</v>
      </c>
      <c r="F400" s="74">
        <v>241.45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16400.95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133.49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133.49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261.3</v>
      </c>
      <c r="F408" s="74">
        <v>284.85000000000002</v>
      </c>
      <c r="G408" s="74">
        <v>0</v>
      </c>
      <c r="H408" s="74">
        <v>621.22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1668.26</v>
      </c>
    </row>
    <row r="409" spans="1:15" x14ac:dyDescent="0.25">
      <c r="A409" s="71" t="s">
        <v>393</v>
      </c>
      <c r="B409" s="74"/>
      <c r="C409" s="74">
        <v>558.70000000000005</v>
      </c>
      <c r="D409" s="74">
        <v>551.26</v>
      </c>
      <c r="E409" s="74">
        <v>540.65</v>
      </c>
      <c r="F409" s="74">
        <v>572.54</v>
      </c>
      <c r="G409" s="74">
        <v>664.07</v>
      </c>
      <c r="H409" s="74">
        <v>580.54999999999995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3467.7700000000004</v>
      </c>
    </row>
    <row r="410" spans="1:15" x14ac:dyDescent="0.25">
      <c r="A410" s="71" t="s">
        <v>394</v>
      </c>
      <c r="B410" s="74"/>
      <c r="C410" s="74">
        <v>12.89</v>
      </c>
      <c r="D410" s="74">
        <v>801.77</v>
      </c>
      <c r="E410" s="74">
        <v>158.66</v>
      </c>
      <c r="F410" s="74">
        <v>348.28</v>
      </c>
      <c r="G410" s="74">
        <v>212.41</v>
      </c>
      <c r="H410" s="74">
        <v>120.41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1654.42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225.29</v>
      </c>
      <c r="D412" s="74">
        <v>67.94</v>
      </c>
      <c r="E412" s="74">
        <v>240</v>
      </c>
      <c r="F412" s="74">
        <v>80</v>
      </c>
      <c r="G412" s="74">
        <v>2123.04</v>
      </c>
      <c r="H412" s="74">
        <v>1142.76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3879.0299999999997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1323.16</v>
      </c>
      <c r="D415" s="74">
        <v>1323.16</v>
      </c>
      <c r="E415" s="74">
        <v>1323.16</v>
      </c>
      <c r="F415" s="74">
        <v>1323.16</v>
      </c>
      <c r="G415" s="74">
        <v>1323.16</v>
      </c>
      <c r="H415" s="74">
        <v>1323.16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7938.96</v>
      </c>
    </row>
    <row r="416" spans="1:15" x14ac:dyDescent="0.25">
      <c r="A416" s="71" t="s">
        <v>400</v>
      </c>
      <c r="B416" s="74"/>
      <c r="C416" s="74">
        <v>759.66</v>
      </c>
      <c r="D416" s="74">
        <v>759.66</v>
      </c>
      <c r="E416" s="74">
        <v>759.66</v>
      </c>
      <c r="F416" s="74">
        <v>759.66</v>
      </c>
      <c r="G416" s="74">
        <v>759.66</v>
      </c>
      <c r="H416" s="74">
        <v>759.66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4557.96</v>
      </c>
    </row>
    <row r="417" spans="1:15" x14ac:dyDescent="0.25">
      <c r="A417" s="71" t="s">
        <v>401</v>
      </c>
      <c r="B417" s="74"/>
      <c r="C417" s="74">
        <v>287.77999999999997</v>
      </c>
      <c r="D417" s="74">
        <v>287.77999999999997</v>
      </c>
      <c r="E417" s="74">
        <v>287.77999999999997</v>
      </c>
      <c r="F417" s="74">
        <v>287.77999999999997</v>
      </c>
      <c r="G417" s="74">
        <v>287.77999999999997</v>
      </c>
      <c r="H417" s="74">
        <v>287.77999999999997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1726.6799999999998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5728.39</v>
      </c>
      <c r="D419" s="74">
        <v>4984.34</v>
      </c>
      <c r="E419" s="74">
        <v>5387.23</v>
      </c>
      <c r="F419" s="74">
        <v>5986.17</v>
      </c>
      <c r="G419" s="74">
        <v>6236.57</v>
      </c>
      <c r="H419" s="74">
        <v>5958.1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34280.799999999996</v>
      </c>
    </row>
    <row r="420" spans="1:15" x14ac:dyDescent="0.25">
      <c r="A420" s="71" t="s">
        <v>404</v>
      </c>
      <c r="B420" s="74"/>
      <c r="C420" s="74">
        <v>179.57</v>
      </c>
      <c r="D420" s="74">
        <v>242.2</v>
      </c>
      <c r="E420" s="74">
        <v>202.52</v>
      </c>
      <c r="F420" s="74">
        <v>289.14</v>
      </c>
      <c r="G420" s="74">
        <v>186.39</v>
      </c>
      <c r="H420" s="74">
        <v>229.74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1329.56</v>
      </c>
    </row>
    <row r="421" spans="1:15" x14ac:dyDescent="0.25">
      <c r="A421" s="71" t="s">
        <v>405</v>
      </c>
      <c r="B421" s="74"/>
      <c r="C421" s="74">
        <v>668.51</v>
      </c>
      <c r="D421" s="74">
        <v>1223.9000000000001</v>
      </c>
      <c r="E421" s="74">
        <v>2275.2399999999998</v>
      </c>
      <c r="F421" s="74">
        <v>1132.0899999999999</v>
      </c>
      <c r="G421" s="74">
        <v>683.94</v>
      </c>
      <c r="H421" s="74">
        <v>1490.2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7473.88</v>
      </c>
    </row>
    <row r="422" spans="1:15" x14ac:dyDescent="0.25">
      <c r="A422" s="71" t="s">
        <v>406</v>
      </c>
      <c r="B422" s="74"/>
      <c r="C422" s="74">
        <v>16373.4</v>
      </c>
      <c r="D422" s="74">
        <v>13732.67</v>
      </c>
      <c r="E422" s="74">
        <v>17476.150000000001</v>
      </c>
      <c r="F422" s="74">
        <v>18518.32</v>
      </c>
      <c r="G422" s="74">
        <v>18196.310000000001</v>
      </c>
      <c r="H422" s="74">
        <v>21299.87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105596.72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300.5</v>
      </c>
      <c r="D425" s="74">
        <v>0</v>
      </c>
      <c r="E425" s="74">
        <v>180</v>
      </c>
      <c r="F425" s="74">
        <v>0</v>
      </c>
      <c r="G425" s="74">
        <v>0</v>
      </c>
      <c r="H425" s="74">
        <v>1320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1800.5</v>
      </c>
    </row>
    <row r="426" spans="1:15" x14ac:dyDescent="0.25">
      <c r="A426" s="71" t="s">
        <v>410</v>
      </c>
      <c r="B426" s="74"/>
      <c r="C426" s="74">
        <v>14369.12</v>
      </c>
      <c r="D426" s="74">
        <v>12141.12</v>
      </c>
      <c r="E426" s="74">
        <v>14602.01</v>
      </c>
      <c r="F426" s="74">
        <v>15530.92</v>
      </c>
      <c r="G426" s="74">
        <v>15807.43</v>
      </c>
      <c r="H426" s="74">
        <v>15019.75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87470.35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0</v>
      </c>
      <c r="F430" s="74">
        <v>0</v>
      </c>
      <c r="G430" s="74">
        <v>0</v>
      </c>
      <c r="H430" s="74">
        <v>19.52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19.52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3117.86</v>
      </c>
      <c r="D432" s="74">
        <v>4622.8100000000004</v>
      </c>
      <c r="E432" s="74">
        <v>1969.78</v>
      </c>
      <c r="F432" s="74">
        <v>1773.09</v>
      </c>
      <c r="G432" s="74">
        <v>1355.39</v>
      </c>
      <c r="H432" s="74">
        <v>1512.62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14351.55</v>
      </c>
    </row>
    <row r="433" spans="1:16" x14ac:dyDescent="0.25">
      <c r="A433" s="71" t="s">
        <v>416</v>
      </c>
      <c r="B433" s="74"/>
      <c r="C433" s="74">
        <v>22619</v>
      </c>
      <c r="D433" s="74">
        <v>22619</v>
      </c>
      <c r="E433" s="74">
        <v>22619</v>
      </c>
      <c r="F433" s="74">
        <v>22619</v>
      </c>
      <c r="G433" s="74">
        <v>22619</v>
      </c>
      <c r="H433" s="74">
        <v>22619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135714</v>
      </c>
    </row>
    <row r="434" spans="1:16" x14ac:dyDescent="0.25">
      <c r="A434" s="71" t="s">
        <v>417</v>
      </c>
      <c r="B434" s="74"/>
      <c r="C434" s="74">
        <v>1944.98</v>
      </c>
      <c r="D434" s="74">
        <v>1617.53</v>
      </c>
      <c r="E434" s="74">
        <v>1496.51</v>
      </c>
      <c r="F434" s="74">
        <v>1726.67</v>
      </c>
      <c r="G434" s="74">
        <v>1869.04</v>
      </c>
      <c r="H434" s="74">
        <v>1876.17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10530.9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249.98</v>
      </c>
      <c r="D436" s="74">
        <v>254.98</v>
      </c>
      <c r="E436" s="74">
        <v>254.98</v>
      </c>
      <c r="F436" s="74">
        <v>254.98</v>
      </c>
      <c r="G436" s="74">
        <v>254.98</v>
      </c>
      <c r="H436" s="74">
        <v>254.98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1524.8799999999999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65387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65387</v>
      </c>
    </row>
    <row r="440" spans="1:16" x14ac:dyDescent="0.25">
      <c r="A440" s="71" t="s">
        <v>423</v>
      </c>
      <c r="C440" s="74">
        <v>93879.83</v>
      </c>
      <c r="D440" s="74">
        <v>89352.679999999978</v>
      </c>
      <c r="E440" s="74">
        <v>88355.62999999999</v>
      </c>
      <c r="F440" s="74">
        <v>89971.089999999982</v>
      </c>
      <c r="G440" s="74">
        <v>156390.76</v>
      </c>
      <c r="H440" s="74">
        <v>93675.189999999988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611625.17999999993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8957.4500000000007</v>
      </c>
      <c r="D443" s="74">
        <v>7490.37</v>
      </c>
      <c r="E443" s="74">
        <v>9570.08</v>
      </c>
      <c r="F443" s="74">
        <v>10149.07</v>
      </c>
      <c r="G443" s="74">
        <v>9970.17</v>
      </c>
      <c r="H443" s="74">
        <v>11694.37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57831.51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3049.44</v>
      </c>
      <c r="D445" s="74">
        <v>3049.44</v>
      </c>
      <c r="E445" s="74">
        <v>3049.44</v>
      </c>
      <c r="F445" s="74">
        <v>3049.44</v>
      </c>
      <c r="G445" s="74">
        <v>3049.44</v>
      </c>
      <c r="H445" s="74">
        <v>3049.44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18296.64</v>
      </c>
    </row>
    <row r="446" spans="1:16" x14ac:dyDescent="0.25">
      <c r="A446" s="71" t="s">
        <v>428</v>
      </c>
      <c r="B446" s="74"/>
      <c r="C446" s="74">
        <v>53114.73</v>
      </c>
      <c r="D446" s="74">
        <v>50704.05</v>
      </c>
      <c r="E446" s="74">
        <v>55525.41</v>
      </c>
      <c r="F446" s="74">
        <v>53114.73</v>
      </c>
      <c r="G446" s="74">
        <v>53114.73</v>
      </c>
      <c r="H446" s="74">
        <v>53114.73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318688.38</v>
      </c>
    </row>
    <row r="447" spans="1:16" x14ac:dyDescent="0.25">
      <c r="A447" s="71" t="s">
        <v>429</v>
      </c>
      <c r="B447" s="74"/>
      <c r="C447" s="74">
        <v>10537.54</v>
      </c>
      <c r="D447" s="74">
        <v>9868.91</v>
      </c>
      <c r="E447" s="74">
        <v>10685.19</v>
      </c>
      <c r="F447" s="74">
        <v>8870.41</v>
      </c>
      <c r="G447" s="74">
        <v>10889.23</v>
      </c>
      <c r="H447" s="74">
        <v>9865.6299999999992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60716.909999999996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3375</v>
      </c>
      <c r="D451" s="83">
        <v>3375</v>
      </c>
      <c r="E451" s="83">
        <v>3375</v>
      </c>
      <c r="F451" s="83">
        <v>3375</v>
      </c>
      <c r="G451" s="83">
        <v>3375</v>
      </c>
      <c r="H451" s="83">
        <v>3375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20250</v>
      </c>
      <c r="P451" s="86"/>
    </row>
    <row r="452" spans="1:16" x14ac:dyDescent="0.25">
      <c r="A452" s="71" t="s">
        <v>434</v>
      </c>
      <c r="C452" s="74">
        <v>88.48</v>
      </c>
      <c r="D452" s="74">
        <v>88.48</v>
      </c>
      <c r="E452" s="74">
        <v>88.48</v>
      </c>
      <c r="F452" s="74">
        <v>88.48</v>
      </c>
      <c r="G452" s="74">
        <v>88.48</v>
      </c>
      <c r="H452" s="74">
        <v>88.48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530.88</v>
      </c>
    </row>
    <row r="453" spans="1:16" ht="18.75" thickBot="1" x14ac:dyDescent="0.3">
      <c r="A453" s="85" t="s">
        <v>435</v>
      </c>
      <c r="B453" s="85"/>
      <c r="C453" s="81">
        <v>79122.64</v>
      </c>
      <c r="D453" s="81">
        <v>74576.25</v>
      </c>
      <c r="E453" s="81">
        <v>82293.600000000006</v>
      </c>
      <c r="F453" s="81">
        <v>78647.13</v>
      </c>
      <c r="G453" s="81">
        <v>80487.049999999988</v>
      </c>
      <c r="H453" s="81">
        <v>81187.650000000009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476314.32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418084.41</v>
      </c>
      <c r="D455" s="71">
        <v>380506.04</v>
      </c>
      <c r="E455" s="71">
        <v>431723.83999999997</v>
      </c>
      <c r="F455" s="71">
        <v>445730.75</v>
      </c>
      <c r="G455" s="71">
        <v>527427.64</v>
      </c>
      <c r="H455" s="71">
        <v>446730.92000000004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2650203.6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511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57.645161290322584</v>
      </c>
      <c r="D8" s="97">
        <v>57.178571428571431</v>
      </c>
      <c r="E8" s="97">
        <v>60.032258064516128</v>
      </c>
      <c r="F8" s="97">
        <v>66.400000000000006</v>
      </c>
      <c r="G8" s="97">
        <v>67.58064516129032</v>
      </c>
      <c r="H8" s="97">
        <v>66.966666666666669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486</v>
      </c>
      <c r="D11" s="74">
        <v>354</v>
      </c>
      <c r="E11" s="74">
        <v>440</v>
      </c>
      <c r="F11" s="74">
        <v>492</v>
      </c>
      <c r="G11" s="74">
        <v>550</v>
      </c>
      <c r="H11" s="74">
        <v>562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2884</v>
      </c>
    </row>
    <row r="12" spans="1:15" x14ac:dyDescent="0.25">
      <c r="A12" s="71" t="s">
        <v>42</v>
      </c>
      <c r="C12" s="74">
        <v>27</v>
      </c>
      <c r="D12" s="74">
        <v>0</v>
      </c>
      <c r="E12" s="74">
        <v>0</v>
      </c>
      <c r="F12" s="74">
        <v>30</v>
      </c>
      <c r="G12" s="74">
        <v>8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65</v>
      </c>
    </row>
    <row r="13" spans="1:15" x14ac:dyDescent="0.25">
      <c r="A13" s="71" t="s">
        <v>43</v>
      </c>
      <c r="C13" s="74">
        <v>857</v>
      </c>
      <c r="D13" s="74">
        <v>953</v>
      </c>
      <c r="E13" s="74">
        <v>848</v>
      </c>
      <c r="F13" s="74">
        <v>822</v>
      </c>
      <c r="G13" s="74">
        <v>827</v>
      </c>
      <c r="H13" s="74">
        <v>1255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5562</v>
      </c>
    </row>
    <row r="14" spans="1:15" x14ac:dyDescent="0.25">
      <c r="A14" s="71" t="s">
        <v>44</v>
      </c>
      <c r="C14" s="74">
        <v>49</v>
      </c>
      <c r="D14" s="74">
        <v>-11</v>
      </c>
      <c r="E14" s="74">
        <v>93</v>
      </c>
      <c r="F14" s="74">
        <v>64</v>
      </c>
      <c r="G14" s="74">
        <v>157</v>
      </c>
      <c r="H14" s="74">
        <v>-284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68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5">
      <c r="A16" s="71" t="s">
        <v>46</v>
      </c>
      <c r="C16" s="74">
        <v>24</v>
      </c>
      <c r="D16" s="74">
        <v>15</v>
      </c>
      <c r="E16" s="74">
        <v>11</v>
      </c>
      <c r="F16" s="74">
        <v>67</v>
      </c>
      <c r="G16" s="74">
        <v>133</v>
      </c>
      <c r="H16" s="74">
        <v>93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343</v>
      </c>
    </row>
    <row r="17" spans="1:18" x14ac:dyDescent="0.25">
      <c r="A17" s="71" t="s">
        <v>47</v>
      </c>
      <c r="C17" s="74">
        <v>344</v>
      </c>
      <c r="D17" s="74">
        <v>290</v>
      </c>
      <c r="E17" s="74">
        <v>469</v>
      </c>
      <c r="F17" s="74">
        <v>517</v>
      </c>
      <c r="G17" s="74">
        <v>420</v>
      </c>
      <c r="H17" s="74">
        <v>383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2423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1787</v>
      </c>
      <c r="D23" s="79">
        <v>1601</v>
      </c>
      <c r="E23" s="79">
        <v>1861</v>
      </c>
      <c r="F23" s="79">
        <v>1992</v>
      </c>
      <c r="G23" s="79">
        <v>2095</v>
      </c>
      <c r="H23" s="79">
        <v>2009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11345</v>
      </c>
      <c r="P23" s="86">
        <v>11345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336630.35</v>
      </c>
      <c r="D26" s="74">
        <v>295929.5</v>
      </c>
      <c r="E26" s="74">
        <v>319657</v>
      </c>
      <c r="F26" s="74">
        <v>374122.26</v>
      </c>
      <c r="G26" s="74">
        <v>398494.48999999987</v>
      </c>
      <c r="H26" s="74">
        <v>372179.33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2097012.9299999997</v>
      </c>
      <c r="P26" s="86"/>
    </row>
    <row r="27" spans="1:18" x14ac:dyDescent="0.25">
      <c r="A27" s="71" t="s">
        <v>57</v>
      </c>
      <c r="C27" s="74">
        <v>14574.619999999999</v>
      </c>
      <c r="D27" s="74">
        <v>22608.639999999999</v>
      </c>
      <c r="E27" s="74">
        <v>28065.1</v>
      </c>
      <c r="F27" s="74">
        <v>35600.480000000003</v>
      </c>
      <c r="G27" s="74">
        <v>35128.369999999995</v>
      </c>
      <c r="H27" s="74">
        <v>37922.71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173899.91999999998</v>
      </c>
      <c r="P27" s="86"/>
    </row>
    <row r="28" spans="1:18" x14ac:dyDescent="0.25">
      <c r="A28" s="71" t="s">
        <v>58</v>
      </c>
      <c r="C28" s="74">
        <v>-1871.58</v>
      </c>
      <c r="D28" s="74">
        <v>-1707.58</v>
      </c>
      <c r="E28" s="74">
        <v>-1963.58</v>
      </c>
      <c r="F28" s="74">
        <v>656.48</v>
      </c>
      <c r="G28" s="74">
        <v>-2027.58</v>
      </c>
      <c r="H28" s="74">
        <v>-1875.58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-8789.42</v>
      </c>
      <c r="P28" s="86"/>
    </row>
    <row r="29" spans="1:18" ht="18.75" thickBot="1" x14ac:dyDescent="0.3">
      <c r="A29" s="71" t="s">
        <v>59</v>
      </c>
      <c r="C29" s="80">
        <v>349333.38999999996</v>
      </c>
      <c r="D29" s="80">
        <v>316830.56</v>
      </c>
      <c r="E29" s="80">
        <v>345758.51999999996</v>
      </c>
      <c r="F29" s="80">
        <v>410379.22</v>
      </c>
      <c r="G29" s="80">
        <v>431595.27999999985</v>
      </c>
      <c r="H29" s="80">
        <v>408226.46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2262123.4299999997</v>
      </c>
      <c r="P29" s="86">
        <v>2262123.4299999997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153275.77000000002</v>
      </c>
      <c r="D32" s="74">
        <v>128215.16000000002</v>
      </c>
      <c r="E32" s="74">
        <v>135925</v>
      </c>
      <c r="F32" s="74">
        <v>148334.63</v>
      </c>
      <c r="G32" s="74">
        <v>172990.05000000005</v>
      </c>
      <c r="H32" s="74">
        <v>169299.91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908040.52000000014</v>
      </c>
      <c r="P32" s="86"/>
    </row>
    <row r="33" spans="1:18" x14ac:dyDescent="0.25">
      <c r="A33" s="71" t="s">
        <v>62</v>
      </c>
      <c r="C33" s="74">
        <v>35677.24</v>
      </c>
      <c r="D33" s="74">
        <v>33464.150000000009</v>
      </c>
      <c r="E33" s="74">
        <v>43601.240000000005</v>
      </c>
      <c r="F33" s="74">
        <v>39269.610000000008</v>
      </c>
      <c r="G33" s="74">
        <v>45922.829999999994</v>
      </c>
      <c r="H33" s="74">
        <v>47948.17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245883.24</v>
      </c>
      <c r="P33" s="86"/>
    </row>
    <row r="34" spans="1:18" x14ac:dyDescent="0.25">
      <c r="A34" s="71" t="s">
        <v>57</v>
      </c>
      <c r="C34" s="74">
        <v>13477.66</v>
      </c>
      <c r="D34" s="74">
        <v>15677.300000000001</v>
      </c>
      <c r="E34" s="74">
        <v>24708.430000000004</v>
      </c>
      <c r="F34" s="74">
        <v>28366.010000000002</v>
      </c>
      <c r="G34" s="74">
        <v>36443.560000000005</v>
      </c>
      <c r="H34" s="74">
        <v>30120.039999999994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148793</v>
      </c>
      <c r="P34" s="86"/>
    </row>
    <row r="35" spans="1:18" x14ac:dyDescent="0.25">
      <c r="A35" s="71" t="s">
        <v>63</v>
      </c>
      <c r="C35" s="74">
        <v>3534.39</v>
      </c>
      <c r="D35" s="74">
        <v>3586.47</v>
      </c>
      <c r="E35" s="74">
        <v>10702.119999999999</v>
      </c>
      <c r="F35" s="74">
        <v>9987.35</v>
      </c>
      <c r="G35" s="74">
        <v>5388.59</v>
      </c>
      <c r="H35" s="74">
        <v>7172.99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40371.909999999996</v>
      </c>
      <c r="P35" s="86"/>
    </row>
    <row r="36" spans="1:18" x14ac:dyDescent="0.25">
      <c r="A36" s="71" t="s">
        <v>64</v>
      </c>
      <c r="C36" s="74">
        <v>13896.35</v>
      </c>
      <c r="D36" s="74">
        <v>14666.95</v>
      </c>
      <c r="E36" s="74">
        <v>19399.730000000003</v>
      </c>
      <c r="F36" s="74">
        <v>19304.350000000002</v>
      </c>
      <c r="G36" s="74">
        <v>19819.02</v>
      </c>
      <c r="H36" s="74">
        <v>17926.72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105013.12000000001</v>
      </c>
      <c r="P36" s="86"/>
    </row>
    <row r="37" spans="1:18" x14ac:dyDescent="0.25">
      <c r="A37" s="71" t="s">
        <v>65</v>
      </c>
      <c r="C37" s="74">
        <v>22196.05</v>
      </c>
      <c r="D37" s="74">
        <v>31114.89</v>
      </c>
      <c r="E37" s="74">
        <v>30249.23</v>
      </c>
      <c r="F37" s="74">
        <v>21069.01</v>
      </c>
      <c r="G37" s="74">
        <v>30132.489999999998</v>
      </c>
      <c r="H37" s="74">
        <v>20376.57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155138.23999999999</v>
      </c>
      <c r="P37" s="86"/>
    </row>
    <row r="38" spans="1:18" x14ac:dyDescent="0.25">
      <c r="A38" s="71" t="s">
        <v>66</v>
      </c>
      <c r="C38" s="74">
        <v>81345.819999999992</v>
      </c>
      <c r="D38" s="74">
        <v>76434.61</v>
      </c>
      <c r="E38" s="74">
        <v>82571.31</v>
      </c>
      <c r="F38" s="74">
        <v>83251.3</v>
      </c>
      <c r="G38" s="74">
        <v>88042.890000000014</v>
      </c>
      <c r="H38" s="74">
        <v>95081.37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506727.3</v>
      </c>
      <c r="P38" s="86"/>
    </row>
    <row r="39" spans="1:18" x14ac:dyDescent="0.25">
      <c r="A39" s="71" t="s">
        <v>67</v>
      </c>
      <c r="C39" s="74">
        <v>59648.549999999996</v>
      </c>
      <c r="D39" s="74">
        <v>62266.529999999992</v>
      </c>
      <c r="E39" s="74">
        <v>63117.119999999995</v>
      </c>
      <c r="F39" s="74">
        <v>63578.279999999992</v>
      </c>
      <c r="G39" s="74">
        <v>68022.87</v>
      </c>
      <c r="H39" s="74">
        <v>63417.909999999996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380051.25999999995</v>
      </c>
      <c r="P39" s="86"/>
    </row>
    <row r="40" spans="1:18" ht="18.75" thickBot="1" x14ac:dyDescent="0.3">
      <c r="A40" s="71" t="s">
        <v>68</v>
      </c>
      <c r="C40" s="80">
        <v>383051.83</v>
      </c>
      <c r="D40" s="80">
        <v>365426.06</v>
      </c>
      <c r="E40" s="80">
        <v>410274.18</v>
      </c>
      <c r="F40" s="80">
        <v>413160.54</v>
      </c>
      <c r="G40" s="80">
        <v>466762.30000000005</v>
      </c>
      <c r="H40" s="80">
        <v>451343.67999999993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2490018.59</v>
      </c>
      <c r="P40" s="86">
        <v>2490018.59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-33718.440000000061</v>
      </c>
      <c r="D41" s="81">
        <v>-48595.5</v>
      </c>
      <c r="E41" s="81">
        <v>-64515.660000000033</v>
      </c>
      <c r="F41" s="81">
        <v>-2781.320000000007</v>
      </c>
      <c r="G41" s="81">
        <v>-35167.020000000193</v>
      </c>
      <c r="H41" s="81">
        <v>-43117.219999999914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-227895.16000000015</v>
      </c>
      <c r="P41" s="86">
        <v>-227895.16000000015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40481.529999999933</v>
      </c>
      <c r="D43" s="74">
        <v>23041.67</v>
      </c>
      <c r="E43" s="74">
        <v>14788.459999999965</v>
      </c>
      <c r="F43" s="74">
        <v>77508.50999999998</v>
      </c>
      <c r="G43" s="74">
        <v>47314.229999999807</v>
      </c>
      <c r="H43" s="76">
        <v>37327.43000000008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240461.82999999984</v>
      </c>
      <c r="P43" s="71">
        <v>240461.82999999984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511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155142.71</v>
      </c>
      <c r="D50" s="74">
        <v>172521.59</v>
      </c>
      <c r="E50" s="74">
        <v>153513.44</v>
      </c>
      <c r="F50" s="74">
        <v>148806.66</v>
      </c>
      <c r="G50" s="74">
        <v>149711.81</v>
      </c>
      <c r="H50" s="74">
        <v>227192.65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1006888.86</v>
      </c>
    </row>
    <row r="51" spans="1:15" x14ac:dyDescent="0.25">
      <c r="A51" s="71" t="s">
        <v>73</v>
      </c>
      <c r="B51" s="82"/>
      <c r="C51" s="74">
        <v>8870.4699999999993</v>
      </c>
      <c r="D51" s="74">
        <v>-1991.33</v>
      </c>
      <c r="E51" s="74">
        <v>18306.900000000001</v>
      </c>
      <c r="F51" s="74">
        <v>12324.92</v>
      </c>
      <c r="G51" s="74">
        <v>28964.11</v>
      </c>
      <c r="H51" s="74">
        <v>-50852.52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15622.55000000001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9600</v>
      </c>
      <c r="D63" s="74">
        <v>6000</v>
      </c>
      <c r="E63" s="74">
        <v>4400</v>
      </c>
      <c r="F63" s="74">
        <v>26800</v>
      </c>
      <c r="G63" s="74">
        <v>53200</v>
      </c>
      <c r="H63" s="74">
        <v>37200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137200</v>
      </c>
    </row>
    <row r="64" spans="1:15" x14ac:dyDescent="0.25">
      <c r="A64" s="71" t="s">
        <v>86</v>
      </c>
      <c r="B64" s="82"/>
      <c r="C64" s="74">
        <v>2848.76</v>
      </c>
      <c r="D64" s="74">
        <v>1853.3</v>
      </c>
      <c r="E64" s="74">
        <v>-77.36</v>
      </c>
      <c r="F64" s="74">
        <v>178.73</v>
      </c>
      <c r="G64" s="74">
        <v>6591.06</v>
      </c>
      <c r="H64" s="74">
        <v>2588.85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13983.340000000002</v>
      </c>
    </row>
    <row r="65" spans="1:15" x14ac:dyDescent="0.25">
      <c r="A65" s="71" t="s">
        <v>87</v>
      </c>
      <c r="B65" s="82"/>
      <c r="C65" s="74">
        <v>2610.85</v>
      </c>
      <c r="D65" s="74">
        <v>1814.29</v>
      </c>
      <c r="E65" s="74">
        <v>1117.97</v>
      </c>
      <c r="F65" s="74">
        <v>6285.43</v>
      </c>
      <c r="G65" s="74">
        <v>12446.05</v>
      </c>
      <c r="H65" s="74">
        <v>8535.91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32810.5</v>
      </c>
    </row>
    <row r="66" spans="1:15" x14ac:dyDescent="0.25">
      <c r="A66" s="71" t="s">
        <v>88</v>
      </c>
      <c r="B66" s="82"/>
      <c r="C66" s="74">
        <v>2507.46</v>
      </c>
      <c r="D66" s="74">
        <v>1626.06</v>
      </c>
      <c r="E66" s="74">
        <v>1372.43</v>
      </c>
      <c r="F66" s="74">
        <v>7011.78</v>
      </c>
      <c r="G66" s="74">
        <v>14111.1</v>
      </c>
      <c r="H66" s="74">
        <v>9963.2800000000007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36592.11</v>
      </c>
    </row>
    <row r="67" spans="1:15" x14ac:dyDescent="0.25">
      <c r="A67" s="71" t="s">
        <v>89</v>
      </c>
      <c r="B67" s="82"/>
      <c r="C67" s="74">
        <v>242.6</v>
      </c>
      <c r="D67" s="74">
        <v>0</v>
      </c>
      <c r="E67" s="74">
        <v>654.87</v>
      </c>
      <c r="F67" s="74">
        <v>2867.86</v>
      </c>
      <c r="G67" s="74">
        <v>4799.43</v>
      </c>
      <c r="H67" s="74">
        <v>659.28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9224.0400000000009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1553.79</v>
      </c>
      <c r="D69" s="74">
        <v>579.83000000000004</v>
      </c>
      <c r="E69" s="74">
        <v>969.11</v>
      </c>
      <c r="F69" s="74">
        <v>2764.19</v>
      </c>
      <c r="G69" s="74">
        <v>7090.25</v>
      </c>
      <c r="H69" s="74">
        <v>4304.49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17261.66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73.44</v>
      </c>
      <c r="D72" s="74">
        <v>16.05</v>
      </c>
      <c r="E72" s="74">
        <v>0</v>
      </c>
      <c r="F72" s="74">
        <v>237.29</v>
      </c>
      <c r="G72" s="74">
        <v>156.30000000000001</v>
      </c>
      <c r="H72" s="74">
        <v>520.51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1003.5899999999999</v>
      </c>
    </row>
    <row r="73" spans="1:15" x14ac:dyDescent="0.25">
      <c r="A73" s="71" t="s">
        <v>95</v>
      </c>
      <c r="B73" s="82"/>
      <c r="C73" s="74">
        <v>0</v>
      </c>
      <c r="D73" s="74">
        <v>303.75</v>
      </c>
      <c r="E73" s="74">
        <v>0</v>
      </c>
      <c r="F73" s="74">
        <v>0</v>
      </c>
      <c r="G73" s="74">
        <v>411.75</v>
      </c>
      <c r="H73" s="74">
        <v>452.25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1167.75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258.75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258.75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99</v>
      </c>
      <c r="B78" s="82"/>
      <c r="C78" s="74">
        <v>-6988.14</v>
      </c>
      <c r="D78" s="74">
        <v>-4339.9799999999996</v>
      </c>
      <c r="E78" s="74">
        <v>-4114.38</v>
      </c>
      <c r="F78" s="74">
        <v>-19166.55</v>
      </c>
      <c r="G78" s="74">
        <v>-39014.879999999997</v>
      </c>
      <c r="H78" s="74">
        <v>-24694.47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-98318.399999999994</v>
      </c>
    </row>
    <row r="79" spans="1:15" x14ac:dyDescent="0.25">
      <c r="A79" s="71" t="s">
        <v>100</v>
      </c>
      <c r="B79" s="82"/>
      <c r="C79" s="74">
        <v>0.27</v>
      </c>
      <c r="D79" s="74">
        <v>0.15</v>
      </c>
      <c r="E79" s="74">
        <v>0.05</v>
      </c>
      <c r="F79" s="74">
        <v>7.0000000000000007E-2</v>
      </c>
      <c r="G79" s="74">
        <v>0.47</v>
      </c>
      <c r="H79" s="74">
        <v>1.58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2.59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-234.79</v>
      </c>
      <c r="H80" s="74">
        <v>-413.35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-648.14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84111</v>
      </c>
      <c r="D82" s="74">
        <v>65468</v>
      </c>
      <c r="E82" s="74">
        <v>78569</v>
      </c>
      <c r="F82" s="74">
        <v>92974</v>
      </c>
      <c r="G82" s="74">
        <v>96333</v>
      </c>
      <c r="H82" s="74">
        <v>101682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519137</v>
      </c>
    </row>
    <row r="83" spans="1:15" x14ac:dyDescent="0.25">
      <c r="A83" s="71" t="s">
        <v>103</v>
      </c>
      <c r="B83" s="82"/>
      <c r="C83" s="74">
        <v>15049.37</v>
      </c>
      <c r="D83" s="74">
        <v>0</v>
      </c>
      <c r="E83" s="74">
        <v>0</v>
      </c>
      <c r="F83" s="74">
        <v>13295.75</v>
      </c>
      <c r="G83" s="74">
        <v>3441.21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31786.33</v>
      </c>
    </row>
    <row r="84" spans="1:15" x14ac:dyDescent="0.25">
      <c r="A84" s="71" t="s">
        <v>481</v>
      </c>
      <c r="B84" s="82"/>
      <c r="C84" s="74">
        <v>-10429.07</v>
      </c>
      <c r="D84" s="74">
        <v>-11734.42</v>
      </c>
      <c r="E84" s="74">
        <v>-26735.21</v>
      </c>
      <c r="F84" s="74">
        <v>-20689.52</v>
      </c>
      <c r="G84" s="74">
        <v>-20097.86</v>
      </c>
      <c r="H84" s="74">
        <v>-21362.89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-111048.97</v>
      </c>
    </row>
    <row r="85" spans="1:15" x14ac:dyDescent="0.25">
      <c r="A85" s="71" t="s">
        <v>482</v>
      </c>
      <c r="B85" s="82"/>
      <c r="C85" s="74">
        <v>2023.11</v>
      </c>
      <c r="D85" s="74">
        <v>3590.17</v>
      </c>
      <c r="E85" s="74">
        <v>879.06</v>
      </c>
      <c r="F85" s="74">
        <v>1997.74</v>
      </c>
      <c r="G85" s="74">
        <v>-2382.4299999999998</v>
      </c>
      <c r="H85" s="74">
        <v>829.31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6936.9599999999991</v>
      </c>
    </row>
    <row r="86" spans="1:15" x14ac:dyDescent="0.25">
      <c r="A86" s="71" t="s">
        <v>483</v>
      </c>
      <c r="B86" s="82"/>
      <c r="C86" s="74">
        <v>8100</v>
      </c>
      <c r="D86" s="74">
        <v>6890</v>
      </c>
      <c r="E86" s="74">
        <v>7570</v>
      </c>
      <c r="F86" s="74">
        <v>7400</v>
      </c>
      <c r="G86" s="74">
        <v>8270</v>
      </c>
      <c r="H86" s="74">
        <v>7400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45630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127.2</v>
      </c>
      <c r="D88" s="74">
        <v>0</v>
      </c>
      <c r="E88" s="74">
        <v>0</v>
      </c>
      <c r="F88" s="74">
        <v>72.150000000000006</v>
      </c>
      <c r="G88" s="74">
        <v>61.53</v>
      </c>
      <c r="H88" s="74">
        <v>31.8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292.68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900</v>
      </c>
      <c r="E94" s="74">
        <v>-900</v>
      </c>
      <c r="F94" s="74">
        <v>0</v>
      </c>
      <c r="G94" s="74">
        <v>900</v>
      </c>
      <c r="H94" s="74">
        <v>-900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61186.53</v>
      </c>
      <c r="D95" s="74">
        <v>52432.04</v>
      </c>
      <c r="E95" s="74">
        <v>84131.12</v>
      </c>
      <c r="F95" s="74">
        <v>90961.76</v>
      </c>
      <c r="G95" s="74">
        <v>73736.38</v>
      </c>
      <c r="H95" s="74">
        <v>68781.899999999994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431229.73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336630.35</v>
      </c>
      <c r="D111" s="74">
        <v>295929.49999999994</v>
      </c>
      <c r="E111" s="74">
        <v>319657</v>
      </c>
      <c r="F111" s="74">
        <v>374122.26</v>
      </c>
      <c r="G111" s="74">
        <v>398494.49</v>
      </c>
      <c r="H111" s="74">
        <v>372179.32999999996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2097012.9300000006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0</v>
      </c>
      <c r="D114" s="74">
        <v>0</v>
      </c>
      <c r="E114" s="74">
        <v>5737.58</v>
      </c>
      <c r="F114" s="74">
        <v>6177.32</v>
      </c>
      <c r="G114" s="74">
        <v>6230.62</v>
      </c>
      <c r="H114" s="74">
        <v>2840.86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20986.38</v>
      </c>
    </row>
    <row r="115" spans="1:15" x14ac:dyDescent="0.25">
      <c r="A115" s="71" t="s">
        <v>130</v>
      </c>
      <c r="B115" s="74"/>
      <c r="C115" s="74">
        <v>0</v>
      </c>
      <c r="D115" s="74">
        <v>0</v>
      </c>
      <c r="E115" s="74">
        <v>7752.94</v>
      </c>
      <c r="F115" s="74">
        <v>7856.25</v>
      </c>
      <c r="G115" s="74">
        <v>10286.700000000001</v>
      </c>
      <c r="H115" s="74">
        <v>4531.49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30427.379999999997</v>
      </c>
    </row>
    <row r="116" spans="1:15" x14ac:dyDescent="0.25">
      <c r="A116" s="71" t="s">
        <v>131</v>
      </c>
      <c r="B116" s="74"/>
      <c r="C116" s="74">
        <v>0</v>
      </c>
      <c r="D116" s="74">
        <v>242.6</v>
      </c>
      <c r="E116" s="74">
        <v>0</v>
      </c>
      <c r="F116" s="74">
        <v>970.1</v>
      </c>
      <c r="G116" s="74">
        <v>1371.1</v>
      </c>
      <c r="H116" s="74">
        <v>1803.56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4387.3600000000006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495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495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0</v>
      </c>
      <c r="D122" s="74">
        <v>-282.11</v>
      </c>
      <c r="E122" s="74">
        <v>-6902.31</v>
      </c>
      <c r="F122" s="74">
        <v>-7544.24</v>
      </c>
      <c r="G122" s="74">
        <v>-9038.5</v>
      </c>
      <c r="H122" s="74">
        <v>-4593.6400000000003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-28360.799999999999</v>
      </c>
    </row>
    <row r="123" spans="1:15" x14ac:dyDescent="0.25">
      <c r="A123" s="71" t="s">
        <v>136</v>
      </c>
      <c r="B123" s="74"/>
      <c r="C123" s="74">
        <v>0</v>
      </c>
      <c r="D123" s="74">
        <v>0</v>
      </c>
      <c r="E123" s="74">
        <v>-11.16</v>
      </c>
      <c r="F123" s="74">
        <v>7.8</v>
      </c>
      <c r="G123" s="74">
        <v>12.43</v>
      </c>
      <c r="H123" s="74">
        <v>2.27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11.34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-58.36</v>
      </c>
      <c r="H124" s="74">
        <v>-41.01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-99.37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2101.66</v>
      </c>
      <c r="D126" s="74">
        <v>7162.65</v>
      </c>
      <c r="E126" s="74">
        <v>3887.43</v>
      </c>
      <c r="F126" s="74">
        <v>4890.96</v>
      </c>
      <c r="G126" s="74">
        <v>337.05</v>
      </c>
      <c r="H126" s="74">
        <v>10224.700000000001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28604.45</v>
      </c>
    </row>
    <row r="127" spans="1:15" x14ac:dyDescent="0.25">
      <c r="A127" s="71" t="s">
        <v>489</v>
      </c>
      <c r="B127" s="74"/>
      <c r="C127" s="74">
        <v>3944.66</v>
      </c>
      <c r="D127" s="74">
        <v>9136.56</v>
      </c>
      <c r="E127" s="74">
        <v>4876.8999999999996</v>
      </c>
      <c r="F127" s="74">
        <v>4427.28</v>
      </c>
      <c r="G127" s="74">
        <v>1706.64</v>
      </c>
      <c r="H127" s="74">
        <v>14283.15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38375.189999999995</v>
      </c>
    </row>
    <row r="128" spans="1:15" x14ac:dyDescent="0.25">
      <c r="A128" s="71" t="s">
        <v>490</v>
      </c>
      <c r="B128" s="74"/>
      <c r="C128" s="74">
        <v>0</v>
      </c>
      <c r="D128" s="74">
        <v>2431.38</v>
      </c>
      <c r="E128" s="74">
        <v>1682.41</v>
      </c>
      <c r="F128" s="74">
        <v>1624.97</v>
      </c>
      <c r="G128" s="74">
        <v>-1624.97</v>
      </c>
      <c r="H128" s="74">
        <v>1863.55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5977.34</v>
      </c>
    </row>
    <row r="129" spans="1:16" x14ac:dyDescent="0.25">
      <c r="A129" s="71" t="s">
        <v>491</v>
      </c>
      <c r="B129" s="74"/>
      <c r="C129" s="74">
        <v>205.53</v>
      </c>
      <c r="D129" s="74">
        <v>-764.81</v>
      </c>
      <c r="E129" s="74">
        <v>-13578.07</v>
      </c>
      <c r="F129" s="74">
        <v>-4365.59</v>
      </c>
      <c r="G129" s="74">
        <v>-2348.42</v>
      </c>
      <c r="H129" s="74">
        <v>-4559.83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-25411.190000000002</v>
      </c>
    </row>
    <row r="130" spans="1:16" x14ac:dyDescent="0.25">
      <c r="A130" s="71" t="s">
        <v>139</v>
      </c>
      <c r="B130" s="74"/>
      <c r="C130" s="74">
        <v>4335.75</v>
      </c>
      <c r="D130" s="74">
        <v>752.23</v>
      </c>
      <c r="E130" s="74">
        <v>11904.7</v>
      </c>
      <c r="F130" s="74">
        <v>8188.27</v>
      </c>
      <c r="G130" s="74">
        <v>8950.48</v>
      </c>
      <c r="H130" s="74">
        <v>1881.78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36013.21</v>
      </c>
    </row>
    <row r="131" spans="1:16" x14ac:dyDescent="0.25">
      <c r="A131" s="71" t="s">
        <v>140</v>
      </c>
      <c r="C131" s="83">
        <v>3987.02</v>
      </c>
      <c r="D131" s="83">
        <v>662.75</v>
      </c>
      <c r="E131" s="83">
        <v>9675.68</v>
      </c>
      <c r="F131" s="83">
        <v>10061.35</v>
      </c>
      <c r="G131" s="83">
        <v>14625.22</v>
      </c>
      <c r="H131" s="83">
        <v>6163.1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45175.12</v>
      </c>
      <c r="P131" s="86"/>
    </row>
    <row r="132" spans="1:16" x14ac:dyDescent="0.25">
      <c r="A132" s="71" t="s">
        <v>141</v>
      </c>
      <c r="C132" s="74">
        <v>0</v>
      </c>
      <c r="D132" s="74">
        <v>2772.39</v>
      </c>
      <c r="E132" s="74">
        <v>3039</v>
      </c>
      <c r="F132" s="74">
        <v>3306.01</v>
      </c>
      <c r="G132" s="74">
        <v>4678.38</v>
      </c>
      <c r="H132" s="74">
        <v>3522.73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17318.509999999998</v>
      </c>
    </row>
    <row r="133" spans="1:16" x14ac:dyDescent="0.25">
      <c r="A133" s="71" t="s">
        <v>142</v>
      </c>
      <c r="C133" s="74">
        <v>14574.619999999999</v>
      </c>
      <c r="D133" s="74">
        <v>22608.639999999996</v>
      </c>
      <c r="E133" s="74">
        <v>28065.100000000002</v>
      </c>
      <c r="F133" s="74">
        <v>35600.480000000003</v>
      </c>
      <c r="G133" s="74">
        <v>35128.369999999995</v>
      </c>
      <c r="H133" s="74">
        <v>37922.71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173899.91999999998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472</v>
      </c>
      <c r="D138" s="74">
        <v>620</v>
      </c>
      <c r="E138" s="74">
        <v>356</v>
      </c>
      <c r="F138" s="74">
        <v>540</v>
      </c>
      <c r="G138" s="74">
        <v>268</v>
      </c>
      <c r="H138" s="74">
        <v>428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2684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24</v>
      </c>
      <c r="D141" s="74">
        <v>40</v>
      </c>
      <c r="E141" s="74">
        <v>48</v>
      </c>
      <c r="F141" s="74">
        <v>56</v>
      </c>
      <c r="G141" s="74">
        <v>72</v>
      </c>
      <c r="H141" s="74">
        <v>64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304</v>
      </c>
    </row>
    <row r="142" spans="1:16" x14ac:dyDescent="0.25">
      <c r="A142" s="71" t="s">
        <v>150</v>
      </c>
      <c r="B142" s="74"/>
      <c r="C142" s="74">
        <v>-2367.58</v>
      </c>
      <c r="D142" s="74">
        <v>-2367.58</v>
      </c>
      <c r="E142" s="74">
        <v>-2367.58</v>
      </c>
      <c r="F142" s="74">
        <v>-2367.58</v>
      </c>
      <c r="G142" s="74">
        <v>-2367.58</v>
      </c>
      <c r="H142" s="74">
        <v>-2367.58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-14205.48</v>
      </c>
    </row>
    <row r="143" spans="1:16" x14ac:dyDescent="0.25">
      <c r="A143" s="71" t="s">
        <v>492</v>
      </c>
      <c r="B143" s="74"/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0</v>
      </c>
      <c r="E145" s="74">
        <v>0</v>
      </c>
      <c r="F145" s="74">
        <v>2428.06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2428.06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-1871.58</v>
      </c>
      <c r="D148" s="81">
        <v>-1707.58</v>
      </c>
      <c r="E148" s="81">
        <v>-1963.58</v>
      </c>
      <c r="F148" s="81">
        <v>656.48</v>
      </c>
      <c r="G148" s="81">
        <v>-2027.58</v>
      </c>
      <c r="H148" s="81">
        <v>-1875.58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-8789.42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349333.38999999996</v>
      </c>
      <c r="D150" s="74">
        <v>316830.55999999994</v>
      </c>
      <c r="E150" s="74">
        <v>345758.52</v>
      </c>
      <c r="F150" s="74">
        <v>410379.22000000003</v>
      </c>
      <c r="G150" s="74">
        <v>431595.27999999997</v>
      </c>
      <c r="H150" s="76">
        <v>408226.45999999996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2262123.4300000006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511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0</v>
      </c>
      <c r="D157" s="74">
        <v>4500</v>
      </c>
      <c r="E157" s="74">
        <v>1500</v>
      </c>
      <c r="F157" s="74">
        <v>1500</v>
      </c>
      <c r="G157" s="74">
        <v>1500</v>
      </c>
      <c r="H157" s="74">
        <v>1500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10500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455</v>
      </c>
      <c r="D162" s="74">
        <v>448</v>
      </c>
      <c r="E162" s="74">
        <v>560</v>
      </c>
      <c r="F162" s="74">
        <v>518</v>
      </c>
      <c r="G162" s="74">
        <v>539</v>
      </c>
      <c r="H162" s="74">
        <v>607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3127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2006.99</v>
      </c>
      <c r="D167" s="74">
        <v>2077.7600000000002</v>
      </c>
      <c r="E167" s="74">
        <v>2428.59</v>
      </c>
      <c r="F167" s="74">
        <v>2256.27</v>
      </c>
      <c r="G167" s="74">
        <v>2020.41</v>
      </c>
      <c r="H167" s="74">
        <v>2825.58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13615.6</v>
      </c>
    </row>
    <row r="168" spans="1:15" x14ac:dyDescent="0.25">
      <c r="A168" s="71" t="s">
        <v>168</v>
      </c>
      <c r="B168" s="74"/>
      <c r="C168" s="74">
        <v>85.93</v>
      </c>
      <c r="D168" s="74">
        <v>236.82</v>
      </c>
      <c r="E168" s="74">
        <v>0</v>
      </c>
      <c r="F168" s="74">
        <v>-30.67</v>
      </c>
      <c r="G168" s="74">
        <v>160.93</v>
      </c>
      <c r="H168" s="74">
        <v>30.67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483.68</v>
      </c>
    </row>
    <row r="169" spans="1:15" x14ac:dyDescent="0.25">
      <c r="A169" s="71" t="s">
        <v>169</v>
      </c>
      <c r="B169" s="74"/>
      <c r="C169" s="74">
        <v>209.79</v>
      </c>
      <c r="D169" s="74">
        <v>0</v>
      </c>
      <c r="E169" s="74">
        <v>488.54</v>
      </c>
      <c r="F169" s="74">
        <v>137.71</v>
      </c>
      <c r="G169" s="74">
        <v>206.06</v>
      </c>
      <c r="H169" s="74">
        <v>768.9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1811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585.13</v>
      </c>
      <c r="D173" s="74">
        <v>0</v>
      </c>
      <c r="E173" s="74">
        <v>0</v>
      </c>
      <c r="F173" s="74">
        <v>0</v>
      </c>
      <c r="G173" s="74">
        <v>620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1205.1300000000001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124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124</v>
      </c>
    </row>
    <row r="176" spans="1:15" x14ac:dyDescent="0.25">
      <c r="A176" s="71" t="s">
        <v>176</v>
      </c>
      <c r="B176" s="74"/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3110.07</v>
      </c>
      <c r="D178" s="74">
        <v>3361.9</v>
      </c>
      <c r="E178" s="74">
        <v>3794.79</v>
      </c>
      <c r="F178" s="74">
        <v>3437.44</v>
      </c>
      <c r="G178" s="74">
        <v>3512.43</v>
      </c>
      <c r="H178" s="74">
        <v>3018.29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20234.920000000002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234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234</v>
      </c>
    </row>
    <row r="186" spans="1:15" x14ac:dyDescent="0.25">
      <c r="A186" s="71" t="s">
        <v>186</v>
      </c>
      <c r="B186" s="74"/>
      <c r="C186" s="74">
        <v>0</v>
      </c>
      <c r="D186" s="74">
        <v>63.14</v>
      </c>
      <c r="E186" s="74">
        <v>0</v>
      </c>
      <c r="F186" s="74">
        <v>0</v>
      </c>
      <c r="G186" s="74">
        <v>111.49</v>
      </c>
      <c r="H186" s="74">
        <v>35.65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210.28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7048</v>
      </c>
      <c r="D188" s="74">
        <v>7048</v>
      </c>
      <c r="E188" s="74">
        <v>7048</v>
      </c>
      <c r="F188" s="74">
        <v>7048</v>
      </c>
      <c r="G188" s="74">
        <v>7048</v>
      </c>
      <c r="H188" s="74">
        <v>7048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42288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0</v>
      </c>
      <c r="E190" s="74">
        <v>0</v>
      </c>
      <c r="F190" s="74">
        <v>1346</v>
      </c>
      <c r="G190" s="74">
        <v>5832.9</v>
      </c>
      <c r="H190" s="74">
        <v>5832.9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13011.8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28046.7</v>
      </c>
      <c r="D192" s="74">
        <v>27347.43</v>
      </c>
      <c r="E192" s="74">
        <v>26523.48</v>
      </c>
      <c r="F192" s="74">
        <v>24370.32</v>
      </c>
      <c r="G192" s="74">
        <v>25785.85</v>
      </c>
      <c r="H192" s="74">
        <v>25229.81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157303.59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11963.73</v>
      </c>
      <c r="D194" s="74">
        <v>7959.86</v>
      </c>
      <c r="E194" s="74">
        <v>10048.469999999999</v>
      </c>
      <c r="F194" s="74">
        <v>16038.11</v>
      </c>
      <c r="G194" s="74">
        <v>16366.97</v>
      </c>
      <c r="H194" s="74">
        <v>13435.19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75812.33</v>
      </c>
    </row>
    <row r="195" spans="1:15" x14ac:dyDescent="0.25">
      <c r="A195" s="71" t="s">
        <v>495</v>
      </c>
      <c r="B195" s="74"/>
      <c r="C195" s="74">
        <v>4437.04</v>
      </c>
      <c r="D195" s="74">
        <v>3384.42</v>
      </c>
      <c r="E195" s="74">
        <v>1992.65</v>
      </c>
      <c r="F195" s="74">
        <v>3603.1</v>
      </c>
      <c r="G195" s="74">
        <v>4010.04</v>
      </c>
      <c r="H195" s="74">
        <v>4339.5200000000004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21766.77</v>
      </c>
    </row>
    <row r="196" spans="1:15" x14ac:dyDescent="0.25">
      <c r="A196" s="71" t="s">
        <v>194</v>
      </c>
      <c r="B196" s="74"/>
      <c r="C196" s="74">
        <v>44698.42</v>
      </c>
      <c r="D196" s="74">
        <v>39191.230000000003</v>
      </c>
      <c r="E196" s="74">
        <v>50763.47</v>
      </c>
      <c r="F196" s="74">
        <v>48425.03</v>
      </c>
      <c r="G196" s="74">
        <v>60588.9</v>
      </c>
      <c r="H196" s="74">
        <v>63867.4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307534.45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17176.060000000001</v>
      </c>
      <c r="D200" s="74">
        <v>14786.15</v>
      </c>
      <c r="E200" s="74">
        <v>14107.83</v>
      </c>
      <c r="F200" s="74">
        <v>16184.43</v>
      </c>
      <c r="G200" s="74">
        <v>17124.13</v>
      </c>
      <c r="H200" s="74">
        <v>14686.1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94064.700000000012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9758.3799999999992</v>
      </c>
      <c r="D202" s="74">
        <v>6521.13</v>
      </c>
      <c r="E202" s="74">
        <v>9072.52</v>
      </c>
      <c r="F202" s="74">
        <v>8202.27</v>
      </c>
      <c r="G202" s="74">
        <v>8122.26</v>
      </c>
      <c r="H202" s="74">
        <v>7607.83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49284.390000000007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5929.95</v>
      </c>
      <c r="D204" s="74">
        <v>667.1</v>
      </c>
      <c r="E204" s="74">
        <v>2052.12</v>
      </c>
      <c r="F204" s="74">
        <v>4588.7299999999996</v>
      </c>
      <c r="G204" s="74">
        <v>8365.66</v>
      </c>
      <c r="H204" s="74">
        <v>6253.2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27856.76</v>
      </c>
    </row>
    <row r="205" spans="1:15" x14ac:dyDescent="0.25">
      <c r="A205" s="71" t="s">
        <v>201</v>
      </c>
      <c r="B205" s="74"/>
      <c r="C205" s="74">
        <v>926.31</v>
      </c>
      <c r="D205" s="74">
        <v>0</v>
      </c>
      <c r="E205" s="74">
        <v>1990.29</v>
      </c>
      <c r="F205" s="74">
        <v>0</v>
      </c>
      <c r="G205" s="74">
        <v>69</v>
      </c>
      <c r="H205" s="74">
        <v>76.27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3061.87</v>
      </c>
    </row>
    <row r="206" spans="1:15" x14ac:dyDescent="0.25">
      <c r="A206" s="71" t="s">
        <v>202</v>
      </c>
      <c r="B206" s="74"/>
      <c r="C206" s="74">
        <v>0</v>
      </c>
      <c r="D206" s="74">
        <v>880.19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880.19</v>
      </c>
    </row>
    <row r="207" spans="1:15" x14ac:dyDescent="0.25">
      <c r="A207" s="71" t="s">
        <v>203</v>
      </c>
      <c r="B207" s="74"/>
      <c r="C207" s="74">
        <v>0</v>
      </c>
      <c r="D207" s="74">
        <v>863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863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36.729999999999997</v>
      </c>
      <c r="F208" s="74">
        <v>55.85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92.58</v>
      </c>
    </row>
    <row r="209" spans="1:15" x14ac:dyDescent="0.25">
      <c r="A209" s="71" t="s">
        <v>205</v>
      </c>
      <c r="B209" s="74"/>
      <c r="C209" s="74">
        <v>2198.61</v>
      </c>
      <c r="D209" s="74">
        <v>-948.49</v>
      </c>
      <c r="E209" s="74">
        <v>1180.44</v>
      </c>
      <c r="F209" s="74">
        <v>2014.27</v>
      </c>
      <c r="G209" s="74">
        <v>2182.17</v>
      </c>
      <c r="H209" s="74">
        <v>109.41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6736.41</v>
      </c>
    </row>
    <row r="210" spans="1:15" x14ac:dyDescent="0.25">
      <c r="A210" s="71" t="s">
        <v>206</v>
      </c>
      <c r="B210" s="74"/>
      <c r="C210" s="74">
        <v>69</v>
      </c>
      <c r="D210" s="74">
        <v>91</v>
      </c>
      <c r="E210" s="74">
        <v>47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207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4155.37</v>
      </c>
      <c r="D212" s="74">
        <v>426.07</v>
      </c>
      <c r="E212" s="74">
        <v>1243.6300000000001</v>
      </c>
      <c r="F212" s="74">
        <v>2262.41</v>
      </c>
      <c r="G212" s="74">
        <v>2696.13</v>
      </c>
      <c r="H212" s="74">
        <v>1808.18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12591.79</v>
      </c>
    </row>
    <row r="213" spans="1:15" x14ac:dyDescent="0.25">
      <c r="A213" s="71" t="s">
        <v>209</v>
      </c>
      <c r="B213" s="74"/>
      <c r="C213" s="74">
        <v>129.41999999999999</v>
      </c>
      <c r="D213" s="74">
        <v>43.14</v>
      </c>
      <c r="E213" s="74">
        <v>172.56</v>
      </c>
      <c r="F213" s="74">
        <v>125</v>
      </c>
      <c r="G213" s="74">
        <v>0</v>
      </c>
      <c r="H213" s="74">
        <v>599.54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1069.6599999999999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1012.17</v>
      </c>
      <c r="D215" s="74">
        <v>381.35</v>
      </c>
      <c r="E215" s="74">
        <v>547.47</v>
      </c>
      <c r="F215" s="74">
        <v>1331.82</v>
      </c>
      <c r="G215" s="74">
        <v>268.7</v>
      </c>
      <c r="H215" s="74">
        <v>552.87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4094.3799999999997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87.7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87.7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346.5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346.5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154.47999999999999</v>
      </c>
      <c r="D221" s="74">
        <v>2956.72</v>
      </c>
      <c r="E221" s="74">
        <v>1380.4</v>
      </c>
      <c r="F221" s="74">
        <v>1710.28</v>
      </c>
      <c r="G221" s="74">
        <v>1174</v>
      </c>
      <c r="H221" s="74">
        <v>3876.32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11252.2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4387.17</v>
      </c>
      <c r="D225" s="74">
        <v>1636.88</v>
      </c>
      <c r="E225" s="74">
        <v>330</v>
      </c>
      <c r="F225" s="74">
        <v>208</v>
      </c>
      <c r="G225" s="74">
        <v>1330.47</v>
      </c>
      <c r="H225" s="74">
        <v>420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8312.52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4732.05</v>
      </c>
      <c r="D227" s="74">
        <v>3429.52</v>
      </c>
      <c r="E227" s="74">
        <v>-1730.48</v>
      </c>
      <c r="F227" s="74">
        <v>3002.26</v>
      </c>
      <c r="G227" s="74">
        <v>3354.55</v>
      </c>
      <c r="H227" s="74">
        <v>4413.28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17201.18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0</v>
      </c>
      <c r="D229" s="74">
        <v>775.14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775.14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153275.77000000002</v>
      </c>
      <c r="D244" s="74">
        <v>128215.16000000002</v>
      </c>
      <c r="E244" s="74">
        <v>135925</v>
      </c>
      <c r="F244" s="74">
        <v>148334.63</v>
      </c>
      <c r="G244" s="74">
        <v>172990.05000000005</v>
      </c>
      <c r="H244" s="74">
        <v>169299.91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908040.52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19603.310000000001</v>
      </c>
      <c r="D247" s="74">
        <v>16822.830000000002</v>
      </c>
      <c r="E247" s="74">
        <v>21715.65</v>
      </c>
      <c r="F247" s="74">
        <v>20601.63</v>
      </c>
      <c r="G247" s="74">
        <v>22099.84</v>
      </c>
      <c r="H247" s="74">
        <v>21810.5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122653.75999999999</v>
      </c>
    </row>
    <row r="248" spans="1:16" x14ac:dyDescent="0.25">
      <c r="A248" s="71" t="s">
        <v>243</v>
      </c>
      <c r="B248" s="74"/>
      <c r="C248" s="74">
        <v>2328.09</v>
      </c>
      <c r="D248" s="74">
        <v>894.18</v>
      </c>
      <c r="E248" s="74">
        <v>901.83</v>
      </c>
      <c r="F248" s="74">
        <v>120</v>
      </c>
      <c r="G248" s="74">
        <v>120</v>
      </c>
      <c r="H248" s="74">
        <v>2474.4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6838.5</v>
      </c>
    </row>
    <row r="249" spans="1:16" x14ac:dyDescent="0.25">
      <c r="A249" s="71" t="s">
        <v>244</v>
      </c>
      <c r="B249" s="74"/>
      <c r="C249" s="74">
        <v>805.01</v>
      </c>
      <c r="D249" s="74">
        <v>915.46</v>
      </c>
      <c r="E249" s="74">
        <v>1531.9</v>
      </c>
      <c r="F249" s="74">
        <v>87.12</v>
      </c>
      <c r="G249" s="74">
        <v>385.17</v>
      </c>
      <c r="H249" s="74">
        <v>2091.06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5815.7199999999993</v>
      </c>
    </row>
    <row r="250" spans="1:16" x14ac:dyDescent="0.25">
      <c r="A250" s="71" t="s">
        <v>245</v>
      </c>
      <c r="B250" s="74"/>
      <c r="C250" s="74">
        <v>721.22</v>
      </c>
      <c r="D250" s="74">
        <v>1322.72</v>
      </c>
      <c r="E250" s="74">
        <v>1996.66</v>
      </c>
      <c r="F250" s="74">
        <v>935.75</v>
      </c>
      <c r="G250" s="74">
        <v>1850.22</v>
      </c>
      <c r="H250" s="74">
        <v>1454.01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8280.58</v>
      </c>
    </row>
    <row r="251" spans="1:16" x14ac:dyDescent="0.25">
      <c r="A251" s="71" t="s">
        <v>246</v>
      </c>
      <c r="B251" s="74"/>
      <c r="C251" s="74">
        <v>11613.23</v>
      </c>
      <c r="D251" s="74">
        <v>12994.3</v>
      </c>
      <c r="E251" s="74">
        <v>17442.560000000001</v>
      </c>
      <c r="F251" s="74">
        <v>17286.740000000002</v>
      </c>
      <c r="G251" s="74">
        <v>20818.11</v>
      </c>
      <c r="H251" s="74">
        <v>19611.62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99766.56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0</v>
      </c>
      <c r="D253" s="74">
        <v>0</v>
      </c>
      <c r="E253" s="74">
        <v>0</v>
      </c>
      <c r="F253" s="74">
        <v>0</v>
      </c>
      <c r="G253" s="74">
        <v>299.35000000000002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299.35000000000002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264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264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368</v>
      </c>
      <c r="D259" s="74">
        <v>0</v>
      </c>
      <c r="E259" s="74">
        <v>199.5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567.5</v>
      </c>
    </row>
    <row r="260" spans="1:16" x14ac:dyDescent="0.25">
      <c r="A260" s="71" t="s">
        <v>255</v>
      </c>
      <c r="C260" s="83">
        <v>238.38</v>
      </c>
      <c r="D260" s="83">
        <v>514.66</v>
      </c>
      <c r="E260" s="83">
        <v>-186.86</v>
      </c>
      <c r="F260" s="83">
        <v>238.37</v>
      </c>
      <c r="G260" s="83">
        <v>350.14</v>
      </c>
      <c r="H260" s="83">
        <v>242.58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1397.27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35677.24</v>
      </c>
      <c r="D262" s="74">
        <v>33464.150000000009</v>
      </c>
      <c r="E262" s="74">
        <v>43601.240000000005</v>
      </c>
      <c r="F262" s="74">
        <v>39269.610000000008</v>
      </c>
      <c r="G262" s="74">
        <v>45922.829999999994</v>
      </c>
      <c r="H262" s="74">
        <v>47948.17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245883.23999999996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3576</v>
      </c>
      <c r="D265" s="74">
        <v>3318</v>
      </c>
      <c r="E265" s="74">
        <v>3722</v>
      </c>
      <c r="F265" s="74">
        <v>3970</v>
      </c>
      <c r="G265" s="74">
        <v>4174</v>
      </c>
      <c r="H265" s="74">
        <v>3015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21775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859.98</v>
      </c>
      <c r="D267" s="74">
        <v>710.3</v>
      </c>
      <c r="E267" s="74">
        <v>477.52</v>
      </c>
      <c r="F267" s="74">
        <v>1872.89</v>
      </c>
      <c r="G267" s="74">
        <v>3794.48</v>
      </c>
      <c r="H267" s="74">
        <v>2983.98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10699.15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1132.92</v>
      </c>
      <c r="D272" s="74">
        <v>666.36</v>
      </c>
      <c r="E272" s="74">
        <v>589.45000000000005</v>
      </c>
      <c r="F272" s="74">
        <v>2034.11</v>
      </c>
      <c r="G272" s="74">
        <v>4573.9399999999996</v>
      </c>
      <c r="H272" s="74">
        <v>3815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12811.779999999999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1311.09</v>
      </c>
      <c r="D276" s="74">
        <v>2393.44</v>
      </c>
      <c r="E276" s="74">
        <v>482.35</v>
      </c>
      <c r="F276" s="74">
        <v>1820.79</v>
      </c>
      <c r="G276" s="74">
        <v>2840.83</v>
      </c>
      <c r="H276" s="74">
        <v>2808.83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11657.33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51.25</v>
      </c>
      <c r="D279" s="74">
        <v>0</v>
      </c>
      <c r="E279" s="74">
        <v>202.02</v>
      </c>
      <c r="F279" s="74">
        <v>555.39</v>
      </c>
      <c r="G279" s="74">
        <v>1307.26</v>
      </c>
      <c r="H279" s="74">
        <v>254.43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2370.35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737.98</v>
      </c>
      <c r="D283" s="74">
        <v>13.2</v>
      </c>
      <c r="E283" s="74">
        <v>260</v>
      </c>
      <c r="F283" s="74">
        <v>337.79</v>
      </c>
      <c r="G283" s="74">
        <v>445.22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1794.19</v>
      </c>
    </row>
    <row r="284" spans="1:15" x14ac:dyDescent="0.25">
      <c r="A284" s="71" t="s">
        <v>277</v>
      </c>
      <c r="B284" s="74"/>
      <c r="C284" s="74">
        <v>0</v>
      </c>
      <c r="D284" s="74">
        <v>0</v>
      </c>
      <c r="E284" s="74">
        <v>0</v>
      </c>
      <c r="F284" s="74">
        <v>0</v>
      </c>
      <c r="G284" s="74">
        <v>477</v>
      </c>
      <c r="H284" s="74">
        <v>301.5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778.5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250</v>
      </c>
      <c r="D287" s="74">
        <v>720</v>
      </c>
      <c r="E287" s="74">
        <v>935</v>
      </c>
      <c r="F287" s="74">
        <v>935</v>
      </c>
      <c r="G287" s="74">
        <v>680</v>
      </c>
      <c r="H287" s="74">
        <v>200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3720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172.5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172.5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269.25</v>
      </c>
      <c r="E290" s="74">
        <v>808.87</v>
      </c>
      <c r="F290" s="74">
        <v>0</v>
      </c>
      <c r="G290" s="74">
        <v>269.81</v>
      </c>
      <c r="H290" s="74">
        <v>269.81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1617.7399999999998</v>
      </c>
    </row>
    <row r="291" spans="1:15" x14ac:dyDescent="0.25">
      <c r="A291" s="71" t="s">
        <v>284</v>
      </c>
      <c r="B291" s="74"/>
      <c r="C291" s="74">
        <v>-457.7</v>
      </c>
      <c r="D291" s="74">
        <v>519.80999999999995</v>
      </c>
      <c r="E291" s="74">
        <v>3092.7</v>
      </c>
      <c r="F291" s="74">
        <v>2721.1</v>
      </c>
      <c r="G291" s="74">
        <v>3208.33</v>
      </c>
      <c r="H291" s="74">
        <v>1171.33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10255.57</v>
      </c>
    </row>
    <row r="292" spans="1:15" x14ac:dyDescent="0.25">
      <c r="A292" s="71" t="s">
        <v>285</v>
      </c>
      <c r="B292" s="74"/>
      <c r="C292" s="74">
        <v>0</v>
      </c>
      <c r="D292" s="74">
        <v>931.62</v>
      </c>
      <c r="E292" s="74">
        <v>461.52</v>
      </c>
      <c r="F292" s="74">
        <v>452.69</v>
      </c>
      <c r="G292" s="74">
        <v>639.84</v>
      </c>
      <c r="H292" s="74">
        <v>841.68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3327.35</v>
      </c>
    </row>
    <row r="293" spans="1:15" x14ac:dyDescent="0.25">
      <c r="A293" s="71" t="s">
        <v>286</v>
      </c>
      <c r="B293" s="74"/>
      <c r="C293" s="74">
        <v>-448.88</v>
      </c>
      <c r="D293" s="74">
        <v>623.75</v>
      </c>
      <c r="E293" s="74">
        <v>3731.53</v>
      </c>
      <c r="F293" s="74">
        <v>3417.2</v>
      </c>
      <c r="G293" s="74">
        <v>5226.8500000000004</v>
      </c>
      <c r="H293" s="74">
        <v>1898.04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14448.490000000002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72</v>
      </c>
      <c r="G297" s="74">
        <v>418.5</v>
      </c>
      <c r="H297" s="74">
        <v>72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562.5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1445.73</v>
      </c>
      <c r="D301" s="74">
        <v>696.9</v>
      </c>
      <c r="E301" s="74">
        <v>303</v>
      </c>
      <c r="F301" s="74">
        <v>2636.84</v>
      </c>
      <c r="G301" s="74">
        <v>585.92999999999995</v>
      </c>
      <c r="H301" s="74">
        <v>212.1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5880.5000000000009</v>
      </c>
    </row>
    <row r="302" spans="1:15" x14ac:dyDescent="0.25">
      <c r="A302" s="71" t="s">
        <v>295</v>
      </c>
      <c r="B302" s="74"/>
      <c r="C302" s="74">
        <v>0</v>
      </c>
      <c r="D302" s="74">
        <v>136.35</v>
      </c>
      <c r="E302" s="74">
        <v>191.9</v>
      </c>
      <c r="F302" s="74">
        <v>1068.48</v>
      </c>
      <c r="G302" s="74">
        <v>361.18</v>
      </c>
      <c r="H302" s="74">
        <v>60.6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1818.51</v>
      </c>
    </row>
    <row r="303" spans="1:15" x14ac:dyDescent="0.25">
      <c r="A303" s="71" t="s">
        <v>296</v>
      </c>
      <c r="B303" s="74"/>
      <c r="C303" s="74">
        <v>1762.04</v>
      </c>
      <c r="D303" s="74">
        <v>468.64</v>
      </c>
      <c r="E303" s="74">
        <v>268.66000000000003</v>
      </c>
      <c r="F303" s="74">
        <v>2819.57</v>
      </c>
      <c r="G303" s="74">
        <v>824.89</v>
      </c>
      <c r="H303" s="74">
        <v>226.24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6370.04</v>
      </c>
    </row>
    <row r="304" spans="1:15" x14ac:dyDescent="0.25">
      <c r="A304" s="71" t="s">
        <v>499</v>
      </c>
      <c r="B304" s="74"/>
      <c r="C304" s="74">
        <v>1048.3800000000001</v>
      </c>
      <c r="D304" s="74">
        <v>1464.5</v>
      </c>
      <c r="E304" s="74">
        <v>4353.1000000000004</v>
      </c>
      <c r="F304" s="74">
        <v>1878.6</v>
      </c>
      <c r="G304" s="74">
        <v>2360.37</v>
      </c>
      <c r="H304" s="74">
        <v>3944.05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15049</v>
      </c>
    </row>
    <row r="305" spans="1:16" x14ac:dyDescent="0.25">
      <c r="A305" s="71" t="s">
        <v>500</v>
      </c>
      <c r="B305" s="74"/>
      <c r="C305" s="74">
        <v>0</v>
      </c>
      <c r="D305" s="74">
        <v>747.4</v>
      </c>
      <c r="E305" s="74">
        <v>981.72</v>
      </c>
      <c r="F305" s="74">
        <v>0</v>
      </c>
      <c r="G305" s="74">
        <v>318.14999999999998</v>
      </c>
      <c r="H305" s="74">
        <v>1586.71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3633.98</v>
      </c>
    </row>
    <row r="306" spans="1:16" x14ac:dyDescent="0.25">
      <c r="A306" s="71" t="s">
        <v>501</v>
      </c>
      <c r="B306" s="74"/>
      <c r="C306" s="74">
        <v>2208.87</v>
      </c>
      <c r="D306" s="74">
        <v>1997.78</v>
      </c>
      <c r="E306" s="74">
        <v>3847.09</v>
      </c>
      <c r="F306" s="74">
        <v>1773.56</v>
      </c>
      <c r="G306" s="74">
        <v>3936.98</v>
      </c>
      <c r="H306" s="74">
        <v>6286.24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20050.519999999997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13477.66</v>
      </c>
      <c r="D321" s="74">
        <v>15677.300000000001</v>
      </c>
      <c r="E321" s="74">
        <v>24708.430000000004</v>
      </c>
      <c r="F321" s="74">
        <v>28366.010000000002</v>
      </c>
      <c r="G321" s="74">
        <v>36443.560000000005</v>
      </c>
      <c r="H321" s="74">
        <v>30120.039999999994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148793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1905.59</v>
      </c>
      <c r="D324" s="74">
        <v>2124.7199999999998</v>
      </c>
      <c r="E324" s="74">
        <v>2552.31</v>
      </c>
      <c r="F324" s="74">
        <v>2632.77</v>
      </c>
      <c r="G324" s="74">
        <v>2500.9899999999998</v>
      </c>
      <c r="H324" s="74">
        <v>2329.37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14045.75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20.61</v>
      </c>
      <c r="H325" s="74">
        <v>276.51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297.12</v>
      </c>
    </row>
    <row r="326" spans="1:16" x14ac:dyDescent="0.25">
      <c r="A326" s="71" t="s">
        <v>314</v>
      </c>
      <c r="B326" s="74"/>
      <c r="C326" s="74">
        <v>630.57000000000005</v>
      </c>
      <c r="D326" s="74">
        <v>0</v>
      </c>
      <c r="E326" s="74">
        <v>2472.06</v>
      </c>
      <c r="F326" s="74">
        <v>2315.86</v>
      </c>
      <c r="G326" s="74">
        <v>684.01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6102.5</v>
      </c>
    </row>
    <row r="327" spans="1:16" x14ac:dyDescent="0.25">
      <c r="A327" s="71" t="s">
        <v>315</v>
      </c>
      <c r="B327" s="74"/>
      <c r="C327" s="74">
        <v>402.38</v>
      </c>
      <c r="D327" s="74">
        <v>0</v>
      </c>
      <c r="E327" s="74">
        <v>344.96</v>
      </c>
      <c r="F327" s="74">
        <v>415.8</v>
      </c>
      <c r="G327" s="74">
        <v>436.48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1599.62</v>
      </c>
    </row>
    <row r="328" spans="1:16" x14ac:dyDescent="0.25">
      <c r="A328" s="71" t="s">
        <v>316</v>
      </c>
      <c r="B328" s="74"/>
      <c r="C328" s="74">
        <v>595.85</v>
      </c>
      <c r="D328" s="74">
        <v>1461.75</v>
      </c>
      <c r="E328" s="74">
        <v>5332.79</v>
      </c>
      <c r="F328" s="74">
        <v>4622.92</v>
      </c>
      <c r="G328" s="74">
        <v>1746.5</v>
      </c>
      <c r="H328" s="74">
        <v>4567.1099999999997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18326.919999999998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6" x14ac:dyDescent="0.25">
      <c r="A336" s="71" t="s">
        <v>324</v>
      </c>
      <c r="C336" s="83">
        <v>0</v>
      </c>
      <c r="D336" s="83">
        <v>0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3534.39</v>
      </c>
      <c r="D338" s="74">
        <v>3586.47</v>
      </c>
      <c r="E338" s="74">
        <v>10702.119999999999</v>
      </c>
      <c r="F338" s="74">
        <v>9987.35</v>
      </c>
      <c r="G338" s="74">
        <v>5388.59</v>
      </c>
      <c r="H338" s="74">
        <v>7172.99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40371.910000000003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12257.67</v>
      </c>
      <c r="D341" s="74">
        <v>13689.95</v>
      </c>
      <c r="E341" s="74">
        <v>16518.63</v>
      </c>
      <c r="F341" s="74">
        <v>14133.01</v>
      </c>
      <c r="G341" s="74">
        <v>15696.8</v>
      </c>
      <c r="H341" s="74">
        <v>14620.72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86916.78</v>
      </c>
    </row>
    <row r="342" spans="1:16" x14ac:dyDescent="0.25">
      <c r="A342" s="71" t="s">
        <v>329</v>
      </c>
      <c r="B342" s="74"/>
      <c r="C342" s="74">
        <v>283.45</v>
      </c>
      <c r="D342" s="74">
        <v>1340.03</v>
      </c>
      <c r="E342" s="74">
        <v>1866.67</v>
      </c>
      <c r="F342" s="74">
        <v>3792.28</v>
      </c>
      <c r="G342" s="74">
        <v>2117.9499999999998</v>
      </c>
      <c r="H342" s="74">
        <v>2930.39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12330.77</v>
      </c>
    </row>
    <row r="343" spans="1:16" x14ac:dyDescent="0.25">
      <c r="A343" s="71" t="s">
        <v>330</v>
      </c>
      <c r="B343" s="74"/>
      <c r="C343" s="74">
        <v>603.57000000000005</v>
      </c>
      <c r="D343" s="74">
        <v>0</v>
      </c>
      <c r="E343" s="74">
        <v>517.44000000000005</v>
      </c>
      <c r="F343" s="74">
        <v>623.70000000000005</v>
      </c>
      <c r="G343" s="74">
        <v>654.72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2399.4300000000003</v>
      </c>
    </row>
    <row r="344" spans="1:16" x14ac:dyDescent="0.25">
      <c r="A344" s="71" t="s">
        <v>331</v>
      </c>
      <c r="B344" s="74"/>
      <c r="C344" s="74">
        <v>0</v>
      </c>
      <c r="D344" s="74">
        <v>0</v>
      </c>
      <c r="E344" s="74">
        <v>131.63</v>
      </c>
      <c r="F344" s="74">
        <v>0</v>
      </c>
      <c r="G344" s="74">
        <v>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131.63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0</v>
      </c>
      <c r="F349" s="74">
        <v>390</v>
      </c>
      <c r="G349" s="74">
        <v>641.88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1031.8800000000001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325</v>
      </c>
      <c r="D351" s="74">
        <v>0</v>
      </c>
      <c r="E351" s="74">
        <v>0</v>
      </c>
      <c r="F351" s="74">
        <v>0</v>
      </c>
      <c r="G351" s="74">
        <v>130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455</v>
      </c>
    </row>
    <row r="352" spans="1:16" x14ac:dyDescent="0.25">
      <c r="A352" s="71" t="s">
        <v>339</v>
      </c>
      <c r="C352" s="83">
        <v>426.66</v>
      </c>
      <c r="D352" s="83">
        <v>-363.03</v>
      </c>
      <c r="E352" s="83">
        <v>365.36</v>
      </c>
      <c r="F352" s="83">
        <v>365.36</v>
      </c>
      <c r="G352" s="83">
        <v>577.66999999999996</v>
      </c>
      <c r="H352" s="83">
        <v>375.61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1747.63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13896.35</v>
      </c>
      <c r="D354" s="74">
        <v>14666.95</v>
      </c>
      <c r="E354" s="74">
        <v>19399.730000000003</v>
      </c>
      <c r="F354" s="74">
        <v>19304.350000000002</v>
      </c>
      <c r="G354" s="74">
        <v>19819.02</v>
      </c>
      <c r="H354" s="74">
        <v>17926.72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105013.12000000002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2219.0700000000002</v>
      </c>
      <c r="D358" s="74">
        <v>1036.8800000000001</v>
      </c>
      <c r="E358" s="74">
        <v>2620.98</v>
      </c>
      <c r="F358" s="74">
        <v>1445.66</v>
      </c>
      <c r="G358" s="74">
        <v>2560.66</v>
      </c>
      <c r="H358" s="74">
        <v>3349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13232.25</v>
      </c>
    </row>
    <row r="359" spans="1:16" x14ac:dyDescent="0.25">
      <c r="A359" s="71" t="s">
        <v>344</v>
      </c>
      <c r="B359" s="74"/>
      <c r="C359" s="74">
        <v>0</v>
      </c>
      <c r="D359" s="74">
        <v>0</v>
      </c>
      <c r="E359" s="74">
        <v>2109.2600000000002</v>
      </c>
      <c r="F359" s="74">
        <v>653.04999999999995</v>
      </c>
      <c r="G359" s="74">
        <v>359.22</v>
      </c>
      <c r="H359" s="74">
        <v>688.06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3809.5900000000006</v>
      </c>
    </row>
    <row r="360" spans="1:16" x14ac:dyDescent="0.25">
      <c r="A360" s="71" t="s">
        <v>345</v>
      </c>
      <c r="B360" s="74"/>
      <c r="C360" s="74">
        <v>1918.51</v>
      </c>
      <c r="D360" s="74">
        <v>522.36</v>
      </c>
      <c r="E360" s="74">
        <v>2638.52</v>
      </c>
      <c r="F360" s="74">
        <v>1282.27</v>
      </c>
      <c r="G360" s="74">
        <v>1014.61</v>
      </c>
      <c r="H360" s="74">
        <v>493.25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7869.5199999999995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232.96</v>
      </c>
      <c r="D362" s="74">
        <v>0</v>
      </c>
      <c r="E362" s="74">
        <v>171.48</v>
      </c>
      <c r="F362" s="74">
        <v>0</v>
      </c>
      <c r="G362" s="74">
        <v>0</v>
      </c>
      <c r="H362" s="74">
        <v>600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1004.44</v>
      </c>
    </row>
    <row r="363" spans="1:16" x14ac:dyDescent="0.25">
      <c r="A363" s="71" t="s">
        <v>348</v>
      </c>
      <c r="B363" s="74"/>
      <c r="C363" s="74">
        <v>1216.6400000000001</v>
      </c>
      <c r="D363" s="74">
        <v>690.87</v>
      </c>
      <c r="E363" s="74">
        <v>690.87</v>
      </c>
      <c r="F363" s="74">
        <v>690.87</v>
      </c>
      <c r="G363" s="74">
        <v>690.87</v>
      </c>
      <c r="H363" s="74">
        <v>723.88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4704</v>
      </c>
    </row>
    <row r="364" spans="1:16" x14ac:dyDescent="0.25">
      <c r="A364" s="71" t="s">
        <v>349</v>
      </c>
      <c r="B364" s="74"/>
      <c r="C364" s="74">
        <v>1721.9</v>
      </c>
      <c r="D364" s="74">
        <v>1721.9</v>
      </c>
      <c r="E364" s="74">
        <v>3786.37</v>
      </c>
      <c r="F364" s="74">
        <v>2064.4699999999998</v>
      </c>
      <c r="G364" s="74">
        <v>2064.4699999999998</v>
      </c>
      <c r="H364" s="74">
        <v>2064.4699999999998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13423.579999999998</v>
      </c>
    </row>
    <row r="365" spans="1:16" x14ac:dyDescent="0.25">
      <c r="A365" s="71" t="s">
        <v>350</v>
      </c>
      <c r="B365" s="74"/>
      <c r="C365" s="74">
        <v>1185</v>
      </c>
      <c r="D365" s="74">
        <v>2615</v>
      </c>
      <c r="E365" s="74">
        <v>707.78</v>
      </c>
      <c r="F365" s="74">
        <v>1425</v>
      </c>
      <c r="G365" s="74">
        <v>1080</v>
      </c>
      <c r="H365" s="74">
        <v>1689.46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8702.24</v>
      </c>
    </row>
    <row r="366" spans="1:16" x14ac:dyDescent="0.25">
      <c r="A366" s="71" t="s">
        <v>351</v>
      </c>
      <c r="B366" s="74"/>
      <c r="C366" s="74">
        <v>2226.62</v>
      </c>
      <c r="D366" s="74">
        <v>3921.76</v>
      </c>
      <c r="E366" s="74">
        <v>7040.86</v>
      </c>
      <c r="F366" s="74">
        <v>4314.8900000000003</v>
      </c>
      <c r="G366" s="74">
        <v>13510.97</v>
      </c>
      <c r="H366" s="74">
        <v>2828.43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33843.53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-65.239999999999995</v>
      </c>
      <c r="D373" s="74">
        <v>-32.619999999999997</v>
      </c>
      <c r="E373" s="74">
        <v>0</v>
      </c>
      <c r="F373" s="74">
        <v>0</v>
      </c>
      <c r="G373" s="74">
        <v>139.22999999999999</v>
      </c>
      <c r="H373" s="74">
        <v>-0.01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41.360000000000007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4195.3999999999996</v>
      </c>
      <c r="D376" s="74">
        <v>5389.15</v>
      </c>
      <c r="E376" s="74">
        <v>5148.68</v>
      </c>
      <c r="F376" s="74">
        <v>4885.46</v>
      </c>
      <c r="G376" s="74">
        <v>4097.55</v>
      </c>
      <c r="H376" s="74">
        <v>5631.51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29347.75</v>
      </c>
    </row>
    <row r="377" spans="1:16" x14ac:dyDescent="0.25">
      <c r="A377" s="71" t="s">
        <v>362</v>
      </c>
      <c r="C377" s="83">
        <v>4929.1899999999996</v>
      </c>
      <c r="D377" s="83">
        <v>7948.34</v>
      </c>
      <c r="E377" s="83">
        <v>3627.8</v>
      </c>
      <c r="F377" s="83">
        <v>2786.81</v>
      </c>
      <c r="G377" s="83">
        <v>2167.92</v>
      </c>
      <c r="H377" s="83">
        <v>859.97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22320.03</v>
      </c>
      <c r="P377" s="86"/>
    </row>
    <row r="378" spans="1:16" x14ac:dyDescent="0.25">
      <c r="A378" s="71" t="s">
        <v>363</v>
      </c>
      <c r="C378" s="98">
        <v>2416</v>
      </c>
      <c r="D378" s="98">
        <v>7301.25</v>
      </c>
      <c r="E378" s="98">
        <v>1706.63</v>
      </c>
      <c r="F378" s="98">
        <v>1520.53</v>
      </c>
      <c r="G378" s="98">
        <v>2446.9899999999998</v>
      </c>
      <c r="H378" s="98">
        <v>1448.55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16839.95</v>
      </c>
    </row>
    <row r="379" spans="1:16" x14ac:dyDescent="0.25">
      <c r="A379" s="71" t="s">
        <v>364</v>
      </c>
      <c r="C379" s="74">
        <v>22196.05</v>
      </c>
      <c r="D379" s="74">
        <v>31114.89</v>
      </c>
      <c r="E379" s="74">
        <v>30249.23</v>
      </c>
      <c r="F379" s="74">
        <v>21069.01</v>
      </c>
      <c r="G379" s="74">
        <v>30132.489999999998</v>
      </c>
      <c r="H379" s="74">
        <v>20376.57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155138.23999999999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5590.22</v>
      </c>
      <c r="D382" s="74">
        <v>5590.22</v>
      </c>
      <c r="E382" s="74">
        <v>5590.22</v>
      </c>
      <c r="F382" s="74">
        <v>5590.22</v>
      </c>
      <c r="G382" s="74">
        <v>5590.22</v>
      </c>
      <c r="H382" s="74">
        <v>5590.22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33541.32</v>
      </c>
    </row>
    <row r="383" spans="1:16" x14ac:dyDescent="0.25">
      <c r="A383" s="71" t="s">
        <v>367</v>
      </c>
      <c r="B383" s="74"/>
      <c r="C383" s="74">
        <v>4379.3900000000003</v>
      </c>
      <c r="D383" s="74">
        <v>4539.12</v>
      </c>
      <c r="E383" s="74">
        <v>5321.88</v>
      </c>
      <c r="F383" s="74">
        <v>5067.29</v>
      </c>
      <c r="G383" s="74">
        <v>4987.62</v>
      </c>
      <c r="H383" s="74">
        <v>4672.5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28967.8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3</v>
      </c>
      <c r="F384" s="74">
        <v>0</v>
      </c>
      <c r="G384" s="74">
        <v>0</v>
      </c>
      <c r="H384" s="74">
        <v>1834.71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1837.71</v>
      </c>
    </row>
    <row r="385" spans="1:15" x14ac:dyDescent="0.25">
      <c r="A385" s="71" t="s">
        <v>369</v>
      </c>
      <c r="B385" s="74"/>
      <c r="C385" s="74">
        <v>0</v>
      </c>
      <c r="D385" s="74">
        <v>-3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-3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78</v>
      </c>
      <c r="D391" s="74">
        <v>78</v>
      </c>
      <c r="E391" s="74">
        <v>78</v>
      </c>
      <c r="F391" s="74">
        <v>78</v>
      </c>
      <c r="G391" s="74">
        <v>78</v>
      </c>
      <c r="H391" s="74">
        <v>78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468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577.20000000000005</v>
      </c>
      <c r="D393" s="74">
        <v>0</v>
      </c>
      <c r="E393" s="74">
        <v>0</v>
      </c>
      <c r="F393" s="74">
        <v>148.35</v>
      </c>
      <c r="G393" s="74">
        <v>144.30000000000001</v>
      </c>
      <c r="H393" s="74">
        <v>632.96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1502.8100000000002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83.25</v>
      </c>
      <c r="D395" s="74">
        <v>0</v>
      </c>
      <c r="E395" s="74">
        <v>0</v>
      </c>
      <c r="F395" s="74">
        <v>0</v>
      </c>
      <c r="G395" s="74">
        <v>213.74</v>
      </c>
      <c r="H395" s="74">
        <v>37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333.99</v>
      </c>
    </row>
    <row r="396" spans="1:15" x14ac:dyDescent="0.25">
      <c r="A396" s="71" t="s">
        <v>380</v>
      </c>
      <c r="B396" s="74"/>
      <c r="C396" s="74">
        <v>245.84</v>
      </c>
      <c r="D396" s="74">
        <v>238.37</v>
      </c>
      <c r="E396" s="74">
        <v>238.37</v>
      </c>
      <c r="F396" s="74">
        <v>238.37</v>
      </c>
      <c r="G396" s="74">
        <v>278.20999999999998</v>
      </c>
      <c r="H396" s="74">
        <v>250.69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1489.8500000000001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7158.93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7158.93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960</v>
      </c>
      <c r="D403" s="74">
        <v>960</v>
      </c>
      <c r="E403" s="74">
        <v>960</v>
      </c>
      <c r="F403" s="74">
        <v>960</v>
      </c>
      <c r="G403" s="74">
        <v>960</v>
      </c>
      <c r="H403" s="74">
        <v>960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5760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5">
      <c r="A408" s="71" t="s">
        <v>392</v>
      </c>
      <c r="B408" s="74"/>
      <c r="C408" s="74">
        <v>243.29</v>
      </c>
      <c r="D408" s="74">
        <v>484.93</v>
      </c>
      <c r="E408" s="74">
        <v>261.3</v>
      </c>
      <c r="F408" s="74">
        <v>662.23</v>
      </c>
      <c r="G408" s="74">
        <v>1964.34</v>
      </c>
      <c r="H408" s="74">
        <v>621.22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4237.3100000000004</v>
      </c>
    </row>
    <row r="409" spans="1:15" x14ac:dyDescent="0.25">
      <c r="A409" s="71" t="s">
        <v>393</v>
      </c>
      <c r="B409" s="74"/>
      <c r="C409" s="74">
        <v>0</v>
      </c>
      <c r="D409" s="74">
        <v>454.05</v>
      </c>
      <c r="E409" s="74">
        <v>493.08</v>
      </c>
      <c r="F409" s="74">
        <v>477.35</v>
      </c>
      <c r="G409" s="74">
        <v>478.24</v>
      </c>
      <c r="H409" s="74">
        <v>0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1902.72</v>
      </c>
    </row>
    <row r="410" spans="1:15" x14ac:dyDescent="0.25">
      <c r="A410" s="71" t="s">
        <v>394</v>
      </c>
      <c r="B410" s="74"/>
      <c r="C410" s="74">
        <v>87.05</v>
      </c>
      <c r="D410" s="74">
        <v>11.55</v>
      </c>
      <c r="E410" s="74">
        <v>258.43</v>
      </c>
      <c r="F410" s="74">
        <v>173.7</v>
      </c>
      <c r="G410" s="74">
        <v>338.18</v>
      </c>
      <c r="H410" s="74">
        <v>261.01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1129.92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0</v>
      </c>
      <c r="D412" s="74">
        <v>61.19</v>
      </c>
      <c r="E412" s="74">
        <v>310.64</v>
      </c>
      <c r="F412" s="74">
        <v>223.52</v>
      </c>
      <c r="G412" s="74">
        <v>10.32</v>
      </c>
      <c r="H412" s="74">
        <v>147.51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753.18000000000006</v>
      </c>
    </row>
    <row r="413" spans="1:15" x14ac:dyDescent="0.25">
      <c r="A413" s="71" t="s">
        <v>397</v>
      </c>
      <c r="B413" s="74"/>
      <c r="C413" s="74">
        <v>844.99</v>
      </c>
      <c r="D413" s="74">
        <v>844.99</v>
      </c>
      <c r="E413" s="74">
        <v>844.99</v>
      </c>
      <c r="F413" s="74">
        <v>844.99</v>
      </c>
      <c r="G413" s="74">
        <v>844.99</v>
      </c>
      <c r="H413" s="74">
        <v>844.99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5069.9399999999996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1018.94</v>
      </c>
      <c r="D415" s="74">
        <v>1018.94</v>
      </c>
      <c r="E415" s="74">
        <v>1018.94</v>
      </c>
      <c r="F415" s="74">
        <v>1018.94</v>
      </c>
      <c r="G415" s="74">
        <v>1018.94</v>
      </c>
      <c r="H415" s="74">
        <v>1018.94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6113.6400000000012</v>
      </c>
    </row>
    <row r="416" spans="1:15" x14ac:dyDescent="0.25">
      <c r="A416" s="71" t="s">
        <v>400</v>
      </c>
      <c r="B416" s="74"/>
      <c r="C416" s="74">
        <v>716.62</v>
      </c>
      <c r="D416" s="74">
        <v>716.62</v>
      </c>
      <c r="E416" s="74">
        <v>716.62</v>
      </c>
      <c r="F416" s="74">
        <v>716.62</v>
      </c>
      <c r="G416" s="74">
        <v>716.62</v>
      </c>
      <c r="H416" s="74">
        <v>826.39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4409.49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34.119999999999997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753.56999999999994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6026.13</v>
      </c>
      <c r="D419" s="74">
        <v>5299.48</v>
      </c>
      <c r="E419" s="74">
        <v>5508.3</v>
      </c>
      <c r="F419" s="74">
        <v>5712.53</v>
      </c>
      <c r="G419" s="74">
        <v>6580.06</v>
      </c>
      <c r="H419" s="74">
        <v>6639.92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35766.42</v>
      </c>
    </row>
    <row r="420" spans="1:15" x14ac:dyDescent="0.25">
      <c r="A420" s="71" t="s">
        <v>404</v>
      </c>
      <c r="B420" s="74"/>
      <c r="C420" s="74">
        <v>175.76</v>
      </c>
      <c r="D420" s="74">
        <v>293.43</v>
      </c>
      <c r="E420" s="74">
        <v>229.69</v>
      </c>
      <c r="F420" s="74">
        <v>414.22</v>
      </c>
      <c r="G420" s="74">
        <v>155.88999999999999</v>
      </c>
      <c r="H420" s="74">
        <v>223.21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1492.1999999999998</v>
      </c>
    </row>
    <row r="421" spans="1:15" x14ac:dyDescent="0.25">
      <c r="A421" s="71" t="s">
        <v>405</v>
      </c>
      <c r="B421" s="74"/>
      <c r="C421" s="74">
        <v>483.54</v>
      </c>
      <c r="D421" s="74">
        <v>838.4</v>
      </c>
      <c r="E421" s="74">
        <v>478.48</v>
      </c>
      <c r="F421" s="74">
        <v>601.9</v>
      </c>
      <c r="G421" s="74">
        <v>654.78</v>
      </c>
      <c r="H421" s="74">
        <v>930.93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3988.03</v>
      </c>
    </row>
    <row r="422" spans="1:15" x14ac:dyDescent="0.25">
      <c r="A422" s="71" t="s">
        <v>406</v>
      </c>
      <c r="B422" s="74"/>
      <c r="C422" s="74">
        <v>16158.92</v>
      </c>
      <c r="D422" s="74">
        <v>14511.41</v>
      </c>
      <c r="E422" s="74">
        <v>16741.5</v>
      </c>
      <c r="F422" s="74">
        <v>18724.5</v>
      </c>
      <c r="G422" s="74">
        <v>20133.27</v>
      </c>
      <c r="H422" s="74">
        <v>18824.03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105093.63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103.16</v>
      </c>
      <c r="G423" s="74">
        <v>0</v>
      </c>
      <c r="H423" s="74">
        <v>336.25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439.40999999999997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470</v>
      </c>
      <c r="D425" s="74">
        <v>0</v>
      </c>
      <c r="E425" s="74">
        <v>221.25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691.25</v>
      </c>
    </row>
    <row r="426" spans="1:15" x14ac:dyDescent="0.25">
      <c r="A426" s="71" t="s">
        <v>410</v>
      </c>
      <c r="B426" s="74"/>
      <c r="C426" s="74">
        <v>14585.48</v>
      </c>
      <c r="D426" s="74">
        <v>12572.33</v>
      </c>
      <c r="E426" s="74">
        <v>14110.64</v>
      </c>
      <c r="F426" s="74">
        <v>14068.39</v>
      </c>
      <c r="G426" s="74">
        <v>15944.26</v>
      </c>
      <c r="H426" s="74">
        <v>15736.19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87017.29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410.76</v>
      </c>
      <c r="E430" s="74">
        <v>126.11</v>
      </c>
      <c r="F430" s="74">
        <v>0</v>
      </c>
      <c r="G430" s="74">
        <v>0</v>
      </c>
      <c r="H430" s="74">
        <v>35.5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572.37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534.98</v>
      </c>
      <c r="D432" s="74">
        <v>583.67999999999995</v>
      </c>
      <c r="E432" s="74">
        <v>899.79</v>
      </c>
      <c r="F432" s="74">
        <v>601.58000000000004</v>
      </c>
      <c r="G432" s="74">
        <v>217.87</v>
      </c>
      <c r="H432" s="74">
        <v>295.60000000000002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3133.4999999999995</v>
      </c>
    </row>
    <row r="433" spans="1:16" x14ac:dyDescent="0.25">
      <c r="A433" s="71" t="s">
        <v>416</v>
      </c>
      <c r="B433" s="74"/>
      <c r="C433" s="74">
        <v>24459</v>
      </c>
      <c r="D433" s="74">
        <v>24459</v>
      </c>
      <c r="E433" s="74">
        <v>24459</v>
      </c>
      <c r="F433" s="74">
        <v>24459</v>
      </c>
      <c r="G433" s="74">
        <v>24459</v>
      </c>
      <c r="H433" s="74">
        <v>24459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146754</v>
      </c>
    </row>
    <row r="434" spans="1:16" x14ac:dyDescent="0.25">
      <c r="A434" s="71" t="s">
        <v>417</v>
      </c>
      <c r="B434" s="74"/>
      <c r="C434" s="74">
        <v>1088.5</v>
      </c>
      <c r="D434" s="74">
        <v>1122.55</v>
      </c>
      <c r="E434" s="74">
        <v>1302.48</v>
      </c>
      <c r="F434" s="74">
        <v>1017.98</v>
      </c>
      <c r="G434" s="74">
        <v>925.58</v>
      </c>
      <c r="H434" s="74">
        <v>932.87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6389.96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1879.83</v>
      </c>
      <c r="D436" s="74">
        <v>689.7</v>
      </c>
      <c r="E436" s="74">
        <v>689.71</v>
      </c>
      <c r="F436" s="74">
        <v>689.57</v>
      </c>
      <c r="G436" s="74">
        <v>689.57</v>
      </c>
      <c r="H436" s="74">
        <v>1183.68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5822.06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0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0</v>
      </c>
    </row>
    <row r="440" spans="1:16" x14ac:dyDescent="0.25">
      <c r="A440" s="71" t="s">
        <v>423</v>
      </c>
      <c r="C440" s="74">
        <v>81345.819999999992</v>
      </c>
      <c r="D440" s="74">
        <v>76434.61</v>
      </c>
      <c r="E440" s="74">
        <v>82571.31</v>
      </c>
      <c r="F440" s="74">
        <v>83251.3</v>
      </c>
      <c r="G440" s="74">
        <v>88042.890000000014</v>
      </c>
      <c r="H440" s="74">
        <v>95081.37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506727.30000000005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8782.74</v>
      </c>
      <c r="D443" s="74">
        <v>7867.45</v>
      </c>
      <c r="E443" s="74">
        <v>9106.39</v>
      </c>
      <c r="F443" s="74">
        <v>10208.06</v>
      </c>
      <c r="G443" s="74">
        <v>10990.71</v>
      </c>
      <c r="H443" s="74">
        <v>10263.35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57218.7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2591.9299999999998</v>
      </c>
      <c r="D445" s="74">
        <v>2591.9299999999998</v>
      </c>
      <c r="E445" s="74">
        <v>2591.9299999999998</v>
      </c>
      <c r="F445" s="74">
        <v>2591.9299999999998</v>
      </c>
      <c r="G445" s="74">
        <v>2591.9299999999998</v>
      </c>
      <c r="H445" s="74">
        <v>2591.9299999999998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15551.58</v>
      </c>
    </row>
    <row r="446" spans="1:16" x14ac:dyDescent="0.25">
      <c r="A446" s="71" t="s">
        <v>428</v>
      </c>
      <c r="B446" s="74"/>
      <c r="C446" s="74">
        <v>44147.53</v>
      </c>
      <c r="D446" s="74">
        <v>44147.53</v>
      </c>
      <c r="E446" s="74">
        <v>48345.45</v>
      </c>
      <c r="F446" s="74">
        <v>46246.49</v>
      </c>
      <c r="G446" s="74">
        <v>46246.49</v>
      </c>
      <c r="H446" s="74">
        <v>46246.49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275379.98</v>
      </c>
    </row>
    <row r="447" spans="1:16" x14ac:dyDescent="0.25">
      <c r="A447" s="71" t="s">
        <v>429</v>
      </c>
      <c r="B447" s="74"/>
      <c r="C447" s="74">
        <v>1607.5</v>
      </c>
      <c r="D447" s="74">
        <v>5140.7700000000004</v>
      </c>
      <c r="E447" s="74">
        <v>554.5</v>
      </c>
      <c r="F447" s="74">
        <v>2012.95</v>
      </c>
      <c r="G447" s="74">
        <v>5674.89</v>
      </c>
      <c r="H447" s="74">
        <v>1797.29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16787.900000000001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2472</v>
      </c>
      <c r="D451" s="83">
        <v>2472</v>
      </c>
      <c r="E451" s="83">
        <v>2472</v>
      </c>
      <c r="F451" s="83">
        <v>2472</v>
      </c>
      <c r="G451" s="83">
        <v>2472</v>
      </c>
      <c r="H451" s="83">
        <v>2472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14832</v>
      </c>
      <c r="P451" s="86"/>
    </row>
    <row r="452" spans="1:16" x14ac:dyDescent="0.25">
      <c r="A452" s="71" t="s">
        <v>434</v>
      </c>
      <c r="C452" s="74">
        <v>46.85</v>
      </c>
      <c r="D452" s="74">
        <v>46.85</v>
      </c>
      <c r="E452" s="74">
        <v>46.85</v>
      </c>
      <c r="F452" s="74">
        <v>46.85</v>
      </c>
      <c r="G452" s="74">
        <v>46.85</v>
      </c>
      <c r="H452" s="74">
        <v>46.85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281.10000000000002</v>
      </c>
    </row>
    <row r="453" spans="1:16" ht="18.75" thickBot="1" x14ac:dyDescent="0.3">
      <c r="A453" s="85" t="s">
        <v>435</v>
      </c>
      <c r="B453" s="85"/>
      <c r="C453" s="81">
        <v>59648.549999999996</v>
      </c>
      <c r="D453" s="81">
        <v>62266.529999999992</v>
      </c>
      <c r="E453" s="81">
        <v>63117.119999999995</v>
      </c>
      <c r="F453" s="81">
        <v>63578.279999999992</v>
      </c>
      <c r="G453" s="81">
        <v>68022.87</v>
      </c>
      <c r="H453" s="81">
        <v>63417.909999999996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380051.26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383051.83</v>
      </c>
      <c r="D455" s="71">
        <v>365426.06</v>
      </c>
      <c r="E455" s="71">
        <v>410274.18</v>
      </c>
      <c r="F455" s="71">
        <v>413160.54000000004</v>
      </c>
      <c r="G455" s="71">
        <v>466762.30000000005</v>
      </c>
      <c r="H455" s="71">
        <v>451343.67999999993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2490018.59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512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41.225806451612904</v>
      </c>
      <c r="D8" s="97">
        <v>38.321428571428569</v>
      </c>
      <c r="E8" s="97">
        <v>39.064516129032256</v>
      </c>
      <c r="F8" s="97">
        <v>38.299999999999997</v>
      </c>
      <c r="G8" s="97">
        <v>37.41935483870968</v>
      </c>
      <c r="H8" s="97">
        <v>39.833333333333336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253</v>
      </c>
      <c r="D11" s="74">
        <v>205</v>
      </c>
      <c r="E11" s="74">
        <v>243</v>
      </c>
      <c r="F11" s="74">
        <v>276</v>
      </c>
      <c r="G11" s="74">
        <v>232</v>
      </c>
      <c r="H11" s="74">
        <v>19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1228</v>
      </c>
    </row>
    <row r="12" spans="1:15" x14ac:dyDescent="0.25">
      <c r="A12" s="71" t="s">
        <v>42</v>
      </c>
      <c r="C12" s="74">
        <v>23</v>
      </c>
      <c r="D12" s="74">
        <v>0</v>
      </c>
      <c r="E12" s="74">
        <v>21</v>
      </c>
      <c r="F12" s="74">
        <v>9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53</v>
      </c>
    </row>
    <row r="13" spans="1:15" x14ac:dyDescent="0.25">
      <c r="A13" s="71" t="s">
        <v>43</v>
      </c>
      <c r="C13" s="74">
        <v>672</v>
      </c>
      <c r="D13" s="74">
        <v>644</v>
      </c>
      <c r="E13" s="74">
        <v>644</v>
      </c>
      <c r="F13" s="74">
        <v>600</v>
      </c>
      <c r="G13" s="74">
        <v>640</v>
      </c>
      <c r="H13" s="74">
        <v>893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4093</v>
      </c>
    </row>
    <row r="14" spans="1:15" x14ac:dyDescent="0.25">
      <c r="A14" s="71" t="s">
        <v>44</v>
      </c>
      <c r="C14" s="74">
        <v>83</v>
      </c>
      <c r="D14" s="74">
        <v>26</v>
      </c>
      <c r="E14" s="74">
        <v>89</v>
      </c>
      <c r="F14" s="74">
        <v>120</v>
      </c>
      <c r="G14" s="74">
        <v>130</v>
      </c>
      <c r="H14" s="74">
        <v>90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538</v>
      </c>
    </row>
    <row r="15" spans="1:15" x14ac:dyDescent="0.25">
      <c r="A15" s="71" t="s">
        <v>45</v>
      </c>
      <c r="C15" s="74">
        <v>4</v>
      </c>
      <c r="D15" s="74">
        <v>1</v>
      </c>
      <c r="E15" s="74">
        <v>2</v>
      </c>
      <c r="F15" s="74">
        <v>1</v>
      </c>
      <c r="G15" s="74">
        <v>4</v>
      </c>
      <c r="H15" s="74">
        <v>5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17</v>
      </c>
    </row>
    <row r="16" spans="1:15" x14ac:dyDescent="0.25">
      <c r="A16" s="71" t="s">
        <v>46</v>
      </c>
      <c r="C16" s="74">
        <v>21</v>
      </c>
      <c r="D16" s="74">
        <v>60</v>
      </c>
      <c r="E16" s="74">
        <v>77</v>
      </c>
      <c r="F16" s="74">
        <v>20</v>
      </c>
      <c r="G16" s="74">
        <v>1</v>
      </c>
      <c r="H16" s="74">
        <v>2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181</v>
      </c>
    </row>
    <row r="17" spans="1:18" x14ac:dyDescent="0.25">
      <c r="A17" s="71" t="s">
        <v>47</v>
      </c>
      <c r="C17" s="74">
        <v>222</v>
      </c>
      <c r="D17" s="74">
        <v>137</v>
      </c>
      <c r="E17" s="74">
        <v>135</v>
      </c>
      <c r="F17" s="74">
        <v>123</v>
      </c>
      <c r="G17" s="74">
        <v>153</v>
      </c>
      <c r="H17" s="74">
        <v>186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956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1278</v>
      </c>
      <c r="D23" s="79">
        <v>1073</v>
      </c>
      <c r="E23" s="79">
        <v>1211</v>
      </c>
      <c r="F23" s="79">
        <v>1149</v>
      </c>
      <c r="G23" s="79">
        <v>1160</v>
      </c>
      <c r="H23" s="79">
        <v>1195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7066</v>
      </c>
      <c r="P23" s="86">
        <v>7066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225961.33</v>
      </c>
      <c r="D26" s="74">
        <v>205971.21</v>
      </c>
      <c r="E26" s="74">
        <v>234477.53000000006</v>
      </c>
      <c r="F26" s="74">
        <v>203525.61000000002</v>
      </c>
      <c r="G26" s="74">
        <v>198898.08000000002</v>
      </c>
      <c r="H26" s="74">
        <v>213785.87999999998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1282619.6399999999</v>
      </c>
      <c r="P26" s="86"/>
    </row>
    <row r="27" spans="1:18" x14ac:dyDescent="0.25">
      <c r="A27" s="71" t="s">
        <v>57</v>
      </c>
      <c r="C27" s="74">
        <v>18486.91</v>
      </c>
      <c r="D27" s="74">
        <v>7085.1400000000012</v>
      </c>
      <c r="E27" s="74">
        <v>13223.5</v>
      </c>
      <c r="F27" s="74">
        <v>19902.47</v>
      </c>
      <c r="G27" s="74">
        <v>8071.7300000000014</v>
      </c>
      <c r="H27" s="74">
        <v>16277.639999999996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83047.39</v>
      </c>
      <c r="P27" s="86"/>
    </row>
    <row r="28" spans="1:18" x14ac:dyDescent="0.25">
      <c r="A28" s="71" t="s">
        <v>58</v>
      </c>
      <c r="C28" s="74">
        <v>-6532.15</v>
      </c>
      <c r="D28" s="74">
        <v>-1326.5700000000002</v>
      </c>
      <c r="E28" s="74">
        <v>-11913.880000000001</v>
      </c>
      <c r="F28" s="74">
        <v>-1188.8800000000001</v>
      </c>
      <c r="G28" s="74">
        <v>-6857.88</v>
      </c>
      <c r="H28" s="74">
        <v>-2633.92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-30453.279999999999</v>
      </c>
      <c r="P28" s="86"/>
    </row>
    <row r="29" spans="1:18" ht="18.75" thickBot="1" x14ac:dyDescent="0.3">
      <c r="A29" s="71" t="s">
        <v>59</v>
      </c>
      <c r="C29" s="80">
        <v>237916.09</v>
      </c>
      <c r="D29" s="80">
        <v>211729.78</v>
      </c>
      <c r="E29" s="80">
        <v>235787.15000000005</v>
      </c>
      <c r="F29" s="80">
        <v>222239.2</v>
      </c>
      <c r="G29" s="80">
        <v>200111.93000000002</v>
      </c>
      <c r="H29" s="80">
        <v>227429.59999999995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1335213.7499999998</v>
      </c>
      <c r="P29" s="86">
        <v>1335213.7499999998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126566.97</v>
      </c>
      <c r="D32" s="74">
        <v>118260.39</v>
      </c>
      <c r="E32" s="74">
        <v>138065.06000000003</v>
      </c>
      <c r="F32" s="74">
        <v>116287.87000000001</v>
      </c>
      <c r="G32" s="74">
        <v>125842.28000000003</v>
      </c>
      <c r="H32" s="74">
        <v>125909.11999999998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750931.69000000006</v>
      </c>
      <c r="P32" s="86"/>
    </row>
    <row r="33" spans="1:18" x14ac:dyDescent="0.25">
      <c r="A33" s="71" t="s">
        <v>62</v>
      </c>
      <c r="C33" s="74">
        <v>25040.360000000004</v>
      </c>
      <c r="D33" s="74">
        <v>21377.01</v>
      </c>
      <c r="E33" s="74">
        <v>27494.269999999997</v>
      </c>
      <c r="F33" s="74">
        <v>28871.239999999998</v>
      </c>
      <c r="G33" s="74">
        <v>27006.980000000003</v>
      </c>
      <c r="H33" s="74">
        <v>31165.740000000005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160955.60000000003</v>
      </c>
      <c r="P33" s="86"/>
    </row>
    <row r="34" spans="1:18" x14ac:dyDescent="0.25">
      <c r="A34" s="71" t="s">
        <v>57</v>
      </c>
      <c r="C34" s="74">
        <v>16530.669999999998</v>
      </c>
      <c r="D34" s="74">
        <v>14389.660000000002</v>
      </c>
      <c r="E34" s="74">
        <v>23996.860000000004</v>
      </c>
      <c r="F34" s="74">
        <v>19263.040000000005</v>
      </c>
      <c r="G34" s="74">
        <v>15952.5</v>
      </c>
      <c r="H34" s="74">
        <v>13973.08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104105.81000000001</v>
      </c>
      <c r="P34" s="86"/>
    </row>
    <row r="35" spans="1:18" x14ac:dyDescent="0.25">
      <c r="A35" s="71" t="s">
        <v>63</v>
      </c>
      <c r="C35" s="74">
        <v>3568.2999999999997</v>
      </c>
      <c r="D35" s="74">
        <v>2024.7</v>
      </c>
      <c r="E35" s="74">
        <v>4914.9800000000005</v>
      </c>
      <c r="F35" s="74">
        <v>2743.58</v>
      </c>
      <c r="G35" s="74">
        <v>3281.78</v>
      </c>
      <c r="H35" s="74">
        <v>3198.42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19731.760000000002</v>
      </c>
      <c r="P35" s="86"/>
    </row>
    <row r="36" spans="1:18" x14ac:dyDescent="0.25">
      <c r="A36" s="71" t="s">
        <v>64</v>
      </c>
      <c r="C36" s="74">
        <v>4689.6500000000005</v>
      </c>
      <c r="D36" s="74">
        <v>6244.27</v>
      </c>
      <c r="E36" s="74">
        <v>8062.95</v>
      </c>
      <c r="F36" s="74">
        <v>5567.3899999999994</v>
      </c>
      <c r="G36" s="74">
        <v>7431.76</v>
      </c>
      <c r="H36" s="74">
        <v>6486.7199999999993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38482.740000000005</v>
      </c>
      <c r="P36" s="86"/>
    </row>
    <row r="37" spans="1:18" x14ac:dyDescent="0.25">
      <c r="A37" s="71" t="s">
        <v>65</v>
      </c>
      <c r="C37" s="74">
        <v>11659.14</v>
      </c>
      <c r="D37" s="74">
        <v>24049.729999999996</v>
      </c>
      <c r="E37" s="74">
        <v>12903.91</v>
      </c>
      <c r="F37" s="74">
        <v>21945.360000000004</v>
      </c>
      <c r="G37" s="74">
        <v>13046.960000000001</v>
      </c>
      <c r="H37" s="74">
        <v>12256.080000000002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95861.180000000008</v>
      </c>
      <c r="P37" s="86"/>
    </row>
    <row r="38" spans="1:18" x14ac:dyDescent="0.25">
      <c r="A38" s="71" t="s">
        <v>66</v>
      </c>
      <c r="C38" s="74">
        <v>52384.219999999994</v>
      </c>
      <c r="D38" s="74">
        <v>49200.249999999993</v>
      </c>
      <c r="E38" s="74">
        <v>52263.56</v>
      </c>
      <c r="F38" s="74">
        <v>51871.03</v>
      </c>
      <c r="G38" s="74">
        <v>51488.799999999996</v>
      </c>
      <c r="H38" s="74">
        <v>55840.249999999993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313048.10999999993</v>
      </c>
      <c r="P38" s="86"/>
    </row>
    <row r="39" spans="1:18" x14ac:dyDescent="0.25">
      <c r="A39" s="71" t="s">
        <v>67</v>
      </c>
      <c r="C39" s="74">
        <v>54736.740000000005</v>
      </c>
      <c r="D39" s="74">
        <v>55455.54</v>
      </c>
      <c r="E39" s="74">
        <v>55967.619999999995</v>
      </c>
      <c r="F39" s="74">
        <v>58423.700000000004</v>
      </c>
      <c r="G39" s="74">
        <v>58655.44</v>
      </c>
      <c r="H39" s="74">
        <v>54996.480000000003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338235.52</v>
      </c>
      <c r="P39" s="86"/>
    </row>
    <row r="40" spans="1:18" ht="18.75" thickBot="1" x14ac:dyDescent="0.3">
      <c r="A40" s="71" t="s">
        <v>68</v>
      </c>
      <c r="C40" s="80">
        <v>295176.05</v>
      </c>
      <c r="D40" s="80">
        <v>291001.55</v>
      </c>
      <c r="E40" s="80">
        <v>323669.21000000008</v>
      </c>
      <c r="F40" s="80">
        <v>304973.21000000002</v>
      </c>
      <c r="G40" s="80">
        <v>302706.5</v>
      </c>
      <c r="H40" s="80">
        <v>303825.88999999996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1821352.41</v>
      </c>
      <c r="P40" s="86">
        <v>1821352.41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-57259.959999999992</v>
      </c>
      <c r="D41" s="81">
        <v>-79271.76999999999</v>
      </c>
      <c r="E41" s="81">
        <v>-87882.060000000027</v>
      </c>
      <c r="F41" s="81">
        <v>-82734.010000000009</v>
      </c>
      <c r="G41" s="81">
        <v>-102594.56999999998</v>
      </c>
      <c r="H41" s="81">
        <v>-76396.290000000008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-486138.66000000015</v>
      </c>
      <c r="P41" s="86">
        <v>-486138.66000000015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6416.1100000000106</v>
      </c>
      <c r="D43" s="74">
        <v>-17945.239999999987</v>
      </c>
      <c r="E43" s="74">
        <v>-20782.250000000022</v>
      </c>
      <c r="F43" s="74">
        <v>-18811.55000000001</v>
      </c>
      <c r="G43" s="74">
        <v>-39090.159999999974</v>
      </c>
      <c r="H43" s="76">
        <v>-12422.960000000008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-102636.05000000016</v>
      </c>
      <c r="P43" s="71">
        <v>-102636.05000000013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512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118218.88</v>
      </c>
      <c r="D50" s="74">
        <v>115595.68</v>
      </c>
      <c r="E50" s="74">
        <v>117694.24</v>
      </c>
      <c r="F50" s="74">
        <v>105102.88</v>
      </c>
      <c r="G50" s="74">
        <v>112622.72</v>
      </c>
      <c r="H50" s="74">
        <v>157042.23999999999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726276.64</v>
      </c>
    </row>
    <row r="51" spans="1:15" x14ac:dyDescent="0.25">
      <c r="A51" s="71" t="s">
        <v>73</v>
      </c>
      <c r="B51" s="82"/>
      <c r="C51" s="74">
        <v>15124.71</v>
      </c>
      <c r="D51" s="74">
        <v>2490.69</v>
      </c>
      <c r="E51" s="74">
        <v>14364.26</v>
      </c>
      <c r="F51" s="74">
        <v>21492.77</v>
      </c>
      <c r="G51" s="74">
        <v>24522.12</v>
      </c>
      <c r="H51" s="74">
        <v>16386.11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94380.659999999989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2952.36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2952.36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8400</v>
      </c>
      <c r="D63" s="74">
        <v>24000</v>
      </c>
      <c r="E63" s="74">
        <v>30800</v>
      </c>
      <c r="F63" s="74">
        <v>8000</v>
      </c>
      <c r="G63" s="74">
        <v>400</v>
      </c>
      <c r="H63" s="74">
        <v>800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72400</v>
      </c>
    </row>
    <row r="64" spans="1:15" x14ac:dyDescent="0.25">
      <c r="A64" s="71" t="s">
        <v>86</v>
      </c>
      <c r="B64" s="82"/>
      <c r="C64" s="74">
        <v>4293.66</v>
      </c>
      <c r="D64" s="74">
        <v>4953.24</v>
      </c>
      <c r="E64" s="74">
        <v>5505.45</v>
      </c>
      <c r="F64" s="74">
        <v>1419.51</v>
      </c>
      <c r="G64" s="74">
        <v>26.05</v>
      </c>
      <c r="H64" s="74">
        <v>404.17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16602.079999999998</v>
      </c>
    </row>
    <row r="65" spans="1:15" x14ac:dyDescent="0.25">
      <c r="A65" s="71" t="s">
        <v>87</v>
      </c>
      <c r="B65" s="82"/>
      <c r="C65" s="74">
        <v>1770.37</v>
      </c>
      <c r="D65" s="74">
        <v>6724.56</v>
      </c>
      <c r="E65" s="74">
        <v>10195.41</v>
      </c>
      <c r="F65" s="74">
        <v>2276.87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20967.21</v>
      </c>
    </row>
    <row r="66" spans="1:15" x14ac:dyDescent="0.25">
      <c r="A66" s="71" t="s">
        <v>88</v>
      </c>
      <c r="B66" s="82"/>
      <c r="C66" s="74">
        <v>2157.4299999999998</v>
      </c>
      <c r="D66" s="74">
        <v>7222.4</v>
      </c>
      <c r="E66" s="74">
        <v>9107.92</v>
      </c>
      <c r="F66" s="74">
        <v>2427.65</v>
      </c>
      <c r="G66" s="74">
        <v>0</v>
      </c>
      <c r="H66" s="74">
        <v>236.22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21151.620000000003</v>
      </c>
    </row>
    <row r="67" spans="1:15" x14ac:dyDescent="0.25">
      <c r="A67" s="71" t="s">
        <v>89</v>
      </c>
      <c r="B67" s="82"/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0</v>
      </c>
      <c r="D69" s="74">
        <v>1906.5</v>
      </c>
      <c r="E69" s="74">
        <v>1422.63</v>
      </c>
      <c r="F69" s="74">
        <v>300.81</v>
      </c>
      <c r="G69" s="74">
        <v>8.19</v>
      </c>
      <c r="H69" s="74">
        <v>-8.19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3629.94</v>
      </c>
    </row>
    <row r="70" spans="1:15" x14ac:dyDescent="0.25">
      <c r="A70" s="71" t="s">
        <v>92</v>
      </c>
      <c r="B70" s="82"/>
      <c r="C70" s="74">
        <v>10.14</v>
      </c>
      <c r="D70" s="74">
        <v>119.91</v>
      </c>
      <c r="E70" s="74">
        <v>218.16</v>
      </c>
      <c r="F70" s="74">
        <v>79.61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427.82000000000005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0</v>
      </c>
      <c r="E72" s="74">
        <v>19.190000000000001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19.190000000000001</v>
      </c>
    </row>
    <row r="73" spans="1:15" x14ac:dyDescent="0.25">
      <c r="A73" s="71" t="s">
        <v>95</v>
      </c>
      <c r="B73" s="82"/>
      <c r="C73" s="74">
        <v>0</v>
      </c>
      <c r="D73" s="74">
        <v>108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108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4480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4480</v>
      </c>
    </row>
    <row r="78" spans="1:15" x14ac:dyDescent="0.25">
      <c r="A78" s="71" t="s">
        <v>99</v>
      </c>
      <c r="B78" s="82"/>
      <c r="C78" s="74">
        <v>-3937.94</v>
      </c>
      <c r="D78" s="74">
        <v>-16081.37</v>
      </c>
      <c r="E78" s="74">
        <v>-20963.310000000001</v>
      </c>
      <c r="F78" s="74">
        <v>-5084.9399999999996</v>
      </c>
      <c r="G78" s="74">
        <v>-8.19</v>
      </c>
      <c r="H78" s="74">
        <v>-228.03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-46303.780000000006</v>
      </c>
    </row>
    <row r="79" spans="1:15" x14ac:dyDescent="0.25">
      <c r="A79" s="71" t="s">
        <v>100</v>
      </c>
      <c r="B79" s="82"/>
      <c r="C79" s="74">
        <v>245.83</v>
      </c>
      <c r="D79" s="74">
        <v>0.12</v>
      </c>
      <c r="E79" s="74">
        <v>0.14000000000000001</v>
      </c>
      <c r="F79" s="74">
        <v>1584.26</v>
      </c>
      <c r="G79" s="74">
        <v>972.48</v>
      </c>
      <c r="H79" s="74">
        <v>0.01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2802.84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-55.3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-55.3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40693</v>
      </c>
      <c r="D82" s="74">
        <v>33181</v>
      </c>
      <c r="E82" s="74">
        <v>35113</v>
      </c>
      <c r="F82" s="74">
        <v>47599</v>
      </c>
      <c r="G82" s="74">
        <v>38073</v>
      </c>
      <c r="H82" s="74">
        <v>-636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194023</v>
      </c>
    </row>
    <row r="83" spans="1:15" x14ac:dyDescent="0.25">
      <c r="A83" s="71" t="s">
        <v>103</v>
      </c>
      <c r="B83" s="82"/>
      <c r="C83" s="74">
        <v>10977.14</v>
      </c>
      <c r="D83" s="74">
        <v>0</v>
      </c>
      <c r="E83" s="74">
        <v>9905.42</v>
      </c>
      <c r="F83" s="74">
        <v>3974.76</v>
      </c>
      <c r="G83" s="74">
        <v>-3167.1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21690.22</v>
      </c>
    </row>
    <row r="84" spans="1:15" x14ac:dyDescent="0.25">
      <c r="A84" s="71" t="s">
        <v>481</v>
      </c>
      <c r="B84" s="82"/>
      <c r="C84" s="74">
        <v>-8457.4599999999991</v>
      </c>
      <c r="D84" s="74">
        <v>0</v>
      </c>
      <c r="E84" s="74">
        <v>-2334.1</v>
      </c>
      <c r="F84" s="74">
        <v>-6496.03</v>
      </c>
      <c r="G84" s="74">
        <v>-337.13</v>
      </c>
      <c r="H84" s="74">
        <v>-167.13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-17791.850000000002</v>
      </c>
    </row>
    <row r="85" spans="1:15" x14ac:dyDescent="0.25">
      <c r="A85" s="71" t="s">
        <v>482</v>
      </c>
      <c r="B85" s="82"/>
      <c r="C85" s="74">
        <v>0</v>
      </c>
      <c r="D85" s="74">
        <v>-30</v>
      </c>
      <c r="E85" s="74">
        <v>735.79</v>
      </c>
      <c r="F85" s="74">
        <v>13.7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719.49</v>
      </c>
    </row>
    <row r="86" spans="1:15" x14ac:dyDescent="0.25">
      <c r="A86" s="71" t="s">
        <v>483</v>
      </c>
      <c r="B86" s="82"/>
      <c r="C86" s="74">
        <v>0</v>
      </c>
      <c r="D86" s="74">
        <v>1590</v>
      </c>
      <c r="E86" s="74">
        <v>530</v>
      </c>
      <c r="F86" s="74">
        <v>530</v>
      </c>
      <c r="G86" s="74">
        <v>530</v>
      </c>
      <c r="H86" s="74">
        <v>530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3710</v>
      </c>
    </row>
    <row r="87" spans="1:15" x14ac:dyDescent="0.25">
      <c r="A87" s="71" t="s">
        <v>105</v>
      </c>
      <c r="B87" s="82"/>
      <c r="C87" s="74">
        <v>27.45</v>
      </c>
      <c r="D87" s="74">
        <v>66.239999999999995</v>
      </c>
      <c r="E87" s="74">
        <v>34.18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127.87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-123.09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-123.09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216</v>
      </c>
      <c r="G89" s="74">
        <v>0</v>
      </c>
      <c r="H89" s="74">
        <v>112.04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328.04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36438.480000000003</v>
      </c>
      <c r="D95" s="74">
        <v>22562.48</v>
      </c>
      <c r="E95" s="74">
        <v>22252.240000000002</v>
      </c>
      <c r="F95" s="74">
        <v>20088.759999999998</v>
      </c>
      <c r="G95" s="74">
        <v>25311.24</v>
      </c>
      <c r="H95" s="74">
        <v>31882.080000000002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158535.28000000003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-0.36</v>
      </c>
      <c r="D97" s="74">
        <v>1561.76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1561.4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225961.33000000002</v>
      </c>
      <c r="D111" s="74">
        <v>205971.21</v>
      </c>
      <c r="E111" s="74">
        <v>234477.53000000006</v>
      </c>
      <c r="F111" s="74">
        <v>203525.61000000004</v>
      </c>
      <c r="G111" s="74">
        <v>198898.08</v>
      </c>
      <c r="H111" s="74">
        <v>213785.88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1282619.6399999997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5802.86</v>
      </c>
      <c r="D114" s="74">
        <v>5778.77</v>
      </c>
      <c r="E114" s="74">
        <v>5963.92</v>
      </c>
      <c r="F114" s="74">
        <v>13063.91</v>
      </c>
      <c r="G114" s="74">
        <v>13256.61</v>
      </c>
      <c r="H114" s="74">
        <v>13049.89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56915.960000000006</v>
      </c>
    </row>
    <row r="115" spans="1:15" x14ac:dyDescent="0.25">
      <c r="A115" s="71" t="s">
        <v>130</v>
      </c>
      <c r="B115" s="74"/>
      <c r="C115" s="74">
        <v>7069.22</v>
      </c>
      <c r="D115" s="74">
        <v>8015.09</v>
      </c>
      <c r="E115" s="74">
        <v>8631.07</v>
      </c>
      <c r="F115" s="74">
        <v>11367.59</v>
      </c>
      <c r="G115" s="74">
        <v>12566.84</v>
      </c>
      <c r="H115" s="74">
        <v>11076.74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58726.549999999996</v>
      </c>
    </row>
    <row r="116" spans="1:15" x14ac:dyDescent="0.25">
      <c r="A116" s="71" t="s">
        <v>131</v>
      </c>
      <c r="B116" s="74"/>
      <c r="C116" s="74">
        <v>0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30</v>
      </c>
      <c r="E118" s="74">
        <v>0</v>
      </c>
      <c r="F118" s="74">
        <v>-50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-20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-5211.22</v>
      </c>
      <c r="D122" s="74">
        <v>-4903.25</v>
      </c>
      <c r="E122" s="74">
        <v>-10321.85</v>
      </c>
      <c r="F122" s="74">
        <v>-12282.67</v>
      </c>
      <c r="G122" s="74">
        <v>-13195.27</v>
      </c>
      <c r="H122" s="74">
        <v>-10381.82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-56296.079999999994</v>
      </c>
    </row>
    <row r="123" spans="1:15" x14ac:dyDescent="0.25">
      <c r="A123" s="71" t="s">
        <v>136</v>
      </c>
      <c r="B123" s="74"/>
      <c r="C123" s="74">
        <v>79.8</v>
      </c>
      <c r="D123" s="74">
        <v>-879.74</v>
      </c>
      <c r="E123" s="74">
        <v>-315.20999999999998</v>
      </c>
      <c r="F123" s="74">
        <v>-779.44</v>
      </c>
      <c r="G123" s="74">
        <v>-198.57</v>
      </c>
      <c r="H123" s="74">
        <v>3.33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-2089.8300000000004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-94.51</v>
      </c>
      <c r="H124" s="74">
        <v>-98.28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-192.79000000000002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4745.6000000000004</v>
      </c>
      <c r="D126" s="74">
        <v>2199.62</v>
      </c>
      <c r="E126" s="74">
        <v>7381.06</v>
      </c>
      <c r="F126" s="74">
        <v>3704.37</v>
      </c>
      <c r="G126" s="74">
        <v>4155.05</v>
      </c>
      <c r="H126" s="74">
        <v>3757.39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25943.09</v>
      </c>
    </row>
    <row r="127" spans="1:15" x14ac:dyDescent="0.25">
      <c r="A127" s="71" t="s">
        <v>489</v>
      </c>
      <c r="B127" s="74"/>
      <c r="C127" s="74">
        <v>2379.9</v>
      </c>
      <c r="D127" s="74">
        <v>343.87</v>
      </c>
      <c r="E127" s="74">
        <v>5651.37</v>
      </c>
      <c r="F127" s="74">
        <v>3522.55</v>
      </c>
      <c r="G127" s="74">
        <v>4031.56</v>
      </c>
      <c r="H127" s="74">
        <v>3095.42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19024.669999999998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-2524.6999999999998</v>
      </c>
      <c r="D129" s="74">
        <v>-3499.22</v>
      </c>
      <c r="E129" s="74">
        <v>-4780.5200000000004</v>
      </c>
      <c r="F129" s="74">
        <v>-3266.17</v>
      </c>
      <c r="G129" s="74">
        <v>-12449.98</v>
      </c>
      <c r="H129" s="74">
        <v>-4225.03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-30745.62</v>
      </c>
    </row>
    <row r="130" spans="1:16" x14ac:dyDescent="0.25">
      <c r="A130" s="71" t="s">
        <v>139</v>
      </c>
      <c r="B130" s="74"/>
      <c r="C130" s="74">
        <v>3012.55</v>
      </c>
      <c r="D130" s="74">
        <v>0</v>
      </c>
      <c r="E130" s="74">
        <v>379.69</v>
      </c>
      <c r="F130" s="74">
        <v>2311.44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5703.68</v>
      </c>
    </row>
    <row r="131" spans="1:16" x14ac:dyDescent="0.25">
      <c r="A131" s="71" t="s">
        <v>140</v>
      </c>
      <c r="C131" s="83">
        <v>3132.9</v>
      </c>
      <c r="D131" s="83">
        <v>0</v>
      </c>
      <c r="E131" s="83">
        <v>633.97</v>
      </c>
      <c r="F131" s="83">
        <v>2310.89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6077.76</v>
      </c>
      <c r="P131" s="86"/>
    </row>
    <row r="132" spans="1:16" x14ac:dyDescent="0.25">
      <c r="A132" s="71" t="s">
        <v>141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6" x14ac:dyDescent="0.25">
      <c r="A133" s="71" t="s">
        <v>142</v>
      </c>
      <c r="C133" s="74">
        <v>18486.91</v>
      </c>
      <c r="D133" s="74">
        <v>7085.1400000000031</v>
      </c>
      <c r="E133" s="74">
        <v>13223.5</v>
      </c>
      <c r="F133" s="74">
        <v>19902.469999999998</v>
      </c>
      <c r="G133" s="74">
        <v>8071.7300000000032</v>
      </c>
      <c r="H133" s="74">
        <v>16277.64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83047.39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644</v>
      </c>
      <c r="D138" s="74">
        <v>596</v>
      </c>
      <c r="E138" s="74">
        <v>770</v>
      </c>
      <c r="F138" s="74">
        <v>736</v>
      </c>
      <c r="G138" s="74">
        <v>632</v>
      </c>
      <c r="H138" s="74">
        <v>720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4098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-1924.88</v>
      </c>
      <c r="D142" s="74">
        <v>-1924.88</v>
      </c>
      <c r="E142" s="74">
        <v>-1924.88</v>
      </c>
      <c r="F142" s="74">
        <v>-1924.88</v>
      </c>
      <c r="G142" s="74">
        <v>-1924.88</v>
      </c>
      <c r="H142" s="74">
        <v>-1924.88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-11549.280000000002</v>
      </c>
    </row>
    <row r="143" spans="1:16" x14ac:dyDescent="0.25">
      <c r="A143" s="71" t="s">
        <v>492</v>
      </c>
      <c r="B143" s="74"/>
      <c r="C143" s="74">
        <v>-5936</v>
      </c>
      <c r="D143" s="74">
        <v>-742</v>
      </c>
      <c r="E143" s="74">
        <v>-10759</v>
      </c>
      <c r="F143" s="74">
        <v>0</v>
      </c>
      <c r="G143" s="74">
        <v>-5565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-23002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684.73</v>
      </c>
      <c r="D145" s="74">
        <v>744.31</v>
      </c>
      <c r="E145" s="74">
        <v>0</v>
      </c>
      <c r="F145" s="74">
        <v>0</v>
      </c>
      <c r="G145" s="74">
        <v>0</v>
      </c>
      <c r="H145" s="74">
        <v>-1429.04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-6532.15</v>
      </c>
      <c r="D148" s="81">
        <v>-1326.5700000000002</v>
      </c>
      <c r="E148" s="81">
        <v>-11913.880000000001</v>
      </c>
      <c r="F148" s="81">
        <v>-1188.8800000000001</v>
      </c>
      <c r="G148" s="81">
        <v>-6857.88</v>
      </c>
      <c r="H148" s="81">
        <v>-2633.92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-30453.280000000002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237916.09000000003</v>
      </c>
      <c r="D150" s="74">
        <v>211729.78</v>
      </c>
      <c r="E150" s="74">
        <v>235787.15000000005</v>
      </c>
      <c r="F150" s="74">
        <v>222239.20000000004</v>
      </c>
      <c r="G150" s="74">
        <v>200111.93</v>
      </c>
      <c r="H150" s="76">
        <v>227429.6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1335213.7499999998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512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800</v>
      </c>
      <c r="D157" s="74">
        <v>800</v>
      </c>
      <c r="E157" s="74">
        <v>800</v>
      </c>
      <c r="F157" s="74">
        <v>800</v>
      </c>
      <c r="G157" s="74">
        <v>800</v>
      </c>
      <c r="H157" s="74">
        <v>800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4800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506.5</v>
      </c>
      <c r="D162" s="74">
        <v>415</v>
      </c>
      <c r="E162" s="74">
        <v>0</v>
      </c>
      <c r="F162" s="74">
        <v>440</v>
      </c>
      <c r="G162" s="74">
        <v>410</v>
      </c>
      <c r="H162" s="74">
        <v>577.5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2349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2665.44</v>
      </c>
      <c r="D167" s="74">
        <v>2134.61</v>
      </c>
      <c r="E167" s="74">
        <v>2652.29</v>
      </c>
      <c r="F167" s="74">
        <v>1704.2</v>
      </c>
      <c r="G167" s="74">
        <v>2659.02</v>
      </c>
      <c r="H167" s="74">
        <v>2502.04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14317.600000000002</v>
      </c>
    </row>
    <row r="168" spans="1:15" x14ac:dyDescent="0.25">
      <c r="A168" s="71" t="s">
        <v>168</v>
      </c>
      <c r="B168" s="74"/>
      <c r="C168" s="74">
        <v>89.32</v>
      </c>
      <c r="D168" s="74">
        <v>53.74</v>
      </c>
      <c r="E168" s="74">
        <v>15</v>
      </c>
      <c r="F168" s="74">
        <v>769.04</v>
      </c>
      <c r="G168" s="74">
        <v>74</v>
      </c>
      <c r="H168" s="74">
        <v>30.76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1031.8599999999999</v>
      </c>
    </row>
    <row r="169" spans="1:15" x14ac:dyDescent="0.25">
      <c r="A169" s="71" t="s">
        <v>169</v>
      </c>
      <c r="B169" s="74"/>
      <c r="C169" s="74">
        <v>146.19</v>
      </c>
      <c r="D169" s="74">
        <v>563.42999999999995</v>
      </c>
      <c r="E169" s="74">
        <v>171.51</v>
      </c>
      <c r="F169" s="74">
        <v>70</v>
      </c>
      <c r="G169" s="74">
        <v>165.09</v>
      </c>
      <c r="H169" s="74">
        <v>213.52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1329.7399999999998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266</v>
      </c>
      <c r="E173" s="74">
        <v>0</v>
      </c>
      <c r="F173" s="74">
        <v>448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714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112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112</v>
      </c>
    </row>
    <row r="176" spans="1:15" x14ac:dyDescent="0.25">
      <c r="A176" s="71" t="s">
        <v>176</v>
      </c>
      <c r="B176" s="74"/>
      <c r="C176" s="74">
        <v>0</v>
      </c>
      <c r="D176" s="74">
        <v>0</v>
      </c>
      <c r="E176" s="74">
        <v>0</v>
      </c>
      <c r="F176" s="74">
        <v>0</v>
      </c>
      <c r="G176" s="74">
        <v>10</v>
      </c>
      <c r="H176" s="74">
        <v>-13.1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-3.0999999999999996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2204.04</v>
      </c>
      <c r="D178" s="74">
        <v>1764.91</v>
      </c>
      <c r="E178" s="74">
        <v>2247</v>
      </c>
      <c r="F178" s="74">
        <v>2083.34</v>
      </c>
      <c r="G178" s="74">
        <v>2401.5700000000002</v>
      </c>
      <c r="H178" s="74">
        <v>2387.6799999999998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13088.54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308</v>
      </c>
      <c r="E185" s="74">
        <v>112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420</v>
      </c>
    </row>
    <row r="186" spans="1:15" x14ac:dyDescent="0.25">
      <c r="A186" s="71" t="s">
        <v>186</v>
      </c>
      <c r="B186" s="74"/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5080.83</v>
      </c>
      <c r="D188" s="74">
        <v>6067.67</v>
      </c>
      <c r="E188" s="74">
        <v>6256.68</v>
      </c>
      <c r="F188" s="74">
        <v>6256.68</v>
      </c>
      <c r="G188" s="74">
        <v>6256.68</v>
      </c>
      <c r="H188" s="74">
        <v>6256.68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36175.22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5567.45</v>
      </c>
      <c r="E190" s="74">
        <v>4559.3</v>
      </c>
      <c r="F190" s="74">
        <v>4896.1400000000003</v>
      </c>
      <c r="G190" s="74">
        <v>5281.23</v>
      </c>
      <c r="H190" s="74">
        <v>4499.8500000000004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24803.97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4655.1499999999996</v>
      </c>
      <c r="D192" s="74">
        <v>0</v>
      </c>
      <c r="E192" s="74">
        <v>4070.49</v>
      </c>
      <c r="F192" s="74">
        <v>4571.6899999999996</v>
      </c>
      <c r="G192" s="74">
        <v>4220.46</v>
      </c>
      <c r="H192" s="74">
        <v>4172.09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21689.879999999997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23210.83</v>
      </c>
      <c r="D194" s="74">
        <v>12652.8</v>
      </c>
      <c r="E194" s="74">
        <v>14150.08</v>
      </c>
      <c r="F194" s="74">
        <v>15622</v>
      </c>
      <c r="G194" s="74">
        <v>16378.14</v>
      </c>
      <c r="H194" s="74">
        <v>14853.77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96867.62000000001</v>
      </c>
    </row>
    <row r="195" spans="1:15" x14ac:dyDescent="0.25">
      <c r="A195" s="71" t="s">
        <v>495</v>
      </c>
      <c r="B195" s="74"/>
      <c r="C195" s="74">
        <v>2842.44</v>
      </c>
      <c r="D195" s="74">
        <v>2351.5</v>
      </c>
      <c r="E195" s="74">
        <v>2861.42</v>
      </c>
      <c r="F195" s="74">
        <v>2480.52</v>
      </c>
      <c r="G195" s="74">
        <v>2562.64</v>
      </c>
      <c r="H195" s="74">
        <v>2814.14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15912.66</v>
      </c>
    </row>
    <row r="196" spans="1:15" x14ac:dyDescent="0.25">
      <c r="A196" s="71" t="s">
        <v>194</v>
      </c>
      <c r="B196" s="74"/>
      <c r="C196" s="74">
        <v>23939.040000000001</v>
      </c>
      <c r="D196" s="74">
        <v>22350.51</v>
      </c>
      <c r="E196" s="74">
        <v>23346.66</v>
      </c>
      <c r="F196" s="74">
        <v>22171.91</v>
      </c>
      <c r="G196" s="74">
        <v>24596.78</v>
      </c>
      <c r="H196" s="74">
        <v>24396.92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140801.82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2451.6799999999998</v>
      </c>
      <c r="D200" s="74">
        <v>2992.83</v>
      </c>
      <c r="E200" s="74">
        <v>3289.48</v>
      </c>
      <c r="F200" s="74">
        <v>3168.94</v>
      </c>
      <c r="G200" s="74">
        <v>2571.17</v>
      </c>
      <c r="H200" s="74">
        <v>2099.41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16573.510000000002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2489.5</v>
      </c>
      <c r="D202" s="74">
        <v>3342.99</v>
      </c>
      <c r="E202" s="74">
        <v>3027.21</v>
      </c>
      <c r="F202" s="74">
        <v>2734.57</v>
      </c>
      <c r="G202" s="74">
        <v>3039.39</v>
      </c>
      <c r="H202" s="74">
        <v>1223.23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15856.89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3243.74</v>
      </c>
      <c r="D204" s="74">
        <v>1465.1</v>
      </c>
      <c r="E204" s="74">
        <v>2222.89</v>
      </c>
      <c r="F204" s="74">
        <v>2240.5</v>
      </c>
      <c r="G204" s="74">
        <v>2987.24</v>
      </c>
      <c r="H204" s="74">
        <v>3137.3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15296.77</v>
      </c>
    </row>
    <row r="205" spans="1:15" x14ac:dyDescent="0.25">
      <c r="A205" s="71" t="s">
        <v>201</v>
      </c>
      <c r="B205" s="74"/>
      <c r="C205" s="74">
        <v>2195.81</v>
      </c>
      <c r="D205" s="74">
        <v>818.15</v>
      </c>
      <c r="E205" s="74">
        <v>103.3</v>
      </c>
      <c r="F205" s="74">
        <v>299.56</v>
      </c>
      <c r="G205" s="74">
        <v>473.07</v>
      </c>
      <c r="H205" s="74">
        <v>1227.81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5117.7000000000007</v>
      </c>
    </row>
    <row r="206" spans="1:15" x14ac:dyDescent="0.25">
      <c r="A206" s="71" t="s">
        <v>202</v>
      </c>
      <c r="B206" s="74"/>
      <c r="C206" s="74">
        <v>0</v>
      </c>
      <c r="D206" s="74">
        <v>67.77</v>
      </c>
      <c r="E206" s="74">
        <v>47.69</v>
      </c>
      <c r="F206" s="74">
        <v>0</v>
      </c>
      <c r="G206" s="74">
        <v>0</v>
      </c>
      <c r="H206" s="74">
        <v>17.47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132.93</v>
      </c>
    </row>
    <row r="207" spans="1:15" x14ac:dyDescent="0.25">
      <c r="A207" s="71" t="s">
        <v>203</v>
      </c>
      <c r="B207" s="74"/>
      <c r="C207" s="74">
        <v>1857.17</v>
      </c>
      <c r="D207" s="74">
        <v>1232.92</v>
      </c>
      <c r="E207" s="74">
        <v>1640.91</v>
      </c>
      <c r="F207" s="74">
        <v>611.23</v>
      </c>
      <c r="G207" s="74">
        <v>127.34</v>
      </c>
      <c r="H207" s="74">
        <v>951.3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6420.87</v>
      </c>
    </row>
    <row r="208" spans="1:15" x14ac:dyDescent="0.25">
      <c r="A208" s="71" t="s">
        <v>204</v>
      </c>
      <c r="B208" s="74"/>
      <c r="C208" s="74">
        <v>59.95</v>
      </c>
      <c r="D208" s="74">
        <v>0</v>
      </c>
      <c r="E208" s="74">
        <v>0</v>
      </c>
      <c r="F208" s="74">
        <v>0</v>
      </c>
      <c r="G208" s="74">
        <v>0</v>
      </c>
      <c r="H208" s="74">
        <v>540.02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599.97</v>
      </c>
    </row>
    <row r="209" spans="1:15" x14ac:dyDescent="0.25">
      <c r="A209" s="71" t="s">
        <v>205</v>
      </c>
      <c r="B209" s="74"/>
      <c r="C209" s="74">
        <v>1123.47</v>
      </c>
      <c r="D209" s="74">
        <v>654.85</v>
      </c>
      <c r="E209" s="74">
        <v>717.86</v>
      </c>
      <c r="F209" s="74">
        <v>364.75</v>
      </c>
      <c r="G209" s="74">
        <v>1387.46</v>
      </c>
      <c r="H209" s="74">
        <v>804.31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5052.7000000000007</v>
      </c>
    </row>
    <row r="210" spans="1:15" x14ac:dyDescent="0.25">
      <c r="A210" s="71" t="s">
        <v>206</v>
      </c>
      <c r="B210" s="74"/>
      <c r="C210" s="74">
        <v>50.17</v>
      </c>
      <c r="D210" s="74">
        <v>1220.58</v>
      </c>
      <c r="E210" s="74">
        <v>19.29</v>
      </c>
      <c r="F210" s="74">
        <v>792.71</v>
      </c>
      <c r="G210" s="74">
        <v>282.83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2365.58</v>
      </c>
    </row>
    <row r="211" spans="1:15" x14ac:dyDescent="0.25">
      <c r="A211" s="71" t="s">
        <v>207</v>
      </c>
      <c r="B211" s="74"/>
      <c r="C211" s="74">
        <v>43302.5</v>
      </c>
      <c r="D211" s="74">
        <v>44206.31</v>
      </c>
      <c r="E211" s="74">
        <v>51792.29</v>
      </c>
      <c r="F211" s="74">
        <v>38474.76</v>
      </c>
      <c r="G211" s="74">
        <v>45484.94</v>
      </c>
      <c r="H211" s="74">
        <v>53289.79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276550.59000000003</v>
      </c>
    </row>
    <row r="212" spans="1:15" x14ac:dyDescent="0.25">
      <c r="A212" s="71" t="s">
        <v>208</v>
      </c>
      <c r="B212" s="74"/>
      <c r="C212" s="74">
        <v>1284.32</v>
      </c>
      <c r="D212" s="74">
        <v>731.04</v>
      </c>
      <c r="E212" s="74">
        <v>921.95</v>
      </c>
      <c r="F212" s="74">
        <v>846.5</v>
      </c>
      <c r="G212" s="74">
        <v>545.57000000000005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4329.38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767.56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767.56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308.22000000000003</v>
      </c>
      <c r="D215" s="74">
        <v>1270.99</v>
      </c>
      <c r="E215" s="74">
        <v>700.75</v>
      </c>
      <c r="F215" s="74">
        <v>49.13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2329.09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144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144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587.32000000000005</v>
      </c>
      <c r="D221" s="74">
        <v>700.42</v>
      </c>
      <c r="E221" s="74">
        <v>5496.28</v>
      </c>
      <c r="F221" s="74">
        <v>768</v>
      </c>
      <c r="G221" s="74">
        <v>996.08</v>
      </c>
      <c r="H221" s="74">
        <v>238.48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8786.58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501.19</v>
      </c>
      <c r="D225" s="74">
        <v>1432.75</v>
      </c>
      <c r="E225" s="74">
        <v>0</v>
      </c>
      <c r="F225" s="74">
        <v>498.5</v>
      </c>
      <c r="G225" s="74">
        <v>763.2</v>
      </c>
      <c r="H225" s="74">
        <v>286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3481.6400000000003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972.15</v>
      </c>
      <c r="D227" s="74">
        <v>2684.07</v>
      </c>
      <c r="E227" s="74">
        <v>6075.17</v>
      </c>
      <c r="F227" s="74">
        <v>3013.2</v>
      </c>
      <c r="G227" s="74">
        <v>1368.38</v>
      </c>
      <c r="H227" s="74">
        <v>-1397.85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12715.12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126566.97</v>
      </c>
      <c r="D244" s="74">
        <v>118260.39</v>
      </c>
      <c r="E244" s="74">
        <v>138065.06000000003</v>
      </c>
      <c r="F244" s="74">
        <v>116287.87000000001</v>
      </c>
      <c r="G244" s="74">
        <v>125842.28000000003</v>
      </c>
      <c r="H244" s="74">
        <v>125909.11999999998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750931.69000000006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11559.07</v>
      </c>
      <c r="D247" s="74">
        <v>9109.06</v>
      </c>
      <c r="E247" s="74">
        <v>10732.38</v>
      </c>
      <c r="F247" s="74">
        <v>10687.83</v>
      </c>
      <c r="G247" s="74">
        <v>11703.82</v>
      </c>
      <c r="H247" s="74">
        <v>11755.68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65547.839999999997</v>
      </c>
    </row>
    <row r="248" spans="1:16" x14ac:dyDescent="0.25">
      <c r="A248" s="71" t="s">
        <v>243</v>
      </c>
      <c r="B248" s="74"/>
      <c r="C248" s="74">
        <v>120</v>
      </c>
      <c r="D248" s="74">
        <v>359.85</v>
      </c>
      <c r="E248" s="74">
        <v>728.13</v>
      </c>
      <c r="F248" s="74">
        <v>964.29</v>
      </c>
      <c r="G248" s="74">
        <v>120</v>
      </c>
      <c r="H248" s="74">
        <v>2642.79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4935.0599999999995</v>
      </c>
    </row>
    <row r="249" spans="1:16" x14ac:dyDescent="0.25">
      <c r="A249" s="71" t="s">
        <v>244</v>
      </c>
      <c r="B249" s="74"/>
      <c r="C249" s="74">
        <v>430.19</v>
      </c>
      <c r="D249" s="74">
        <v>545.21</v>
      </c>
      <c r="E249" s="74">
        <v>328.45</v>
      </c>
      <c r="F249" s="74">
        <v>412.28</v>
      </c>
      <c r="G249" s="74">
        <v>367.68</v>
      </c>
      <c r="H249" s="74">
        <v>612.20000000000005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2696.01</v>
      </c>
    </row>
    <row r="250" spans="1:16" x14ac:dyDescent="0.25">
      <c r="A250" s="71" t="s">
        <v>245</v>
      </c>
      <c r="B250" s="74"/>
      <c r="C250" s="74">
        <v>830.24</v>
      </c>
      <c r="D250" s="74">
        <v>492.92</v>
      </c>
      <c r="E250" s="74">
        <v>935.21</v>
      </c>
      <c r="F250" s="74">
        <v>2174.41</v>
      </c>
      <c r="G250" s="74">
        <v>1157.2</v>
      </c>
      <c r="H250" s="74">
        <v>805.59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6395.57</v>
      </c>
    </row>
    <row r="251" spans="1:16" x14ac:dyDescent="0.25">
      <c r="A251" s="71" t="s">
        <v>246</v>
      </c>
      <c r="B251" s="74"/>
      <c r="C251" s="74">
        <v>10534.37</v>
      </c>
      <c r="D251" s="74">
        <v>10396.129999999999</v>
      </c>
      <c r="E251" s="74">
        <v>13999.38</v>
      </c>
      <c r="F251" s="74">
        <v>13392.65</v>
      </c>
      <c r="G251" s="74">
        <v>12518.91</v>
      </c>
      <c r="H251" s="74">
        <v>14822.62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75664.06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972.77</v>
      </c>
      <c r="D253" s="74">
        <v>264.12</v>
      </c>
      <c r="E253" s="74">
        <v>561</v>
      </c>
      <c r="F253" s="74">
        <v>1004.39</v>
      </c>
      <c r="G253" s="74">
        <v>399.22</v>
      </c>
      <c r="H253" s="74">
        <v>494.58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3696.08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384</v>
      </c>
      <c r="D259" s="74">
        <v>0</v>
      </c>
      <c r="E259" s="74">
        <v>0</v>
      </c>
      <c r="F259" s="74">
        <v>0</v>
      </c>
      <c r="G259" s="74">
        <v>96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480</v>
      </c>
    </row>
    <row r="260" spans="1:16" x14ac:dyDescent="0.25">
      <c r="A260" s="71" t="s">
        <v>255</v>
      </c>
      <c r="C260" s="83">
        <v>209.72</v>
      </c>
      <c r="D260" s="83">
        <v>209.72</v>
      </c>
      <c r="E260" s="83">
        <v>209.72</v>
      </c>
      <c r="F260" s="83">
        <v>235.39</v>
      </c>
      <c r="G260" s="83">
        <v>644.15</v>
      </c>
      <c r="H260" s="83">
        <v>32.28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1540.9799999999998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25040.360000000004</v>
      </c>
      <c r="D262" s="74">
        <v>21377.01</v>
      </c>
      <c r="E262" s="74">
        <v>27494.269999999997</v>
      </c>
      <c r="F262" s="74">
        <v>28871.239999999998</v>
      </c>
      <c r="G262" s="74">
        <v>27006.980000000003</v>
      </c>
      <c r="H262" s="74">
        <v>31165.740000000005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160955.59999999998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2558</v>
      </c>
      <c r="D265" s="74">
        <v>2218</v>
      </c>
      <c r="E265" s="74">
        <v>2422</v>
      </c>
      <c r="F265" s="74">
        <v>2298</v>
      </c>
      <c r="G265" s="74">
        <v>2324</v>
      </c>
      <c r="H265" s="74">
        <v>1791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13611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91.34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91.34</v>
      </c>
    </row>
    <row r="267" spans="1:16" x14ac:dyDescent="0.25">
      <c r="A267" s="71" t="s">
        <v>260</v>
      </c>
      <c r="B267" s="74"/>
      <c r="C267" s="74">
        <v>857.55</v>
      </c>
      <c r="D267" s="74">
        <v>2523.85</v>
      </c>
      <c r="E267" s="74">
        <v>3412.48</v>
      </c>
      <c r="F267" s="74">
        <v>830.82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7624.6999999999989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1041.3599999999999</v>
      </c>
      <c r="D272" s="74">
        <v>2687.49</v>
      </c>
      <c r="E272" s="74">
        <v>3122.34</v>
      </c>
      <c r="F272" s="74">
        <v>847.6</v>
      </c>
      <c r="G272" s="74">
        <v>0</v>
      </c>
      <c r="H272" s="74">
        <v>297.3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7996.09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1458.33</v>
      </c>
      <c r="D276" s="74">
        <v>0</v>
      </c>
      <c r="E276" s="74">
        <v>1365.58</v>
      </c>
      <c r="F276" s="74">
        <v>200.54</v>
      </c>
      <c r="G276" s="74">
        <v>5.46</v>
      </c>
      <c r="H276" s="74">
        <v>6.9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3036.81</v>
      </c>
    </row>
    <row r="277" spans="1:15" x14ac:dyDescent="0.25">
      <c r="A277" s="71" t="s">
        <v>270</v>
      </c>
      <c r="B277" s="74"/>
      <c r="C277" s="74">
        <v>0</v>
      </c>
      <c r="D277" s="74">
        <v>355.83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355.83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0</v>
      </c>
      <c r="D283" s="74">
        <v>92.56</v>
      </c>
      <c r="E283" s="74">
        <v>109.62</v>
      </c>
      <c r="F283" s="74">
        <v>126.35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328.53</v>
      </c>
    </row>
    <row r="284" spans="1:15" x14ac:dyDescent="0.25">
      <c r="A284" s="71" t="s">
        <v>277</v>
      </c>
      <c r="B284" s="74"/>
      <c r="C284" s="74">
        <v>30.91</v>
      </c>
      <c r="D284" s="74">
        <v>373.4</v>
      </c>
      <c r="E284" s="74">
        <v>22.59</v>
      </c>
      <c r="F284" s="74">
        <v>144</v>
      </c>
      <c r="G284" s="74">
        <v>0</v>
      </c>
      <c r="H284" s="74">
        <v>66.87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637.77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145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145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</row>
    <row r="291" spans="1:15" x14ac:dyDescent="0.25">
      <c r="A291" s="71" t="s">
        <v>284</v>
      </c>
      <c r="B291" s="74"/>
      <c r="C291" s="74">
        <v>2554.67</v>
      </c>
      <c r="D291" s="74">
        <v>1554.23</v>
      </c>
      <c r="E291" s="74">
        <v>3686.72</v>
      </c>
      <c r="F291" s="74">
        <v>5451.06</v>
      </c>
      <c r="G291" s="74">
        <v>5516.19</v>
      </c>
      <c r="H291" s="74">
        <v>4686.71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23449.579999999998</v>
      </c>
    </row>
    <row r="292" spans="1:15" x14ac:dyDescent="0.25">
      <c r="A292" s="71" t="s">
        <v>285</v>
      </c>
      <c r="B292" s="74"/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</row>
    <row r="293" spans="1:15" x14ac:dyDescent="0.25">
      <c r="A293" s="71" t="s">
        <v>286</v>
      </c>
      <c r="B293" s="74"/>
      <c r="C293" s="74">
        <v>3251.8</v>
      </c>
      <c r="D293" s="74">
        <v>2503.13</v>
      </c>
      <c r="E293" s="74">
        <v>4697.8599999999997</v>
      </c>
      <c r="F293" s="74">
        <v>4790.6000000000004</v>
      </c>
      <c r="G293" s="74">
        <v>5264.71</v>
      </c>
      <c r="H293" s="74">
        <v>4002.96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24511.06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219.08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219.08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1123.03</v>
      </c>
      <c r="D301" s="74">
        <v>0</v>
      </c>
      <c r="E301" s="74">
        <v>902.99</v>
      </c>
      <c r="F301" s="74">
        <v>1341.6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3367.62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1151.23</v>
      </c>
      <c r="D303" s="74">
        <v>0</v>
      </c>
      <c r="E303" s="74">
        <v>1228.81</v>
      </c>
      <c r="F303" s="74">
        <v>1213.48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3593.52</v>
      </c>
    </row>
    <row r="304" spans="1:15" x14ac:dyDescent="0.25">
      <c r="A304" s="71" t="s">
        <v>499</v>
      </c>
      <c r="B304" s="74"/>
      <c r="C304" s="74">
        <v>1657.41</v>
      </c>
      <c r="D304" s="74">
        <v>1251.3900000000001</v>
      </c>
      <c r="E304" s="74">
        <v>1632.16</v>
      </c>
      <c r="F304" s="74">
        <v>1041.31</v>
      </c>
      <c r="G304" s="74">
        <v>1447.33</v>
      </c>
      <c r="H304" s="74">
        <v>1667.51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8697.11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6" x14ac:dyDescent="0.25">
      <c r="A306" s="71" t="s">
        <v>501</v>
      </c>
      <c r="B306" s="74"/>
      <c r="C306" s="74">
        <v>846.38</v>
      </c>
      <c r="D306" s="74">
        <v>684.78</v>
      </c>
      <c r="E306" s="74">
        <v>1174.6300000000001</v>
      </c>
      <c r="F306" s="74">
        <v>977.68</v>
      </c>
      <c r="G306" s="74">
        <v>1394.81</v>
      </c>
      <c r="H306" s="74">
        <v>1362.49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6440.7699999999995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16530.669999999998</v>
      </c>
      <c r="D321" s="74">
        <v>14389.660000000002</v>
      </c>
      <c r="E321" s="74">
        <v>23996.860000000004</v>
      </c>
      <c r="F321" s="74">
        <v>19263.040000000005</v>
      </c>
      <c r="G321" s="74">
        <v>15952.5</v>
      </c>
      <c r="H321" s="74">
        <v>13973.08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104105.81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2486.1999999999998</v>
      </c>
      <c r="D324" s="74">
        <v>1847.63</v>
      </c>
      <c r="E324" s="74">
        <v>2245.8000000000002</v>
      </c>
      <c r="F324" s="74">
        <v>1569</v>
      </c>
      <c r="G324" s="74">
        <v>2128.98</v>
      </c>
      <c r="H324" s="74">
        <v>2145.11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12422.720000000001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68.319999999999993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68.319999999999993</v>
      </c>
    </row>
    <row r="326" spans="1:16" x14ac:dyDescent="0.25">
      <c r="A326" s="71" t="s">
        <v>314</v>
      </c>
      <c r="B326" s="74"/>
      <c r="C326" s="74">
        <v>438.19</v>
      </c>
      <c r="D326" s="74">
        <v>0</v>
      </c>
      <c r="E326" s="74">
        <v>1418.68</v>
      </c>
      <c r="F326" s="74">
        <v>413.71</v>
      </c>
      <c r="G326" s="74">
        <v>516.91</v>
      </c>
      <c r="H326" s="74">
        <v>403.37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3190.8599999999997</v>
      </c>
    </row>
    <row r="327" spans="1:16" x14ac:dyDescent="0.25">
      <c r="A327" s="71" t="s">
        <v>315</v>
      </c>
      <c r="B327" s="74"/>
      <c r="C327" s="74">
        <v>279.62</v>
      </c>
      <c r="D327" s="74">
        <v>0</v>
      </c>
      <c r="E327" s="74">
        <v>777.7</v>
      </c>
      <c r="F327" s="74">
        <v>264</v>
      </c>
      <c r="G327" s="74">
        <v>272.8</v>
      </c>
      <c r="H327" s="74">
        <v>257.39999999999998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1851.52</v>
      </c>
    </row>
    <row r="328" spans="1:16" x14ac:dyDescent="0.25">
      <c r="A328" s="71" t="s">
        <v>316</v>
      </c>
      <c r="B328" s="74"/>
      <c r="C328" s="74">
        <v>364.29</v>
      </c>
      <c r="D328" s="74">
        <v>79.87</v>
      </c>
      <c r="E328" s="74">
        <v>472.8</v>
      </c>
      <c r="F328" s="74">
        <v>41.24</v>
      </c>
      <c r="G328" s="74">
        <v>363.09</v>
      </c>
      <c r="H328" s="74">
        <v>324.22000000000003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1645.51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455.63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455.63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97.2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97.2</v>
      </c>
    </row>
    <row r="336" spans="1:16" x14ac:dyDescent="0.25">
      <c r="A336" s="71" t="s">
        <v>324</v>
      </c>
      <c r="C336" s="83">
        <v>0</v>
      </c>
      <c r="D336" s="83">
        <v>0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3568.2999999999997</v>
      </c>
      <c r="D338" s="74">
        <v>2024.7</v>
      </c>
      <c r="E338" s="74">
        <v>4914.9800000000005</v>
      </c>
      <c r="F338" s="74">
        <v>2743.58</v>
      </c>
      <c r="G338" s="74">
        <v>3281.78</v>
      </c>
      <c r="H338" s="74">
        <v>3198.42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19731.760000000002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3496.53</v>
      </c>
      <c r="D341" s="74">
        <v>4246.0600000000004</v>
      </c>
      <c r="E341" s="74">
        <v>5105.24</v>
      </c>
      <c r="F341" s="74">
        <v>4954.6899999999996</v>
      </c>
      <c r="G341" s="74">
        <v>5365.35</v>
      </c>
      <c r="H341" s="74">
        <v>4829.03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27996.9</v>
      </c>
    </row>
    <row r="342" spans="1:16" x14ac:dyDescent="0.25">
      <c r="A342" s="71" t="s">
        <v>329</v>
      </c>
      <c r="B342" s="74"/>
      <c r="C342" s="74">
        <v>363.88</v>
      </c>
      <c r="D342" s="74">
        <v>1073.6600000000001</v>
      </c>
      <c r="E342" s="74">
        <v>1216.6600000000001</v>
      </c>
      <c r="F342" s="74">
        <v>204.36</v>
      </c>
      <c r="G342" s="74">
        <v>895.64</v>
      </c>
      <c r="H342" s="74">
        <v>1119.8499999999999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4874.0499999999993</v>
      </c>
    </row>
    <row r="343" spans="1:16" x14ac:dyDescent="0.25">
      <c r="A343" s="71" t="s">
        <v>330</v>
      </c>
      <c r="B343" s="74"/>
      <c r="C343" s="74">
        <v>419.43</v>
      </c>
      <c r="D343" s="74">
        <v>0</v>
      </c>
      <c r="E343" s="74">
        <v>1166.55</v>
      </c>
      <c r="F343" s="74">
        <v>396</v>
      </c>
      <c r="G343" s="74">
        <v>409.2</v>
      </c>
      <c r="H343" s="74">
        <v>386.1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2777.2799999999997</v>
      </c>
    </row>
    <row r="344" spans="1:16" x14ac:dyDescent="0.25">
      <c r="A344" s="71" t="s">
        <v>331</v>
      </c>
      <c r="B344" s="74"/>
      <c r="C344" s="74">
        <v>409.81</v>
      </c>
      <c r="D344" s="74">
        <v>924.55</v>
      </c>
      <c r="E344" s="74">
        <v>574.5</v>
      </c>
      <c r="F344" s="74">
        <v>0</v>
      </c>
      <c r="G344" s="74">
        <v>676.08</v>
      </c>
      <c r="H344" s="74">
        <v>102.99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2687.93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0</v>
      </c>
      <c r="F349" s="74">
        <v>0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0</v>
      </c>
      <c r="D351" s="74">
        <v>0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</row>
    <row r="352" spans="1:16" x14ac:dyDescent="0.25">
      <c r="A352" s="71" t="s">
        <v>339</v>
      </c>
      <c r="C352" s="83">
        <v>0</v>
      </c>
      <c r="D352" s="83">
        <v>0</v>
      </c>
      <c r="E352" s="83">
        <v>0</v>
      </c>
      <c r="F352" s="83">
        <v>12.34</v>
      </c>
      <c r="G352" s="83">
        <v>85.49</v>
      </c>
      <c r="H352" s="83">
        <v>48.75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146.57999999999998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4689.6500000000005</v>
      </c>
      <c r="D354" s="74">
        <v>6244.27</v>
      </c>
      <c r="E354" s="74">
        <v>8062.95</v>
      </c>
      <c r="F354" s="74">
        <v>5567.3899999999994</v>
      </c>
      <c r="G354" s="74">
        <v>7431.76</v>
      </c>
      <c r="H354" s="74">
        <v>6486.7199999999993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38482.74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612.72</v>
      </c>
      <c r="D358" s="74">
        <v>2536.52</v>
      </c>
      <c r="E358" s="74">
        <v>2736.98</v>
      </c>
      <c r="F358" s="74">
        <v>2728.01</v>
      </c>
      <c r="G358" s="74">
        <v>2809.61</v>
      </c>
      <c r="H358" s="74">
        <v>2909.54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14333.380000000001</v>
      </c>
    </row>
    <row r="359" spans="1:16" x14ac:dyDescent="0.25">
      <c r="A359" s="71" t="s">
        <v>344</v>
      </c>
      <c r="B359" s="74"/>
      <c r="C359" s="74">
        <v>53.83</v>
      </c>
      <c r="D359" s="74">
        <v>990.02</v>
      </c>
      <c r="E359" s="74">
        <v>532.70000000000005</v>
      </c>
      <c r="F359" s="74">
        <v>327.61</v>
      </c>
      <c r="G359" s="74">
        <v>966.03</v>
      </c>
      <c r="H359" s="74">
        <v>1107.68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3977.87</v>
      </c>
    </row>
    <row r="360" spans="1:16" x14ac:dyDescent="0.25">
      <c r="A360" s="71" t="s">
        <v>345</v>
      </c>
      <c r="B360" s="74"/>
      <c r="C360" s="74">
        <v>306.12</v>
      </c>
      <c r="D360" s="74">
        <v>5480.03</v>
      </c>
      <c r="E360" s="74">
        <v>-118.77</v>
      </c>
      <c r="F360" s="74">
        <v>1850.61</v>
      </c>
      <c r="G360" s="74">
        <v>144.72</v>
      </c>
      <c r="H360" s="74">
        <v>580.51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8243.2199999999993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89.44</v>
      </c>
      <c r="D362" s="74">
        <v>0</v>
      </c>
      <c r="E362" s="74">
        <v>0</v>
      </c>
      <c r="F362" s="74">
        <v>89.44</v>
      </c>
      <c r="G362" s="74">
        <v>500</v>
      </c>
      <c r="H362" s="74">
        <v>178.88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857.76</v>
      </c>
    </row>
    <row r="363" spans="1:16" x14ac:dyDescent="0.25">
      <c r="A363" s="71" t="s">
        <v>348</v>
      </c>
      <c r="B363" s="74"/>
      <c r="C363" s="74">
        <v>0</v>
      </c>
      <c r="D363" s="74">
        <v>340</v>
      </c>
      <c r="E363" s="74">
        <v>323</v>
      </c>
      <c r="F363" s="74">
        <v>323</v>
      </c>
      <c r="G363" s="74">
        <v>-323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663</v>
      </c>
    </row>
    <row r="364" spans="1:16" x14ac:dyDescent="0.25">
      <c r="A364" s="71" t="s">
        <v>349</v>
      </c>
      <c r="B364" s="74"/>
      <c r="C364" s="74">
        <v>1709.44</v>
      </c>
      <c r="D364" s="74">
        <v>854.72</v>
      </c>
      <c r="E364" s="74">
        <v>909.19</v>
      </c>
      <c r="F364" s="74">
        <v>909.19</v>
      </c>
      <c r="G364" s="74">
        <v>909.19</v>
      </c>
      <c r="H364" s="74">
        <v>909.19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6200.92</v>
      </c>
    </row>
    <row r="365" spans="1:16" x14ac:dyDescent="0.25">
      <c r="A365" s="71" t="s">
        <v>350</v>
      </c>
      <c r="B365" s="74"/>
      <c r="C365" s="74">
        <v>0</v>
      </c>
      <c r="D365" s="74">
        <v>2748.92</v>
      </c>
      <c r="E365" s="74">
        <v>530.45000000000005</v>
      </c>
      <c r="F365" s="74">
        <v>1546.44</v>
      </c>
      <c r="G365" s="74">
        <v>240.07</v>
      </c>
      <c r="H365" s="74">
        <v>917.27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5983.15</v>
      </c>
    </row>
    <row r="366" spans="1:16" x14ac:dyDescent="0.25">
      <c r="A366" s="71" t="s">
        <v>351</v>
      </c>
      <c r="B366" s="74"/>
      <c r="C366" s="74">
        <v>2725.51</v>
      </c>
      <c r="D366" s="74">
        <v>4495.05</v>
      </c>
      <c r="E366" s="74">
        <v>1889.86</v>
      </c>
      <c r="F366" s="74">
        <v>8460.08</v>
      </c>
      <c r="G366" s="74">
        <v>3032.08</v>
      </c>
      <c r="H366" s="74">
        <v>1647.36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22249.940000000002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0</v>
      </c>
      <c r="D373" s="74">
        <v>0</v>
      </c>
      <c r="E373" s="74">
        <v>100.9</v>
      </c>
      <c r="F373" s="74">
        <v>7.16</v>
      </c>
      <c r="G373" s="74">
        <v>14.99</v>
      </c>
      <c r="H373" s="74">
        <v>-0.01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123.03999999999999</v>
      </c>
    </row>
    <row r="374" spans="1:16" x14ac:dyDescent="0.25">
      <c r="A374" s="71" t="s">
        <v>359</v>
      </c>
      <c r="B374" s="74"/>
      <c r="C374" s="74">
        <v>420</v>
      </c>
      <c r="D374" s="74">
        <v>0</v>
      </c>
      <c r="E374" s="74">
        <v>110</v>
      </c>
      <c r="F374" s="74">
        <v>90</v>
      </c>
      <c r="G374" s="74">
        <v>90</v>
      </c>
      <c r="H374" s="74">
        <v>90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800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3899.33</v>
      </c>
      <c r="D376" s="74">
        <v>4380.66</v>
      </c>
      <c r="E376" s="74">
        <v>4281.9799999999996</v>
      </c>
      <c r="F376" s="74">
        <v>4174.8999999999996</v>
      </c>
      <c r="G376" s="74">
        <v>3499.02</v>
      </c>
      <c r="H376" s="74">
        <v>3009.15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23245.040000000001</v>
      </c>
    </row>
    <row r="377" spans="1:16" x14ac:dyDescent="0.25">
      <c r="A377" s="71" t="s">
        <v>362</v>
      </c>
      <c r="C377" s="83">
        <v>1571.67</v>
      </c>
      <c r="D377" s="83">
        <v>1493.3</v>
      </c>
      <c r="E377" s="83">
        <v>1438.78</v>
      </c>
      <c r="F377" s="83">
        <v>1255.6500000000001</v>
      </c>
      <c r="G377" s="83">
        <v>980.98</v>
      </c>
      <c r="H377" s="83">
        <v>826.1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7566.48</v>
      </c>
      <c r="P377" s="86"/>
    </row>
    <row r="378" spans="1:16" x14ac:dyDescent="0.25">
      <c r="A378" s="71" t="s">
        <v>363</v>
      </c>
      <c r="C378" s="98">
        <v>271.08</v>
      </c>
      <c r="D378" s="98">
        <v>730.51</v>
      </c>
      <c r="E378" s="98">
        <v>168.84</v>
      </c>
      <c r="F378" s="98">
        <v>183.27</v>
      </c>
      <c r="G378" s="98">
        <v>183.27</v>
      </c>
      <c r="H378" s="98">
        <v>80.41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1617.3799999999999</v>
      </c>
    </row>
    <row r="379" spans="1:16" x14ac:dyDescent="0.25">
      <c r="A379" s="71" t="s">
        <v>364</v>
      </c>
      <c r="C379" s="74">
        <v>11659.14</v>
      </c>
      <c r="D379" s="74">
        <v>24049.729999999996</v>
      </c>
      <c r="E379" s="74">
        <v>12903.91</v>
      </c>
      <c r="F379" s="74">
        <v>21945.360000000004</v>
      </c>
      <c r="G379" s="74">
        <v>13046.960000000001</v>
      </c>
      <c r="H379" s="74">
        <v>12256.080000000002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95861.180000000008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5967.96</v>
      </c>
      <c r="D382" s="74">
        <v>5967.96</v>
      </c>
      <c r="E382" s="74">
        <v>6255.84</v>
      </c>
      <c r="F382" s="74">
        <v>6845.05</v>
      </c>
      <c r="G382" s="74">
        <v>6250</v>
      </c>
      <c r="H382" s="74">
        <v>6250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37536.81</v>
      </c>
    </row>
    <row r="383" spans="1:16" x14ac:dyDescent="0.25">
      <c r="A383" s="71" t="s">
        <v>367</v>
      </c>
      <c r="B383" s="74"/>
      <c r="C383" s="74">
        <v>2299.36</v>
      </c>
      <c r="D383" s="74">
        <v>2050.5</v>
      </c>
      <c r="E383" s="74">
        <v>2549.14</v>
      </c>
      <c r="F383" s="74">
        <v>2409.94</v>
      </c>
      <c r="G383" s="74">
        <v>2409.33</v>
      </c>
      <c r="H383" s="74">
        <v>2279.9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13998.17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254.04</v>
      </c>
      <c r="G385" s="74">
        <v>35.65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289.69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60</v>
      </c>
      <c r="D391" s="74">
        <v>60</v>
      </c>
      <c r="E391" s="74">
        <v>60</v>
      </c>
      <c r="F391" s="74">
        <v>60</v>
      </c>
      <c r="G391" s="74">
        <v>60</v>
      </c>
      <c r="H391" s="74">
        <v>60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360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0</v>
      </c>
      <c r="E393" s="74">
        <v>0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0</v>
      </c>
      <c r="E395" s="74">
        <v>0</v>
      </c>
      <c r="F395" s="74">
        <v>0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5">
      <c r="A396" s="71" t="s">
        <v>380</v>
      </c>
      <c r="B396" s="74"/>
      <c r="C396" s="74">
        <v>1129.51</v>
      </c>
      <c r="D396" s="74">
        <v>-633.69000000000005</v>
      </c>
      <c r="E396" s="74">
        <v>-299.02</v>
      </c>
      <c r="F396" s="74">
        <v>35.65</v>
      </c>
      <c r="G396" s="74">
        <v>356.86</v>
      </c>
      <c r="H396" s="74">
        <v>676.51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1265.82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261.3</v>
      </c>
      <c r="F408" s="74">
        <v>284.85000000000002</v>
      </c>
      <c r="G408" s="74">
        <v>0</v>
      </c>
      <c r="H408" s="74">
        <v>621.22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1668.26</v>
      </c>
    </row>
    <row r="409" spans="1:15" x14ac:dyDescent="0.25">
      <c r="A409" s="71" t="s">
        <v>393</v>
      </c>
      <c r="B409" s="74"/>
      <c r="C409" s="74">
        <v>511.13</v>
      </c>
      <c r="D409" s="74">
        <v>673.92</v>
      </c>
      <c r="E409" s="74">
        <v>839.66</v>
      </c>
      <c r="F409" s="74">
        <v>694.91</v>
      </c>
      <c r="G409" s="74">
        <v>679.26</v>
      </c>
      <c r="H409" s="74">
        <v>696.52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4095.4</v>
      </c>
    </row>
    <row r="410" spans="1:15" x14ac:dyDescent="0.25">
      <c r="A410" s="71" t="s">
        <v>394</v>
      </c>
      <c r="B410" s="74"/>
      <c r="C410" s="74">
        <v>0</v>
      </c>
      <c r="D410" s="74">
        <v>190</v>
      </c>
      <c r="E410" s="74">
        <v>126.1</v>
      </c>
      <c r="F410" s="74">
        <v>0</v>
      </c>
      <c r="G410" s="74">
        <v>0</v>
      </c>
      <c r="H410" s="74">
        <v>190.57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506.67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103.89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103.89</v>
      </c>
    </row>
    <row r="412" spans="1:15" x14ac:dyDescent="0.25">
      <c r="A412" s="71" t="s">
        <v>396</v>
      </c>
      <c r="B412" s="74"/>
      <c r="C412" s="74">
        <v>136.82</v>
      </c>
      <c r="D412" s="74">
        <v>482.22</v>
      </c>
      <c r="E412" s="74">
        <v>0</v>
      </c>
      <c r="F412" s="74">
        <v>160.65</v>
      </c>
      <c r="G412" s="74">
        <v>454.18</v>
      </c>
      <c r="H412" s="74">
        <v>110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1343.87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709.9</v>
      </c>
      <c r="D415" s="74">
        <v>709.9</v>
      </c>
      <c r="E415" s="74">
        <v>709.9</v>
      </c>
      <c r="F415" s="74">
        <v>709.9</v>
      </c>
      <c r="G415" s="74">
        <v>709.9</v>
      </c>
      <c r="H415" s="74">
        <v>709.9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4259.3999999999996</v>
      </c>
    </row>
    <row r="416" spans="1:15" x14ac:dyDescent="0.25">
      <c r="A416" s="71" t="s">
        <v>400</v>
      </c>
      <c r="B416" s="74"/>
      <c r="C416" s="74">
        <v>551.25</v>
      </c>
      <c r="D416" s="74">
        <v>551.25</v>
      </c>
      <c r="E416" s="74">
        <v>551.25</v>
      </c>
      <c r="F416" s="74">
        <v>551.25</v>
      </c>
      <c r="G416" s="74">
        <v>551.25</v>
      </c>
      <c r="H416" s="74">
        <v>551.26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3307.51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3289.93</v>
      </c>
      <c r="D419" s="74">
        <v>2916.5</v>
      </c>
      <c r="E419" s="74">
        <v>1792.51</v>
      </c>
      <c r="F419" s="74">
        <v>2895.75</v>
      </c>
      <c r="G419" s="74">
        <v>3109.72</v>
      </c>
      <c r="H419" s="74">
        <v>2868.01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16872.419999999998</v>
      </c>
    </row>
    <row r="420" spans="1:15" x14ac:dyDescent="0.25">
      <c r="A420" s="71" t="s">
        <v>404</v>
      </c>
      <c r="B420" s="74"/>
      <c r="C420" s="74">
        <v>213.98</v>
      </c>
      <c r="D420" s="74">
        <v>297.35000000000002</v>
      </c>
      <c r="E420" s="74">
        <v>195.12</v>
      </c>
      <c r="F420" s="74">
        <v>357.09</v>
      </c>
      <c r="G420" s="74">
        <v>257.62</v>
      </c>
      <c r="H420" s="74">
        <v>199.36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1520.52</v>
      </c>
    </row>
    <row r="421" spans="1:15" x14ac:dyDescent="0.25">
      <c r="A421" s="71" t="s">
        <v>405</v>
      </c>
      <c r="B421" s="74"/>
      <c r="C421" s="74">
        <v>441.27</v>
      </c>
      <c r="D421" s="74">
        <v>754.43</v>
      </c>
      <c r="E421" s="74">
        <v>507.76</v>
      </c>
      <c r="F421" s="74">
        <v>684.35</v>
      </c>
      <c r="G421" s="74">
        <v>567.08000000000004</v>
      </c>
      <c r="H421" s="74">
        <v>126.7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3081.5899999999997</v>
      </c>
    </row>
    <row r="422" spans="1:15" x14ac:dyDescent="0.25">
      <c r="A422" s="71" t="s">
        <v>406</v>
      </c>
      <c r="B422" s="74"/>
      <c r="C422" s="74">
        <v>11341.15</v>
      </c>
      <c r="D422" s="74">
        <v>9830.73</v>
      </c>
      <c r="E422" s="74">
        <v>11378.19</v>
      </c>
      <c r="F422" s="74">
        <v>10417.58</v>
      </c>
      <c r="G422" s="74">
        <v>10148.83</v>
      </c>
      <c r="H422" s="74">
        <v>10450.280000000001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63566.76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0</v>
      </c>
      <c r="F425" s="74">
        <v>180</v>
      </c>
      <c r="G425" s="74">
        <v>30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210</v>
      </c>
    </row>
    <row r="426" spans="1:15" x14ac:dyDescent="0.25">
      <c r="A426" s="71" t="s">
        <v>410</v>
      </c>
      <c r="B426" s="74"/>
      <c r="C426" s="74">
        <v>7736.61</v>
      </c>
      <c r="D426" s="74">
        <v>6818</v>
      </c>
      <c r="E426" s="74">
        <v>8002.14</v>
      </c>
      <c r="F426" s="74">
        <v>7389.07</v>
      </c>
      <c r="G426" s="74">
        <v>7701.51</v>
      </c>
      <c r="H426" s="74">
        <v>7186.53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44833.86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177</v>
      </c>
      <c r="F430" s="74">
        <v>100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277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164</v>
      </c>
      <c r="D432" s="74">
        <v>594.22</v>
      </c>
      <c r="E432" s="74">
        <v>301.75</v>
      </c>
      <c r="F432" s="74">
        <v>190.55</v>
      </c>
      <c r="G432" s="74">
        <v>617.20000000000005</v>
      </c>
      <c r="H432" s="74">
        <v>210.74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2078.46</v>
      </c>
    </row>
    <row r="433" spans="1:16" x14ac:dyDescent="0.25">
      <c r="A433" s="71" t="s">
        <v>416</v>
      </c>
      <c r="B433" s="74"/>
      <c r="C433" s="74">
        <v>15994</v>
      </c>
      <c r="D433" s="74">
        <v>15994</v>
      </c>
      <c r="E433" s="74">
        <v>15994</v>
      </c>
      <c r="F433" s="74">
        <v>15994</v>
      </c>
      <c r="G433" s="74">
        <v>15994</v>
      </c>
      <c r="H433" s="74">
        <v>15994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95964</v>
      </c>
    </row>
    <row r="434" spans="1:16" x14ac:dyDescent="0.25">
      <c r="A434" s="71" t="s">
        <v>417</v>
      </c>
      <c r="B434" s="74"/>
      <c r="C434" s="74">
        <v>837.22</v>
      </c>
      <c r="D434" s="74">
        <v>928.52</v>
      </c>
      <c r="E434" s="74">
        <v>1054.08</v>
      </c>
      <c r="F434" s="74">
        <v>896.56</v>
      </c>
      <c r="G434" s="74">
        <v>695.68</v>
      </c>
      <c r="H434" s="74">
        <v>818.95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5231.0099999999993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97.95</v>
      </c>
      <c r="D436" s="74">
        <v>97.95</v>
      </c>
      <c r="E436" s="74">
        <v>97.95</v>
      </c>
      <c r="F436" s="74">
        <v>100.95</v>
      </c>
      <c r="G436" s="74">
        <v>97.95</v>
      </c>
      <c r="H436" s="74">
        <v>97.95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590.70000000000005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0</v>
      </c>
      <c r="H439" s="100">
        <v>5082.96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5082.96</v>
      </c>
    </row>
    <row r="440" spans="1:16" x14ac:dyDescent="0.25">
      <c r="A440" s="71" t="s">
        <v>423</v>
      </c>
      <c r="C440" s="74">
        <v>52384.219999999994</v>
      </c>
      <c r="D440" s="74">
        <v>49200.249999999993</v>
      </c>
      <c r="E440" s="74">
        <v>52263.56</v>
      </c>
      <c r="F440" s="74">
        <v>51871.03</v>
      </c>
      <c r="G440" s="74">
        <v>51488.799999999996</v>
      </c>
      <c r="H440" s="74">
        <v>55840.249999999993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313048.11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6189.53</v>
      </c>
      <c r="D443" s="74">
        <v>5350.41</v>
      </c>
      <c r="E443" s="74">
        <v>6210.11</v>
      </c>
      <c r="F443" s="74">
        <v>5676.43</v>
      </c>
      <c r="G443" s="74">
        <v>5527.13</v>
      </c>
      <c r="H443" s="74">
        <v>5694.6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34648.21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1410.05</v>
      </c>
      <c r="D445" s="74">
        <v>1410.05</v>
      </c>
      <c r="E445" s="74">
        <v>1410.05</v>
      </c>
      <c r="F445" s="74">
        <v>1410.05</v>
      </c>
      <c r="G445" s="74">
        <v>1410.05</v>
      </c>
      <c r="H445" s="74">
        <v>1410.05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8460.2999999999993</v>
      </c>
    </row>
    <row r="446" spans="1:16" x14ac:dyDescent="0.25">
      <c r="A446" s="71" t="s">
        <v>428</v>
      </c>
      <c r="B446" s="74"/>
      <c r="C446" s="74">
        <v>43399.98</v>
      </c>
      <c r="D446" s="74">
        <v>43399.98</v>
      </c>
      <c r="E446" s="74">
        <v>46766.1</v>
      </c>
      <c r="F446" s="74">
        <v>45083.040000000001</v>
      </c>
      <c r="G446" s="74">
        <v>45083.040000000001</v>
      </c>
      <c r="H446" s="74">
        <v>45083.040000000001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268815.18</v>
      </c>
    </row>
    <row r="447" spans="1:16" x14ac:dyDescent="0.25">
      <c r="A447" s="71" t="s">
        <v>429</v>
      </c>
      <c r="B447" s="74"/>
      <c r="C447" s="74">
        <v>2401.8200000000002</v>
      </c>
      <c r="D447" s="74">
        <v>3959.74</v>
      </c>
      <c r="E447" s="74">
        <v>246</v>
      </c>
      <c r="F447" s="74">
        <v>4918.82</v>
      </c>
      <c r="G447" s="74">
        <v>5299.86</v>
      </c>
      <c r="H447" s="74">
        <v>1473.43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18299.669999999998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1283</v>
      </c>
      <c r="D451" s="83">
        <v>1283</v>
      </c>
      <c r="E451" s="83">
        <v>1283</v>
      </c>
      <c r="F451" s="83">
        <v>1283</v>
      </c>
      <c r="G451" s="83">
        <v>1283</v>
      </c>
      <c r="H451" s="83">
        <v>1283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7698</v>
      </c>
      <c r="P451" s="86"/>
    </row>
    <row r="452" spans="1:16" x14ac:dyDescent="0.25">
      <c r="A452" s="71" t="s">
        <v>434</v>
      </c>
      <c r="C452" s="74">
        <v>52.36</v>
      </c>
      <c r="D452" s="74">
        <v>52.36</v>
      </c>
      <c r="E452" s="74">
        <v>52.36</v>
      </c>
      <c r="F452" s="74">
        <v>52.36</v>
      </c>
      <c r="G452" s="74">
        <v>52.36</v>
      </c>
      <c r="H452" s="74">
        <v>52.36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314.16000000000003</v>
      </c>
    </row>
    <row r="453" spans="1:16" ht="18.75" thickBot="1" x14ac:dyDescent="0.3">
      <c r="A453" s="85" t="s">
        <v>435</v>
      </c>
      <c r="B453" s="85"/>
      <c r="C453" s="81">
        <v>54736.740000000005</v>
      </c>
      <c r="D453" s="81">
        <v>55455.54</v>
      </c>
      <c r="E453" s="81">
        <v>55967.619999999995</v>
      </c>
      <c r="F453" s="81">
        <v>58423.700000000004</v>
      </c>
      <c r="G453" s="81">
        <v>58655.44</v>
      </c>
      <c r="H453" s="81">
        <v>54996.480000000003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338235.51999999996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295176.05</v>
      </c>
      <c r="D455" s="71">
        <v>291001.55</v>
      </c>
      <c r="E455" s="71">
        <v>323669.21000000002</v>
      </c>
      <c r="F455" s="71">
        <v>304973.21000000002</v>
      </c>
      <c r="G455" s="71">
        <v>302706.5</v>
      </c>
      <c r="H455" s="71">
        <v>303825.89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1821352.4099999997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C4:J339"/>
  <sheetViews>
    <sheetView showGridLines="0" workbookViewId="0"/>
  </sheetViews>
  <sheetFormatPr defaultColWidth="9.140625" defaultRowHeight="15" x14ac:dyDescent="0.25"/>
  <cols>
    <col min="1" max="16384" width="9.140625" style="101"/>
  </cols>
  <sheetData>
    <row r="4" spans="3:10" x14ac:dyDescent="0.25">
      <c r="C4" s="101">
        <v>1</v>
      </c>
      <c r="D4" s="101" t="s">
        <v>13</v>
      </c>
    </row>
    <row r="5" spans="3:10" x14ac:dyDescent="0.25">
      <c r="C5" s="101">
        <f t="shared" ref="C5:C52" si="0">C4+1</f>
        <v>2</v>
      </c>
      <c r="D5" s="101" t="s">
        <v>14</v>
      </c>
    </row>
    <row r="6" spans="3:10" x14ac:dyDescent="0.25">
      <c r="C6" s="101">
        <f t="shared" si="0"/>
        <v>3</v>
      </c>
      <c r="D6" s="101" t="s">
        <v>15</v>
      </c>
    </row>
    <row r="7" spans="3:10" x14ac:dyDescent="0.25">
      <c r="C7" s="101">
        <f t="shared" si="0"/>
        <v>4</v>
      </c>
      <c r="D7" s="101" t="s">
        <v>16</v>
      </c>
    </row>
    <row r="8" spans="3:10" x14ac:dyDescent="0.25">
      <c r="C8" s="101">
        <f t="shared" si="0"/>
        <v>5</v>
      </c>
      <c r="D8" s="101" t="s">
        <v>17</v>
      </c>
    </row>
    <row r="9" spans="3:10" x14ac:dyDescent="0.25">
      <c r="C9" s="101">
        <f t="shared" si="0"/>
        <v>6</v>
      </c>
      <c r="D9" s="101" t="s">
        <v>18</v>
      </c>
    </row>
    <row r="10" spans="3:10" x14ac:dyDescent="0.25">
      <c r="C10" s="101">
        <f t="shared" si="0"/>
        <v>7</v>
      </c>
      <c r="D10" s="101" t="s">
        <v>19</v>
      </c>
    </row>
    <row r="11" spans="3:10" x14ac:dyDescent="0.25">
      <c r="C11" s="101">
        <f t="shared" si="0"/>
        <v>8</v>
      </c>
      <c r="D11" s="101" t="s">
        <v>20</v>
      </c>
    </row>
    <row r="12" spans="3:10" x14ac:dyDescent="0.25">
      <c r="C12" s="101">
        <f t="shared" si="0"/>
        <v>9</v>
      </c>
      <c r="D12" s="101" t="s">
        <v>21</v>
      </c>
    </row>
    <row r="13" spans="3:10" x14ac:dyDescent="0.25">
      <c r="C13" s="101">
        <f t="shared" si="0"/>
        <v>10</v>
      </c>
      <c r="D13" s="101" t="s">
        <v>22</v>
      </c>
    </row>
    <row r="14" spans="3:10" x14ac:dyDescent="0.25">
      <c r="C14" s="101">
        <f t="shared" si="0"/>
        <v>11</v>
      </c>
      <c r="D14" s="101" t="s">
        <v>23</v>
      </c>
    </row>
    <row r="15" spans="3:10" x14ac:dyDescent="0.25">
      <c r="C15" s="101">
        <f t="shared" si="0"/>
        <v>12</v>
      </c>
      <c r="J15" s="102"/>
    </row>
    <row r="16" spans="3:10" x14ac:dyDescent="0.25">
      <c r="C16" s="101">
        <f t="shared" si="0"/>
        <v>13</v>
      </c>
      <c r="J16" s="102"/>
    </row>
    <row r="17" spans="3:10" x14ac:dyDescent="0.25">
      <c r="C17" s="101">
        <f t="shared" si="0"/>
        <v>14</v>
      </c>
      <c r="J17" s="102"/>
    </row>
    <row r="18" spans="3:10" x14ac:dyDescent="0.25">
      <c r="C18" s="101">
        <f t="shared" si="0"/>
        <v>15</v>
      </c>
      <c r="J18" s="102"/>
    </row>
    <row r="19" spans="3:10" x14ac:dyDescent="0.25">
      <c r="C19" s="101">
        <f t="shared" si="0"/>
        <v>16</v>
      </c>
      <c r="J19" s="102"/>
    </row>
    <row r="20" spans="3:10" x14ac:dyDescent="0.25">
      <c r="C20" s="101">
        <f t="shared" si="0"/>
        <v>17</v>
      </c>
      <c r="J20" s="102"/>
    </row>
    <row r="21" spans="3:10" x14ac:dyDescent="0.25">
      <c r="C21" s="101">
        <f t="shared" si="0"/>
        <v>18</v>
      </c>
      <c r="J21" s="102"/>
    </row>
    <row r="22" spans="3:10" x14ac:dyDescent="0.25">
      <c r="C22" s="101">
        <f t="shared" si="0"/>
        <v>19</v>
      </c>
      <c r="J22" s="102"/>
    </row>
    <row r="23" spans="3:10" x14ac:dyDescent="0.25">
      <c r="C23" s="101">
        <f t="shared" si="0"/>
        <v>20</v>
      </c>
      <c r="J23" s="102"/>
    </row>
    <row r="24" spans="3:10" x14ac:dyDescent="0.25">
      <c r="C24" s="101">
        <f t="shared" si="0"/>
        <v>21</v>
      </c>
      <c r="J24" s="102"/>
    </row>
    <row r="25" spans="3:10" x14ac:dyDescent="0.25">
      <c r="C25" s="101">
        <f t="shared" si="0"/>
        <v>22</v>
      </c>
      <c r="J25" s="102"/>
    </row>
    <row r="26" spans="3:10" x14ac:dyDescent="0.25">
      <c r="C26" s="101">
        <f t="shared" si="0"/>
        <v>23</v>
      </c>
      <c r="J26" s="102"/>
    </row>
    <row r="27" spans="3:10" x14ac:dyDescent="0.25">
      <c r="C27" s="101">
        <f t="shared" si="0"/>
        <v>24</v>
      </c>
      <c r="J27" s="102"/>
    </row>
    <row r="28" spans="3:10" x14ac:dyDescent="0.25">
      <c r="C28" s="101">
        <f t="shared" si="0"/>
        <v>25</v>
      </c>
      <c r="J28" s="102"/>
    </row>
    <row r="29" spans="3:10" x14ac:dyDescent="0.25">
      <c r="C29" s="101">
        <f t="shared" si="0"/>
        <v>26</v>
      </c>
      <c r="J29" s="102"/>
    </row>
    <row r="30" spans="3:10" x14ac:dyDescent="0.25">
      <c r="C30" s="101">
        <f t="shared" si="0"/>
        <v>27</v>
      </c>
      <c r="J30" s="102"/>
    </row>
    <row r="31" spans="3:10" x14ac:dyDescent="0.25">
      <c r="C31" s="101">
        <f t="shared" si="0"/>
        <v>28</v>
      </c>
      <c r="J31" s="102"/>
    </row>
    <row r="32" spans="3:10" x14ac:dyDescent="0.25">
      <c r="C32" s="101">
        <f t="shared" si="0"/>
        <v>29</v>
      </c>
      <c r="J32" s="102"/>
    </row>
    <row r="33" spans="3:10" x14ac:dyDescent="0.25">
      <c r="C33" s="101">
        <f t="shared" si="0"/>
        <v>30</v>
      </c>
      <c r="J33" s="102"/>
    </row>
    <row r="34" spans="3:10" x14ac:dyDescent="0.25">
      <c r="C34" s="101">
        <f t="shared" si="0"/>
        <v>31</v>
      </c>
      <c r="J34" s="102"/>
    </row>
    <row r="35" spans="3:10" x14ac:dyDescent="0.25">
      <c r="C35" s="101">
        <f t="shared" si="0"/>
        <v>32</v>
      </c>
      <c r="J35" s="102"/>
    </row>
    <row r="36" spans="3:10" x14ac:dyDescent="0.25">
      <c r="C36" s="101">
        <f t="shared" si="0"/>
        <v>33</v>
      </c>
      <c r="J36" s="102"/>
    </row>
    <row r="37" spans="3:10" x14ac:dyDescent="0.25">
      <c r="C37" s="101">
        <f t="shared" si="0"/>
        <v>34</v>
      </c>
      <c r="J37" s="102"/>
    </row>
    <row r="38" spans="3:10" x14ac:dyDescent="0.25">
      <c r="C38" s="101">
        <f t="shared" si="0"/>
        <v>35</v>
      </c>
      <c r="J38" s="102"/>
    </row>
    <row r="39" spans="3:10" x14ac:dyDescent="0.25">
      <c r="C39" s="101">
        <f t="shared" si="0"/>
        <v>36</v>
      </c>
      <c r="J39" s="102"/>
    </row>
    <row r="40" spans="3:10" x14ac:dyDescent="0.25">
      <c r="C40" s="101">
        <f t="shared" si="0"/>
        <v>37</v>
      </c>
      <c r="J40" s="102"/>
    </row>
    <row r="41" spans="3:10" x14ac:dyDescent="0.25">
      <c r="C41" s="101">
        <f t="shared" si="0"/>
        <v>38</v>
      </c>
      <c r="J41" s="102"/>
    </row>
    <row r="42" spans="3:10" x14ac:dyDescent="0.25">
      <c r="C42" s="101">
        <f t="shared" si="0"/>
        <v>39</v>
      </c>
      <c r="J42" s="102"/>
    </row>
    <row r="43" spans="3:10" x14ac:dyDescent="0.25">
      <c r="C43" s="101">
        <f t="shared" si="0"/>
        <v>40</v>
      </c>
      <c r="J43" s="102"/>
    </row>
    <row r="44" spans="3:10" x14ac:dyDescent="0.25">
      <c r="C44" s="101">
        <f t="shared" si="0"/>
        <v>41</v>
      </c>
      <c r="J44" s="102"/>
    </row>
    <row r="45" spans="3:10" x14ac:dyDescent="0.25">
      <c r="C45" s="101">
        <f t="shared" si="0"/>
        <v>42</v>
      </c>
      <c r="J45" s="102"/>
    </row>
    <row r="46" spans="3:10" x14ac:dyDescent="0.25">
      <c r="C46" s="101">
        <f t="shared" si="0"/>
        <v>43</v>
      </c>
      <c r="J46" s="102"/>
    </row>
    <row r="47" spans="3:10" x14ac:dyDescent="0.25">
      <c r="C47" s="101">
        <f t="shared" si="0"/>
        <v>44</v>
      </c>
      <c r="J47" s="102"/>
    </row>
    <row r="48" spans="3:10" x14ac:dyDescent="0.25">
      <c r="C48" s="101">
        <f t="shared" si="0"/>
        <v>45</v>
      </c>
      <c r="J48" s="102"/>
    </row>
    <row r="49" spans="3:10" x14ac:dyDescent="0.25">
      <c r="C49" s="101">
        <f t="shared" si="0"/>
        <v>46</v>
      </c>
      <c r="J49" s="102"/>
    </row>
    <row r="50" spans="3:10" x14ac:dyDescent="0.25">
      <c r="C50" s="101">
        <f t="shared" si="0"/>
        <v>47</v>
      </c>
      <c r="J50" s="102"/>
    </row>
    <row r="51" spans="3:10" x14ac:dyDescent="0.25">
      <c r="C51" s="101">
        <f t="shared" si="0"/>
        <v>48</v>
      </c>
      <c r="J51" s="102"/>
    </row>
    <row r="52" spans="3:10" x14ac:dyDescent="0.25">
      <c r="C52" s="101">
        <f t="shared" si="0"/>
        <v>49</v>
      </c>
      <c r="J52" s="102"/>
    </row>
    <row r="53" spans="3:10" x14ac:dyDescent="0.25">
      <c r="J53" s="102"/>
    </row>
    <row r="54" spans="3:10" x14ac:dyDescent="0.25">
      <c r="J54" s="102"/>
    </row>
    <row r="55" spans="3:10" x14ac:dyDescent="0.25">
      <c r="J55" s="102"/>
    </row>
    <row r="56" spans="3:10" x14ac:dyDescent="0.25">
      <c r="J56" s="102"/>
    </row>
    <row r="57" spans="3:10" x14ac:dyDescent="0.25">
      <c r="J57" s="102"/>
    </row>
    <row r="58" spans="3:10" x14ac:dyDescent="0.25">
      <c r="J58" s="102"/>
    </row>
    <row r="59" spans="3:10" x14ac:dyDescent="0.25">
      <c r="J59" s="102"/>
    </row>
    <row r="60" spans="3:10" x14ac:dyDescent="0.25">
      <c r="J60" s="102"/>
    </row>
    <row r="61" spans="3:10" x14ac:dyDescent="0.25">
      <c r="J61" s="102"/>
    </row>
    <row r="62" spans="3:10" x14ac:dyDescent="0.25">
      <c r="J62" s="102"/>
    </row>
    <row r="63" spans="3:10" x14ac:dyDescent="0.25">
      <c r="J63" s="102"/>
    </row>
    <row r="64" spans="3:10" x14ac:dyDescent="0.25">
      <c r="J64" s="102"/>
    </row>
    <row r="65" spans="10:10" x14ac:dyDescent="0.25">
      <c r="J65" s="102"/>
    </row>
    <row r="66" spans="10:10" x14ac:dyDescent="0.25">
      <c r="J66" s="102"/>
    </row>
    <row r="67" spans="10:10" x14ac:dyDescent="0.25">
      <c r="J67" s="102"/>
    </row>
    <row r="68" spans="10:10" x14ac:dyDescent="0.25">
      <c r="J68" s="102"/>
    </row>
    <row r="69" spans="10:10" x14ac:dyDescent="0.25">
      <c r="J69" s="102"/>
    </row>
    <row r="70" spans="10:10" x14ac:dyDescent="0.25">
      <c r="J70" s="102"/>
    </row>
    <row r="71" spans="10:10" x14ac:dyDescent="0.25">
      <c r="J71" s="102"/>
    </row>
    <row r="72" spans="10:10" x14ac:dyDescent="0.25">
      <c r="J72" s="102"/>
    </row>
    <row r="73" spans="10:10" x14ac:dyDescent="0.25">
      <c r="J73" s="102"/>
    </row>
    <row r="74" spans="10:10" x14ac:dyDescent="0.25">
      <c r="J74" s="102"/>
    </row>
    <row r="75" spans="10:10" x14ac:dyDescent="0.25">
      <c r="J75" s="102"/>
    </row>
    <row r="76" spans="10:10" x14ac:dyDescent="0.25">
      <c r="J76" s="102"/>
    </row>
    <row r="77" spans="10:10" x14ac:dyDescent="0.25">
      <c r="J77" s="102"/>
    </row>
    <row r="78" spans="10:10" x14ac:dyDescent="0.25">
      <c r="J78" s="102"/>
    </row>
    <row r="79" spans="10:10" x14ac:dyDescent="0.25">
      <c r="J79" s="102"/>
    </row>
    <row r="80" spans="10:10" x14ac:dyDescent="0.25">
      <c r="J80" s="102"/>
    </row>
    <row r="81" spans="10:10" x14ac:dyDescent="0.25">
      <c r="J81" s="102"/>
    </row>
    <row r="82" spans="10:10" x14ac:dyDescent="0.25">
      <c r="J82" s="102"/>
    </row>
    <row r="83" spans="10:10" x14ac:dyDescent="0.25">
      <c r="J83" s="102"/>
    </row>
    <row r="84" spans="10:10" x14ac:dyDescent="0.25">
      <c r="J84" s="102"/>
    </row>
    <row r="85" spans="10:10" x14ac:dyDescent="0.25">
      <c r="J85" s="102"/>
    </row>
    <row r="86" spans="10:10" x14ac:dyDescent="0.25">
      <c r="J86" s="102"/>
    </row>
    <row r="87" spans="10:10" x14ac:dyDescent="0.25">
      <c r="J87" s="102"/>
    </row>
    <row r="88" spans="10:10" x14ac:dyDescent="0.25">
      <c r="J88" s="102"/>
    </row>
    <row r="89" spans="10:10" x14ac:dyDescent="0.25">
      <c r="J89" s="102"/>
    </row>
    <row r="90" spans="10:10" x14ac:dyDescent="0.25">
      <c r="J90" s="102"/>
    </row>
    <row r="91" spans="10:10" x14ac:dyDescent="0.25">
      <c r="J91" s="102"/>
    </row>
    <row r="92" spans="10:10" x14ac:dyDescent="0.25">
      <c r="J92" s="102"/>
    </row>
    <row r="93" spans="10:10" x14ac:dyDescent="0.25">
      <c r="J93" s="102"/>
    </row>
    <row r="94" spans="10:10" x14ac:dyDescent="0.25">
      <c r="J94" s="102"/>
    </row>
    <row r="95" spans="10:10" x14ac:dyDescent="0.25">
      <c r="J95" s="102"/>
    </row>
    <row r="96" spans="10:10" x14ac:dyDescent="0.25">
      <c r="J96" s="102"/>
    </row>
    <row r="97" spans="10:10" x14ac:dyDescent="0.25">
      <c r="J97" s="102"/>
    </row>
    <row r="98" spans="10:10" x14ac:dyDescent="0.25">
      <c r="J98" s="102"/>
    </row>
    <row r="99" spans="10:10" x14ac:dyDescent="0.25">
      <c r="J99" s="102"/>
    </row>
    <row r="100" spans="10:10" x14ac:dyDescent="0.25">
      <c r="J100" s="102"/>
    </row>
    <row r="101" spans="10:10" x14ac:dyDescent="0.25">
      <c r="J101" s="102"/>
    </row>
    <row r="102" spans="10:10" x14ac:dyDescent="0.25">
      <c r="J102" s="102"/>
    </row>
    <row r="103" spans="10:10" x14ac:dyDescent="0.25">
      <c r="J103" s="102"/>
    </row>
    <row r="104" spans="10:10" x14ac:dyDescent="0.25">
      <c r="J104" s="102"/>
    </row>
    <row r="105" spans="10:10" x14ac:dyDescent="0.25">
      <c r="J105" s="102"/>
    </row>
    <row r="106" spans="10:10" x14ac:dyDescent="0.25">
      <c r="J106" s="102"/>
    </row>
    <row r="107" spans="10:10" x14ac:dyDescent="0.25">
      <c r="J107" s="102"/>
    </row>
    <row r="108" spans="10:10" x14ac:dyDescent="0.25">
      <c r="J108" s="102"/>
    </row>
    <row r="109" spans="10:10" x14ac:dyDescent="0.25">
      <c r="J109" s="102"/>
    </row>
    <row r="110" spans="10:10" x14ac:dyDescent="0.25">
      <c r="J110" s="102"/>
    </row>
    <row r="111" spans="10:10" x14ac:dyDescent="0.25">
      <c r="J111" s="102"/>
    </row>
    <row r="112" spans="10:10" x14ac:dyDescent="0.25">
      <c r="J112" s="102"/>
    </row>
    <row r="113" spans="10:10" x14ac:dyDescent="0.25">
      <c r="J113" s="102"/>
    </row>
    <row r="114" spans="10:10" x14ac:dyDescent="0.25">
      <c r="J114" s="102"/>
    </row>
    <row r="115" spans="10:10" x14ac:dyDescent="0.25">
      <c r="J115" s="102"/>
    </row>
    <row r="116" spans="10:10" x14ac:dyDescent="0.25">
      <c r="J116" s="102"/>
    </row>
    <row r="117" spans="10:10" x14ac:dyDescent="0.25">
      <c r="J117" s="102"/>
    </row>
    <row r="118" spans="10:10" x14ac:dyDescent="0.25">
      <c r="J118" s="102"/>
    </row>
    <row r="119" spans="10:10" x14ac:dyDescent="0.25">
      <c r="J119" s="102"/>
    </row>
    <row r="120" spans="10:10" x14ac:dyDescent="0.25">
      <c r="J120" s="102"/>
    </row>
    <row r="121" spans="10:10" x14ac:dyDescent="0.25">
      <c r="J121" s="102"/>
    </row>
    <row r="122" spans="10:10" x14ac:dyDescent="0.25">
      <c r="J122" s="102"/>
    </row>
    <row r="123" spans="10:10" x14ac:dyDescent="0.25">
      <c r="J123" s="102"/>
    </row>
    <row r="124" spans="10:10" x14ac:dyDescent="0.25">
      <c r="J124" s="102"/>
    </row>
    <row r="125" spans="10:10" x14ac:dyDescent="0.25">
      <c r="J125" s="102"/>
    </row>
    <row r="126" spans="10:10" x14ac:dyDescent="0.25">
      <c r="J126" s="102"/>
    </row>
    <row r="127" spans="10:10" x14ac:dyDescent="0.25">
      <c r="J127" s="102"/>
    </row>
    <row r="128" spans="10:10" x14ac:dyDescent="0.25">
      <c r="J128" s="102"/>
    </row>
    <row r="129" spans="10:10" x14ac:dyDescent="0.25">
      <c r="J129" s="102"/>
    </row>
    <row r="130" spans="10:10" x14ac:dyDescent="0.25">
      <c r="J130" s="102"/>
    </row>
    <row r="131" spans="10:10" x14ac:dyDescent="0.25">
      <c r="J131" s="102"/>
    </row>
    <row r="132" spans="10:10" x14ac:dyDescent="0.25">
      <c r="J132" s="102"/>
    </row>
    <row r="133" spans="10:10" x14ac:dyDescent="0.25">
      <c r="J133" s="102"/>
    </row>
    <row r="134" spans="10:10" x14ac:dyDescent="0.25">
      <c r="J134" s="102"/>
    </row>
    <row r="135" spans="10:10" x14ac:dyDescent="0.25">
      <c r="J135" s="102"/>
    </row>
    <row r="136" spans="10:10" x14ac:dyDescent="0.25">
      <c r="J136" s="102"/>
    </row>
    <row r="137" spans="10:10" x14ac:dyDescent="0.25">
      <c r="J137" s="102"/>
    </row>
    <row r="138" spans="10:10" x14ac:dyDescent="0.25">
      <c r="J138" s="102"/>
    </row>
    <row r="139" spans="10:10" x14ac:dyDescent="0.25">
      <c r="J139" s="102"/>
    </row>
    <row r="140" spans="10:10" x14ac:dyDescent="0.25">
      <c r="J140" s="102"/>
    </row>
    <row r="141" spans="10:10" x14ac:dyDescent="0.25">
      <c r="J141" s="102"/>
    </row>
    <row r="142" spans="10:10" x14ac:dyDescent="0.25">
      <c r="J142" s="102"/>
    </row>
    <row r="143" spans="10:10" x14ac:dyDescent="0.25">
      <c r="J143" s="102"/>
    </row>
    <row r="144" spans="10:10" x14ac:dyDescent="0.25">
      <c r="J144" s="102"/>
    </row>
    <row r="145" spans="10:10" x14ac:dyDescent="0.25">
      <c r="J145" s="102"/>
    </row>
    <row r="146" spans="10:10" x14ac:dyDescent="0.25">
      <c r="J146" s="102"/>
    </row>
    <row r="147" spans="10:10" x14ac:dyDescent="0.25">
      <c r="J147" s="102"/>
    </row>
    <row r="148" spans="10:10" x14ac:dyDescent="0.25">
      <c r="J148" s="102"/>
    </row>
    <row r="149" spans="10:10" x14ac:dyDescent="0.25">
      <c r="J149" s="102"/>
    </row>
    <row r="150" spans="10:10" x14ac:dyDescent="0.25">
      <c r="J150" s="102"/>
    </row>
    <row r="151" spans="10:10" x14ac:dyDescent="0.25">
      <c r="J151" s="102"/>
    </row>
    <row r="152" spans="10:10" x14ac:dyDescent="0.25">
      <c r="J152" s="102"/>
    </row>
    <row r="153" spans="10:10" x14ac:dyDescent="0.25">
      <c r="J153" s="102"/>
    </row>
    <row r="154" spans="10:10" x14ac:dyDescent="0.25">
      <c r="J154" s="102"/>
    </row>
    <row r="155" spans="10:10" x14ac:dyDescent="0.25">
      <c r="J155" s="102"/>
    </row>
    <row r="156" spans="10:10" x14ac:dyDescent="0.25">
      <c r="J156" s="102"/>
    </row>
    <row r="157" spans="10:10" x14ac:dyDescent="0.25">
      <c r="J157" s="102"/>
    </row>
    <row r="158" spans="10:10" x14ac:dyDescent="0.25">
      <c r="J158" s="102"/>
    </row>
    <row r="159" spans="10:10" x14ac:dyDescent="0.25">
      <c r="J159" s="102"/>
    </row>
    <row r="160" spans="10:10" x14ac:dyDescent="0.25">
      <c r="J160" s="102"/>
    </row>
    <row r="161" spans="10:10" x14ac:dyDescent="0.25">
      <c r="J161" s="102"/>
    </row>
    <row r="162" spans="10:10" x14ac:dyDescent="0.25">
      <c r="J162" s="102"/>
    </row>
    <row r="163" spans="10:10" x14ac:dyDescent="0.25">
      <c r="J163" s="102"/>
    </row>
    <row r="164" spans="10:10" x14ac:dyDescent="0.25">
      <c r="J164" s="102"/>
    </row>
    <row r="165" spans="10:10" x14ac:dyDescent="0.25">
      <c r="J165" s="102"/>
    </row>
    <row r="166" spans="10:10" x14ac:dyDescent="0.25">
      <c r="J166" s="102"/>
    </row>
    <row r="167" spans="10:10" x14ac:dyDescent="0.25">
      <c r="J167" s="102"/>
    </row>
    <row r="168" spans="10:10" x14ac:dyDescent="0.25">
      <c r="J168" s="102"/>
    </row>
    <row r="169" spans="10:10" x14ac:dyDescent="0.25">
      <c r="J169" s="102"/>
    </row>
    <row r="170" spans="10:10" x14ac:dyDescent="0.25">
      <c r="J170" s="102"/>
    </row>
    <row r="171" spans="10:10" x14ac:dyDescent="0.25">
      <c r="J171" s="102"/>
    </row>
    <row r="172" spans="10:10" x14ac:dyDescent="0.25">
      <c r="J172" s="102"/>
    </row>
    <row r="173" spans="10:10" x14ac:dyDescent="0.25">
      <c r="J173" s="102"/>
    </row>
    <row r="174" spans="10:10" x14ac:dyDescent="0.25">
      <c r="J174" s="102"/>
    </row>
    <row r="175" spans="10:10" x14ac:dyDescent="0.25">
      <c r="J175" s="102"/>
    </row>
    <row r="176" spans="10:10" x14ac:dyDescent="0.25">
      <c r="J176" s="102"/>
    </row>
    <row r="177" spans="10:10" x14ac:dyDescent="0.25">
      <c r="J177" s="102"/>
    </row>
    <row r="178" spans="10:10" x14ac:dyDescent="0.25">
      <c r="J178" s="102"/>
    </row>
    <row r="179" spans="10:10" x14ac:dyDescent="0.25">
      <c r="J179" s="102"/>
    </row>
    <row r="180" spans="10:10" x14ac:dyDescent="0.25">
      <c r="J180" s="102"/>
    </row>
    <row r="181" spans="10:10" x14ac:dyDescent="0.25">
      <c r="J181" s="102"/>
    </row>
    <row r="182" spans="10:10" x14ac:dyDescent="0.25">
      <c r="J182" s="102"/>
    </row>
    <row r="183" spans="10:10" x14ac:dyDescent="0.25">
      <c r="J183" s="102"/>
    </row>
    <row r="184" spans="10:10" x14ac:dyDescent="0.25">
      <c r="J184" s="102"/>
    </row>
    <row r="185" spans="10:10" x14ac:dyDescent="0.25">
      <c r="J185" s="102"/>
    </row>
    <row r="186" spans="10:10" x14ac:dyDescent="0.25">
      <c r="J186" s="102"/>
    </row>
    <row r="187" spans="10:10" x14ac:dyDescent="0.25">
      <c r="J187" s="102"/>
    </row>
    <row r="188" spans="10:10" x14ac:dyDescent="0.25">
      <c r="J188" s="102"/>
    </row>
    <row r="189" spans="10:10" x14ac:dyDescent="0.25">
      <c r="J189" s="102"/>
    </row>
    <row r="190" spans="10:10" x14ac:dyDescent="0.25">
      <c r="J190" s="102"/>
    </row>
    <row r="191" spans="10:10" x14ac:dyDescent="0.25">
      <c r="J191" s="102"/>
    </row>
    <row r="192" spans="10:10" x14ac:dyDescent="0.25">
      <c r="J192" s="102"/>
    </row>
    <row r="193" spans="10:10" x14ac:dyDescent="0.25">
      <c r="J193" s="102"/>
    </row>
    <row r="194" spans="10:10" x14ac:dyDescent="0.25">
      <c r="J194" s="102"/>
    </row>
    <row r="195" spans="10:10" x14ac:dyDescent="0.25">
      <c r="J195" s="102"/>
    </row>
    <row r="196" spans="10:10" x14ac:dyDescent="0.25">
      <c r="J196" s="102"/>
    </row>
    <row r="197" spans="10:10" x14ac:dyDescent="0.25">
      <c r="J197" s="102"/>
    </row>
    <row r="198" spans="10:10" x14ac:dyDescent="0.25">
      <c r="J198" s="102"/>
    </row>
    <row r="199" spans="10:10" x14ac:dyDescent="0.25">
      <c r="J199" s="102"/>
    </row>
    <row r="200" spans="10:10" x14ac:dyDescent="0.25">
      <c r="J200" s="102"/>
    </row>
    <row r="201" spans="10:10" x14ac:dyDescent="0.25">
      <c r="J201" s="102"/>
    </row>
    <row r="202" spans="10:10" x14ac:dyDescent="0.25">
      <c r="J202" s="102"/>
    </row>
    <row r="203" spans="10:10" x14ac:dyDescent="0.25">
      <c r="J203" s="102"/>
    </row>
    <row r="204" spans="10:10" x14ac:dyDescent="0.25">
      <c r="J204" s="102"/>
    </row>
    <row r="205" spans="10:10" x14ac:dyDescent="0.25">
      <c r="J205" s="102"/>
    </row>
    <row r="206" spans="10:10" x14ac:dyDescent="0.25">
      <c r="J206" s="102"/>
    </row>
    <row r="207" spans="10:10" x14ac:dyDescent="0.25">
      <c r="J207" s="102"/>
    </row>
    <row r="208" spans="10:10" x14ac:dyDescent="0.25">
      <c r="J208" s="102"/>
    </row>
    <row r="209" spans="10:10" x14ac:dyDescent="0.25">
      <c r="J209" s="102"/>
    </row>
    <row r="210" spans="10:10" x14ac:dyDescent="0.25">
      <c r="J210" s="102"/>
    </row>
    <row r="211" spans="10:10" x14ac:dyDescent="0.25">
      <c r="J211" s="102"/>
    </row>
    <row r="212" spans="10:10" x14ac:dyDescent="0.25">
      <c r="J212" s="102"/>
    </row>
    <row r="213" spans="10:10" x14ac:dyDescent="0.25">
      <c r="J213" s="102"/>
    </row>
    <row r="214" spans="10:10" x14ac:dyDescent="0.25">
      <c r="J214" s="102"/>
    </row>
    <row r="215" spans="10:10" x14ac:dyDescent="0.25">
      <c r="J215" s="102"/>
    </row>
    <row r="216" spans="10:10" x14ac:dyDescent="0.25">
      <c r="J216" s="102"/>
    </row>
    <row r="217" spans="10:10" x14ac:dyDescent="0.25">
      <c r="J217" s="102"/>
    </row>
    <row r="218" spans="10:10" x14ac:dyDescent="0.25">
      <c r="J218" s="102"/>
    </row>
    <row r="219" spans="10:10" x14ac:dyDescent="0.25">
      <c r="J219" s="102"/>
    </row>
    <row r="220" spans="10:10" x14ac:dyDescent="0.25">
      <c r="J220" s="102"/>
    </row>
    <row r="221" spans="10:10" x14ac:dyDescent="0.25">
      <c r="J221" s="102"/>
    </row>
    <row r="222" spans="10:10" x14ac:dyDescent="0.25">
      <c r="J222" s="102"/>
    </row>
    <row r="223" spans="10:10" x14ac:dyDescent="0.25">
      <c r="J223" s="102"/>
    </row>
    <row r="224" spans="10:10" x14ac:dyDescent="0.25">
      <c r="J224" s="102"/>
    </row>
    <row r="225" spans="10:10" x14ac:dyDescent="0.25">
      <c r="J225" s="102"/>
    </row>
    <row r="226" spans="10:10" x14ac:dyDescent="0.25">
      <c r="J226" s="102"/>
    </row>
    <row r="227" spans="10:10" x14ac:dyDescent="0.25">
      <c r="J227" s="102"/>
    </row>
    <row r="228" spans="10:10" x14ac:dyDescent="0.25">
      <c r="J228" s="102"/>
    </row>
    <row r="229" spans="10:10" x14ac:dyDescent="0.25">
      <c r="J229" s="102"/>
    </row>
    <row r="230" spans="10:10" x14ac:dyDescent="0.25">
      <c r="J230" s="102"/>
    </row>
    <row r="231" spans="10:10" x14ac:dyDescent="0.25">
      <c r="J231" s="102"/>
    </row>
    <row r="232" spans="10:10" x14ac:dyDescent="0.25">
      <c r="J232" s="102"/>
    </row>
    <row r="233" spans="10:10" x14ac:dyDescent="0.25">
      <c r="J233" s="102"/>
    </row>
    <row r="234" spans="10:10" x14ac:dyDescent="0.25">
      <c r="J234" s="102"/>
    </row>
    <row r="235" spans="10:10" x14ac:dyDescent="0.25">
      <c r="J235" s="102"/>
    </row>
    <row r="236" spans="10:10" x14ac:dyDescent="0.25">
      <c r="J236" s="102"/>
    </row>
    <row r="237" spans="10:10" x14ac:dyDescent="0.25">
      <c r="J237" s="102"/>
    </row>
    <row r="238" spans="10:10" x14ac:dyDescent="0.25">
      <c r="J238" s="102"/>
    </row>
    <row r="239" spans="10:10" x14ac:dyDescent="0.25">
      <c r="J239" s="102"/>
    </row>
    <row r="240" spans="10:10" x14ac:dyDescent="0.25">
      <c r="J240" s="102"/>
    </row>
    <row r="241" spans="10:10" x14ac:dyDescent="0.25">
      <c r="J241" s="102"/>
    </row>
    <row r="242" spans="10:10" x14ac:dyDescent="0.25">
      <c r="J242" s="102"/>
    </row>
    <row r="243" spans="10:10" x14ac:dyDescent="0.25">
      <c r="J243" s="102"/>
    </row>
    <row r="244" spans="10:10" x14ac:dyDescent="0.25">
      <c r="J244" s="102"/>
    </row>
    <row r="245" spans="10:10" x14ac:dyDescent="0.25">
      <c r="J245" s="102"/>
    </row>
    <row r="246" spans="10:10" x14ac:dyDescent="0.25">
      <c r="J246" s="102"/>
    </row>
    <row r="247" spans="10:10" x14ac:dyDescent="0.25">
      <c r="J247" s="102"/>
    </row>
    <row r="248" spans="10:10" x14ac:dyDescent="0.25">
      <c r="J248" s="102"/>
    </row>
    <row r="249" spans="10:10" x14ac:dyDescent="0.25">
      <c r="J249" s="102"/>
    </row>
    <row r="250" spans="10:10" x14ac:dyDescent="0.25">
      <c r="J250" s="102"/>
    </row>
    <row r="251" spans="10:10" x14ac:dyDescent="0.25">
      <c r="J251" s="102"/>
    </row>
    <row r="252" spans="10:10" x14ac:dyDescent="0.25">
      <c r="J252" s="102"/>
    </row>
    <row r="253" spans="10:10" x14ac:dyDescent="0.25">
      <c r="J253" s="102"/>
    </row>
    <row r="254" spans="10:10" x14ac:dyDescent="0.25">
      <c r="J254" s="102"/>
    </row>
    <row r="255" spans="10:10" x14ac:dyDescent="0.25">
      <c r="J255" s="102"/>
    </row>
    <row r="256" spans="10:10" x14ac:dyDescent="0.25">
      <c r="J256" s="102"/>
    </row>
    <row r="257" spans="10:10" x14ac:dyDescent="0.25">
      <c r="J257" s="102"/>
    </row>
    <row r="258" spans="10:10" x14ac:dyDescent="0.25">
      <c r="J258" s="102"/>
    </row>
    <row r="259" spans="10:10" x14ac:dyDescent="0.25">
      <c r="J259" s="102"/>
    </row>
    <row r="260" spans="10:10" x14ac:dyDescent="0.25">
      <c r="J260" s="102"/>
    </row>
    <row r="261" spans="10:10" x14ac:dyDescent="0.25">
      <c r="J261" s="102"/>
    </row>
    <row r="262" spans="10:10" x14ac:dyDescent="0.25">
      <c r="J262" s="102"/>
    </row>
    <row r="263" spans="10:10" x14ac:dyDescent="0.25">
      <c r="J263" s="102"/>
    </row>
    <row r="264" spans="10:10" x14ac:dyDescent="0.25">
      <c r="J264" s="102"/>
    </row>
    <row r="265" spans="10:10" x14ac:dyDescent="0.25">
      <c r="J265" s="102"/>
    </row>
    <row r="266" spans="10:10" x14ac:dyDescent="0.25">
      <c r="J266" s="102"/>
    </row>
    <row r="267" spans="10:10" x14ac:dyDescent="0.25">
      <c r="J267" s="102"/>
    </row>
    <row r="268" spans="10:10" x14ac:dyDescent="0.25">
      <c r="J268" s="102"/>
    </row>
    <row r="269" spans="10:10" x14ac:dyDescent="0.25">
      <c r="J269" s="102"/>
    </row>
    <row r="270" spans="10:10" x14ac:dyDescent="0.25">
      <c r="J270" s="102"/>
    </row>
    <row r="271" spans="10:10" x14ac:dyDescent="0.25">
      <c r="J271" s="102"/>
    </row>
    <row r="272" spans="10:10" x14ac:dyDescent="0.25">
      <c r="J272" s="102"/>
    </row>
    <row r="273" spans="10:10" x14ac:dyDescent="0.25">
      <c r="J273" s="102"/>
    </row>
    <row r="274" spans="10:10" x14ac:dyDescent="0.25">
      <c r="J274" s="102"/>
    </row>
    <row r="275" spans="10:10" x14ac:dyDescent="0.25">
      <c r="J275" s="102"/>
    </row>
    <row r="276" spans="10:10" x14ac:dyDescent="0.25">
      <c r="J276" s="102"/>
    </row>
    <row r="277" spans="10:10" x14ac:dyDescent="0.25">
      <c r="J277" s="102"/>
    </row>
    <row r="278" spans="10:10" x14ac:dyDescent="0.25">
      <c r="J278" s="102"/>
    </row>
    <row r="279" spans="10:10" x14ac:dyDescent="0.25">
      <c r="J279" s="102"/>
    </row>
    <row r="280" spans="10:10" x14ac:dyDescent="0.25">
      <c r="J280" s="102"/>
    </row>
    <row r="281" spans="10:10" x14ac:dyDescent="0.25">
      <c r="J281" s="102"/>
    </row>
    <row r="282" spans="10:10" x14ac:dyDescent="0.25">
      <c r="J282" s="102"/>
    </row>
    <row r="283" spans="10:10" x14ac:dyDescent="0.25">
      <c r="J283" s="102"/>
    </row>
    <row r="284" spans="10:10" x14ac:dyDescent="0.25">
      <c r="J284" s="102"/>
    </row>
    <row r="285" spans="10:10" x14ac:dyDescent="0.25">
      <c r="J285" s="102"/>
    </row>
    <row r="286" spans="10:10" x14ac:dyDescent="0.25">
      <c r="J286" s="102"/>
    </row>
    <row r="287" spans="10:10" x14ac:dyDescent="0.25">
      <c r="J287" s="102"/>
    </row>
    <row r="288" spans="10:10" x14ac:dyDescent="0.25">
      <c r="J288" s="102"/>
    </row>
    <row r="289" spans="10:10" x14ac:dyDescent="0.25">
      <c r="J289" s="102"/>
    </row>
    <row r="290" spans="10:10" x14ac:dyDescent="0.25">
      <c r="J290" s="102"/>
    </row>
    <row r="291" spans="10:10" x14ac:dyDescent="0.25">
      <c r="J291" s="102"/>
    </row>
    <row r="292" spans="10:10" x14ac:dyDescent="0.25">
      <c r="J292" s="102"/>
    </row>
    <row r="293" spans="10:10" x14ac:dyDescent="0.25">
      <c r="J293" s="102"/>
    </row>
    <row r="294" spans="10:10" x14ac:dyDescent="0.25">
      <c r="J294" s="102"/>
    </row>
    <row r="295" spans="10:10" x14ac:dyDescent="0.25">
      <c r="J295" s="102"/>
    </row>
    <row r="296" spans="10:10" x14ac:dyDescent="0.25">
      <c r="J296" s="102"/>
    </row>
    <row r="297" spans="10:10" x14ac:dyDescent="0.25">
      <c r="J297" s="102"/>
    </row>
    <row r="298" spans="10:10" x14ac:dyDescent="0.25">
      <c r="J298" s="102"/>
    </row>
    <row r="299" spans="10:10" x14ac:dyDescent="0.25">
      <c r="J299" s="102"/>
    </row>
    <row r="300" spans="10:10" x14ac:dyDescent="0.25">
      <c r="J300" s="102"/>
    </row>
    <row r="301" spans="10:10" x14ac:dyDescent="0.25">
      <c r="J301" s="102"/>
    </row>
    <row r="302" spans="10:10" x14ac:dyDescent="0.25">
      <c r="J302" s="102"/>
    </row>
    <row r="303" spans="10:10" x14ac:dyDescent="0.25">
      <c r="J303" s="102"/>
    </row>
    <row r="304" spans="10:10" x14ac:dyDescent="0.25">
      <c r="J304" s="102"/>
    </row>
    <row r="305" spans="10:10" x14ac:dyDescent="0.25">
      <c r="J305" s="102"/>
    </row>
    <row r="306" spans="10:10" x14ac:dyDescent="0.25">
      <c r="J306" s="102"/>
    </row>
    <row r="307" spans="10:10" x14ac:dyDescent="0.25">
      <c r="J307" s="102"/>
    </row>
    <row r="308" spans="10:10" x14ac:dyDescent="0.25">
      <c r="J308" s="102"/>
    </row>
    <row r="309" spans="10:10" x14ac:dyDescent="0.25">
      <c r="J309" s="102"/>
    </row>
    <row r="310" spans="10:10" x14ac:dyDescent="0.25">
      <c r="J310" s="102"/>
    </row>
    <row r="311" spans="10:10" x14ac:dyDescent="0.25">
      <c r="J311" s="102"/>
    </row>
    <row r="312" spans="10:10" x14ac:dyDescent="0.25">
      <c r="J312" s="102"/>
    </row>
    <row r="313" spans="10:10" x14ac:dyDescent="0.25">
      <c r="J313" s="102"/>
    </row>
    <row r="314" spans="10:10" x14ac:dyDescent="0.25">
      <c r="J314" s="102"/>
    </row>
    <row r="315" spans="10:10" x14ac:dyDescent="0.25">
      <c r="J315" s="102"/>
    </row>
    <row r="316" spans="10:10" x14ac:dyDescent="0.25">
      <c r="J316" s="102"/>
    </row>
    <row r="317" spans="10:10" x14ac:dyDescent="0.25">
      <c r="J317" s="102"/>
    </row>
    <row r="318" spans="10:10" x14ac:dyDescent="0.25">
      <c r="J318" s="102"/>
    </row>
    <row r="319" spans="10:10" x14ac:dyDescent="0.25">
      <c r="J319" s="102"/>
    </row>
    <row r="320" spans="10:10" x14ac:dyDescent="0.25">
      <c r="J320" s="102"/>
    </row>
    <row r="321" spans="10:10" x14ac:dyDescent="0.25">
      <c r="J321" s="102"/>
    </row>
    <row r="322" spans="10:10" x14ac:dyDescent="0.25">
      <c r="J322" s="102"/>
    </row>
    <row r="323" spans="10:10" x14ac:dyDescent="0.25">
      <c r="J323" s="102"/>
    </row>
    <row r="324" spans="10:10" x14ac:dyDescent="0.25">
      <c r="J324" s="102"/>
    </row>
    <row r="325" spans="10:10" x14ac:dyDescent="0.25">
      <c r="J325" s="102"/>
    </row>
    <row r="326" spans="10:10" x14ac:dyDescent="0.25">
      <c r="J326" s="102"/>
    </row>
    <row r="327" spans="10:10" x14ac:dyDescent="0.25">
      <c r="J327" s="102"/>
    </row>
    <row r="328" spans="10:10" x14ac:dyDescent="0.25">
      <c r="J328" s="102"/>
    </row>
    <row r="329" spans="10:10" x14ac:dyDescent="0.25">
      <c r="J329" s="102"/>
    </row>
    <row r="330" spans="10:10" x14ac:dyDescent="0.25">
      <c r="J330" s="102"/>
    </row>
    <row r="331" spans="10:10" x14ac:dyDescent="0.25">
      <c r="J331" s="102"/>
    </row>
    <row r="332" spans="10:10" x14ac:dyDescent="0.25">
      <c r="J332" s="102"/>
    </row>
    <row r="333" spans="10:10" x14ac:dyDescent="0.25">
      <c r="J333" s="102"/>
    </row>
    <row r="334" spans="10:10" x14ac:dyDescent="0.25">
      <c r="J334" s="102"/>
    </row>
    <row r="335" spans="10:10" x14ac:dyDescent="0.25">
      <c r="J335" s="102"/>
    </row>
    <row r="336" spans="10:10" x14ac:dyDescent="0.25">
      <c r="J336" s="102"/>
    </row>
    <row r="337" spans="10:10" x14ac:dyDescent="0.25">
      <c r="J337" s="102"/>
    </row>
    <row r="338" spans="10:10" x14ac:dyDescent="0.25">
      <c r="J338" s="102"/>
    </row>
    <row r="339" spans="10:10" x14ac:dyDescent="0.25">
      <c r="J339" s="102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6625" r:id="rId3" name="FPMExcelClientSheetOptionstb1">
          <controlPr defaultSize="0" autoLin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26625" r:id="rId3" name="FPMExcelClientSheetOptionst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342"/>
  <sheetViews>
    <sheetView workbookViewId="0">
      <selection activeCell="D22" sqref="D22"/>
    </sheetView>
  </sheetViews>
  <sheetFormatPr defaultRowHeight="15" x14ac:dyDescent="0.25"/>
  <cols>
    <col min="1" max="1" width="10.28515625" bestFit="1" customWidth="1"/>
    <col min="2" max="2" width="27.42578125" bestFit="1" customWidth="1"/>
    <col min="3" max="3" width="35.28515625" bestFit="1" customWidth="1"/>
    <col min="4" max="4" width="37.5703125" bestFit="1" customWidth="1"/>
    <col min="5" max="5" width="47.28515625" bestFit="1" customWidth="1"/>
    <col min="6" max="6" width="18.7109375" bestFit="1" customWidth="1"/>
    <col min="7" max="7" width="18.140625" bestFit="1" customWidth="1"/>
    <col min="8" max="8" width="20.140625" bestFit="1" customWidth="1"/>
    <col min="9" max="9" width="19" bestFit="1" customWidth="1"/>
    <col min="10" max="10" width="19.85546875" bestFit="1" customWidth="1"/>
    <col min="11" max="11" width="18.7109375" bestFit="1" customWidth="1"/>
    <col min="12" max="12" width="17.5703125" customWidth="1"/>
    <col min="13" max="13" width="19.5703125" bestFit="1" customWidth="1"/>
    <col min="14" max="14" width="18.140625" bestFit="1" customWidth="1"/>
    <col min="15" max="15" width="19" bestFit="1" customWidth="1"/>
    <col min="16" max="16" width="20.140625" bestFit="1" customWidth="1"/>
    <col min="17" max="17" width="18.7109375" bestFit="1" customWidth="1"/>
    <col min="18" max="18" width="20.140625" bestFit="1" customWidth="1"/>
    <col min="19" max="19" width="18.7109375" bestFit="1" customWidth="1"/>
    <col min="20" max="20" width="18.140625" bestFit="1" customWidth="1"/>
  </cols>
  <sheetData>
    <row r="1" spans="1:11" x14ac:dyDescent="0.25">
      <c r="D1" s="1"/>
      <c r="F1" s="1"/>
    </row>
    <row r="2" spans="1:11" x14ac:dyDescent="0.25">
      <c r="D2" s="1"/>
    </row>
    <row r="3" spans="1:11" x14ac:dyDescent="0.25">
      <c r="D3" s="1" t="str">
        <f xml:space="preserve"> _xll.EPMOlapMemberO("[TENANT].[H1].[M_00059]","","M_00059 - Health Systems - Nursing Care","","000")</f>
        <v>M_00059 - Health Systems - Nursing Care</v>
      </c>
    </row>
    <row r="4" spans="1:11" x14ac:dyDescent="0.25">
      <c r="D4" s="1" t="str">
        <f xml:space="preserve"> _xll.EPMOlapMemberO("[MEASURES].[].[PERIODIC]","","Periodic - Periodic","","000")</f>
        <v>Periodic - Periodic</v>
      </c>
    </row>
    <row r="5" spans="1:11" x14ac:dyDescent="0.25">
      <c r="A5" s="26"/>
      <c r="B5" s="26"/>
      <c r="C5" s="26"/>
    </row>
    <row r="6" spans="1:11" x14ac:dyDescent="0.25">
      <c r="A6" s="26"/>
      <c r="B6" s="26"/>
      <c r="C6" s="26"/>
      <c r="F6" s="27" t="str">
        <f xml:space="preserve"> _xll.EPMOlapMemberO("[TIME].[H1].[2022.JAN]","","2022.JAN - 2022 JAN","","000")</f>
        <v>2022.JAN - 2022 JAN</v>
      </c>
      <c r="G6" s="1" t="str">
        <f xml:space="preserve"> _xll.EPMOlapMemberO("[TIME].[H1].[2022.FEB]","","2022.FEB - 2022 FEB","","000")</f>
        <v>2022.FEB - 2022 FEB</v>
      </c>
      <c r="H6" s="1" t="str">
        <f xml:space="preserve"> _xll.EPMOlapMemberO("[TIME].[H1].[2022.MAR]","","2022.MAR - 2022 MAR","","000")</f>
        <v>2022.MAR - 2022 MAR</v>
      </c>
      <c r="I6" s="1" t="str">
        <f xml:space="preserve"> _xll.EPMOlapMemberO("[TIME].[H1].[2022.APR]","","2022.APR - 2022 APR","","000")</f>
        <v>2022.APR - 2022 APR</v>
      </c>
      <c r="J6" s="1" t="str">
        <f xml:space="preserve"> _xll.EPMOlapMemberO("[TIME].[H1].[2022.MAY]","","2022.MAY - 2022 MAY","","000")</f>
        <v>2022.MAY - 2022 MAY</v>
      </c>
      <c r="K6" s="1" t="str">
        <f xml:space="preserve"> _xll.EPMOlapMemberO("[TIME].[H1].[2022.JUN]","","2022.JUN - 2022 JUN","","000")</f>
        <v>2022.JUN - 2022 JUN</v>
      </c>
    </row>
    <row r="7" spans="1:11" x14ac:dyDescent="0.25">
      <c r="A7" s="26" t="str">
        <f>_xll.EVPRO("Finance",$C7,"Inv_Type")</f>
        <v>Inv_Equity</v>
      </c>
      <c r="B7" s="26" t="str">
        <f t="shared" ref="B7:B70" si="0">MID($C7,FIND("- ",$C7)+2,10000)</f>
        <v>Maryville</v>
      </c>
      <c r="C7" s="26" t="str">
        <f>IF($D7&lt;&gt;"",$D7,C6)</f>
        <v>S09066 - Maryville</v>
      </c>
      <c r="D7" s="27" t="str">
        <f xml:space="preserve"> _xll.EPMOlapMemberO("[ENTITY].[H1].[S09066]","","S09066 - Maryville","","000")</f>
        <v>S09066 - Maryville</v>
      </c>
      <c r="E7" s="27" t="str">
        <f xml:space="preserve"> _xll.EPMOlapMemberO("[ACCOUNT].[H1].[PAY_PAT_DAYS]","","PAY_PAT_DAYS - Total Payor Patient Days","","000")</f>
        <v>PAY_PAT_DAYS - Total Payor Patient Days</v>
      </c>
      <c r="F7" s="72">
        <v>1899</v>
      </c>
      <c r="G7">
        <v>1769</v>
      </c>
      <c r="H7">
        <v>1848</v>
      </c>
      <c r="I7">
        <v>1849</v>
      </c>
      <c r="J7">
        <v>1835</v>
      </c>
      <c r="K7">
        <v>1670</v>
      </c>
    </row>
    <row r="8" spans="1:11" x14ac:dyDescent="0.25">
      <c r="A8" s="26" t="str">
        <f>_xll.EVPRO("Finance",$C8,"Inv_Type")</f>
        <v>Inv_Equity</v>
      </c>
      <c r="B8" s="26" t="str">
        <f t="shared" si="0"/>
        <v>Maryville</v>
      </c>
      <c r="C8" s="26" t="str">
        <f t="shared" ref="C8:C71" si="1">IF($D8&lt;&gt;"",$D8,C7)</f>
        <v>S09066 - Maryville</v>
      </c>
      <c r="D8" s="27"/>
      <c r="E8" s="2" t="str">
        <f xml:space="preserve"> _xll.EPMOlapMemberO("[ACCOUNT].[H1].[A_BEDS_TOTAL]","","A_BEDS_TOTAL - Total Available Beds","","000")</f>
        <v>A_BEDS_TOTAL - Total Available Beds</v>
      </c>
      <c r="F8" s="72">
        <v>125</v>
      </c>
      <c r="G8">
        <v>125</v>
      </c>
      <c r="H8">
        <v>125</v>
      </c>
      <c r="I8">
        <v>125</v>
      </c>
      <c r="J8">
        <v>125</v>
      </c>
      <c r="K8">
        <v>125</v>
      </c>
    </row>
    <row r="9" spans="1:11" x14ac:dyDescent="0.25">
      <c r="A9" s="26" t="str">
        <f>_xll.EVPRO("Finance",$C9,"Inv_Type")</f>
        <v>Inv_Equity</v>
      </c>
      <c r="B9" s="26" t="str">
        <f t="shared" si="0"/>
        <v>Maryville</v>
      </c>
      <c r="C9" s="26" t="str">
        <f t="shared" si="1"/>
        <v>S09066 - Maryville</v>
      </c>
      <c r="D9" s="27"/>
      <c r="E9" s="14" t="str">
        <f xml:space="preserve"> _xll.EPMOlapMemberO("[ACCOUNT].[H1].[T_REVENUES]","","T_REVENUES - Total Tenant Revenues","","000")</f>
        <v>T_REVENUES - Total Tenant Revenues</v>
      </c>
      <c r="F9" s="72">
        <v>338732.63</v>
      </c>
      <c r="G9">
        <v>319906.74</v>
      </c>
      <c r="H9">
        <v>325240.63</v>
      </c>
      <c r="I9">
        <v>334229.75</v>
      </c>
      <c r="J9">
        <v>346890.78</v>
      </c>
      <c r="K9">
        <v>322206.52</v>
      </c>
    </row>
    <row r="10" spans="1:11" x14ac:dyDescent="0.25">
      <c r="A10" s="26" t="str">
        <f>_xll.EVPRO("Finance",$C10,"Inv_Type")</f>
        <v>Inv_Equity</v>
      </c>
      <c r="B10" s="26" t="str">
        <f t="shared" si="0"/>
        <v>Maryville</v>
      </c>
      <c r="C10" s="26" t="str">
        <f t="shared" si="1"/>
        <v>S09066 - Maryville</v>
      </c>
      <c r="D10" s="27"/>
      <c r="E10" s="14" t="str">
        <f xml:space="preserve"> _xll.EPMOlapMemberO("[ACCOUNT].[H1].[T_OPEX]","","T_OPEX - Tenant Operating Expenses","","000")</f>
        <v>T_OPEX - Tenant Operating Expenses</v>
      </c>
      <c r="F10" s="72">
        <v>284836.95</v>
      </c>
      <c r="G10">
        <v>260285.9</v>
      </c>
      <c r="H10">
        <v>302862.76</v>
      </c>
      <c r="I10">
        <v>293801.84000000003</v>
      </c>
      <c r="J10">
        <v>329689.81</v>
      </c>
      <c r="K10">
        <v>322686.61</v>
      </c>
    </row>
    <row r="11" spans="1:11" x14ac:dyDescent="0.25">
      <c r="A11" s="26" t="str">
        <f>_xll.EVPRO("Finance",$C11,"Inv_Type")</f>
        <v>Inv_Equity</v>
      </c>
      <c r="B11" s="26" t="str">
        <f t="shared" si="0"/>
        <v>Maryville</v>
      </c>
      <c r="C11" s="26" t="str">
        <f t="shared" si="1"/>
        <v>S09066 - Maryville</v>
      </c>
      <c r="D11" s="27"/>
      <c r="E11" s="2" t="str">
        <f xml:space="preserve"> _xll.EPMOlapMemberO("[ACCOUNT].[H1].[T_NON_OP_EXP]","","T_NON_OP_EXP - Tenant Non-Operating Expense","","000")</f>
        <v>T_NON_OP_EXP - Tenant Non-Operating Expense</v>
      </c>
      <c r="F11" s="72">
        <v>2508.2800000000002</v>
      </c>
      <c r="G11">
        <v>2508.2800000000002</v>
      </c>
      <c r="H11">
        <v>2508.2800000000002</v>
      </c>
      <c r="I11">
        <v>2508.2800000000002</v>
      </c>
      <c r="J11">
        <v>2508.2800000000002</v>
      </c>
      <c r="K11">
        <v>2508.2800000000002</v>
      </c>
    </row>
    <row r="12" spans="1:11" x14ac:dyDescent="0.25">
      <c r="A12" s="26" t="str">
        <f>_xll.EVPRO("Finance",$C12,"Inv_Type")</f>
        <v>Inv_Equity</v>
      </c>
      <c r="B12" s="26" t="str">
        <f t="shared" si="0"/>
        <v>Maryville</v>
      </c>
      <c r="C12" s="26" t="str">
        <f t="shared" si="1"/>
        <v>S09066 - Maryville</v>
      </c>
      <c r="D12" s="27"/>
      <c r="E12" s="15" t="str">
        <f xml:space="preserve"> _xll.EPMOlapMemberO("[ACCOUNT].[H1].[T_BAD_DEBT]","","T_BAD_DEBT - Tenant Bad Debt Expense","","000")</f>
        <v>T_BAD_DEBT - Tenant Bad Debt Expense</v>
      </c>
      <c r="F12" s="72">
        <v>724.62</v>
      </c>
      <c r="G12">
        <v>2765.12</v>
      </c>
      <c r="H12">
        <v>724.62</v>
      </c>
      <c r="I12">
        <v>724.62</v>
      </c>
      <c r="J12">
        <v>1502.62</v>
      </c>
      <c r="K12">
        <v>724.62</v>
      </c>
    </row>
    <row r="13" spans="1:11" x14ac:dyDescent="0.25">
      <c r="A13" s="26" t="str">
        <f>_xll.EVPRO("Finance",$C13,"Inv_Type")</f>
        <v>Inv_Equity</v>
      </c>
      <c r="B13" s="26" t="str">
        <f t="shared" si="0"/>
        <v>Maryville</v>
      </c>
      <c r="C13" s="26" t="str">
        <f t="shared" si="1"/>
        <v>S09066 - Maryville</v>
      </c>
      <c r="D13" s="27"/>
      <c r="E13" s="3" t="str">
        <f xml:space="preserve"> _xll.EPMOlapMemberO("[ACCOUNT].[H1].[T_EBITDARM]","","T_EBITDARM - EBITDARM","","000")</f>
        <v>T_EBITDARM - EBITDARM</v>
      </c>
      <c r="F13" s="72">
        <v>53895.68</v>
      </c>
      <c r="G13">
        <v>59620.84</v>
      </c>
      <c r="H13">
        <v>22377.870000000101</v>
      </c>
      <c r="I13">
        <v>40427.910000000003</v>
      </c>
      <c r="J13">
        <v>17200.97</v>
      </c>
      <c r="K13">
        <v>-480.08999999996701</v>
      </c>
    </row>
    <row r="14" spans="1:11" x14ac:dyDescent="0.25">
      <c r="A14" s="26" t="str">
        <f>_xll.EVPRO("Finance",$C14,"Inv_Type")</f>
        <v>Inv_Equity</v>
      </c>
      <c r="B14" s="26" t="str">
        <f t="shared" si="0"/>
        <v>Maryville</v>
      </c>
      <c r="C14" s="26" t="str">
        <f t="shared" si="1"/>
        <v>S09066 - Maryville</v>
      </c>
      <c r="D14" s="27"/>
      <c r="E14" s="3" t="str">
        <f xml:space="preserve"> _xll.EPMOlapMemberO("[ACCOUNT].[H1].[T_MGMT_FEE]","","T_MGMT_FEE - Tenant Management Fee - Actual","","000")</f>
        <v>T_MGMT_FEE - Tenant Management Fee - Actual</v>
      </c>
      <c r="F14" s="72">
        <v>23442.32</v>
      </c>
      <c r="G14">
        <v>22569.42</v>
      </c>
      <c r="H14">
        <v>22890.78</v>
      </c>
      <c r="I14">
        <v>23555.79</v>
      </c>
      <c r="J14">
        <v>23845.25</v>
      </c>
      <c r="K14">
        <v>22357.14</v>
      </c>
    </row>
    <row r="15" spans="1:11" x14ac:dyDescent="0.25">
      <c r="A15" s="26" t="str">
        <f>_xll.EVPRO("Finance",$C15,"Inv_Type")</f>
        <v>Inv_Equity</v>
      </c>
      <c r="B15" s="26" t="str">
        <f t="shared" si="0"/>
        <v>Maryville</v>
      </c>
      <c r="C15" s="26" t="str">
        <f t="shared" si="1"/>
        <v>S09066 - Maryville</v>
      </c>
      <c r="D15" s="27"/>
      <c r="E15" s="2" t="str">
        <f xml:space="preserve"> _xll.EPMOlapMemberO("[ACCOUNT].[H1].[T_EBITDAR]","","T_EBITDAR - EBITDAR","","000")</f>
        <v>T_EBITDAR - EBITDAR</v>
      </c>
      <c r="F15" s="72">
        <v>30453.360000000001</v>
      </c>
      <c r="G15">
        <v>37051.42</v>
      </c>
      <c r="H15">
        <v>-512.90999999994494</v>
      </c>
      <c r="I15">
        <v>16872.12</v>
      </c>
      <c r="J15">
        <v>-6644.2799999999697</v>
      </c>
      <c r="K15">
        <v>-22837.23</v>
      </c>
    </row>
    <row r="16" spans="1:11" x14ac:dyDescent="0.25">
      <c r="A16" s="26" t="str">
        <f>_xll.EVPRO("Finance",$C16,"Inv_Type")</f>
        <v>Inv_Equity</v>
      </c>
      <c r="B16" s="26" t="str">
        <f t="shared" si="0"/>
        <v>Maryville</v>
      </c>
      <c r="C16" s="26" t="str">
        <f t="shared" si="1"/>
        <v>S09066 - Maryville</v>
      </c>
      <c r="D16" s="27"/>
      <c r="E16" s="2" t="str">
        <f xml:space="preserve"> _xll.EPMOlapMemberO("[ACCOUNT].[H1].[T_COVERAGE_RENT]","","T_COVERAGE_RENT - Coverage Rent","","000")</f>
        <v>T_COVERAGE_RENT - Coverage Rent</v>
      </c>
      <c r="F16" s="72">
        <v>61928.37</v>
      </c>
      <c r="G16">
        <v>65024.79</v>
      </c>
      <c r="H16">
        <v>65024.79</v>
      </c>
      <c r="I16">
        <v>65024.79</v>
      </c>
      <c r="J16">
        <v>65024.79</v>
      </c>
      <c r="K16">
        <v>65024.79</v>
      </c>
    </row>
    <row r="17" spans="1:11" x14ac:dyDescent="0.25">
      <c r="A17" s="26" t="str">
        <f>_xll.EVPRO("Finance",$C17,"Inv_Type")</f>
        <v>Inv_Equity</v>
      </c>
      <c r="B17" s="26" t="str">
        <f t="shared" si="0"/>
        <v>Maryville</v>
      </c>
      <c r="C17" s="26" t="str">
        <f t="shared" si="1"/>
        <v>S09066 - Maryville</v>
      </c>
      <c r="D17" s="27"/>
      <c r="E17" s="2" t="str">
        <f xml:space="preserve"> _xll.EPMOlapMemberO("[ACCOUNT].[H1].[T_RENT_EXP]","","T_RENT_EXP - Tenant Rent Expense","","000")</f>
        <v>T_RENT_EXP - Tenant Rent Expense</v>
      </c>
      <c r="F17" s="72">
        <v>61515.79</v>
      </c>
      <c r="G17">
        <v>61515.79</v>
      </c>
      <c r="H17">
        <v>67365.23</v>
      </c>
      <c r="I17">
        <v>64440.51</v>
      </c>
      <c r="J17">
        <v>64440.51</v>
      </c>
      <c r="K17">
        <v>66565.509999999995</v>
      </c>
    </row>
    <row r="18" spans="1:11" x14ac:dyDescent="0.25">
      <c r="A18" s="26" t="str">
        <f>_xll.EVPRO("Finance",$C18,"Inv_Type")</f>
        <v>Inv_Equity</v>
      </c>
      <c r="B18" s="26" t="str">
        <f t="shared" si="0"/>
        <v>Ashland Healthcare</v>
      </c>
      <c r="C18" s="26" t="str">
        <f t="shared" si="1"/>
        <v>S09067 - Ashland Healthcare</v>
      </c>
      <c r="D18" s="27" t="str">
        <f xml:space="preserve"> _xll.EPMOlapMemberO("[ENTITY].[H1].[S09067]","","S09067 - Ashland Healthcare","","000")</f>
        <v>S09067 - Ashland Healthcare</v>
      </c>
      <c r="E18" s="27" t="str">
        <f xml:space="preserve"> _xll.EPMOlapMemberO("[ACCOUNT].[H1].[PAY_PAT_DAYS]","","PAY_PAT_DAYS - Total Payor Patient Days","","000")</f>
        <v>PAY_PAT_DAYS - Total Payor Patient Days</v>
      </c>
      <c r="F18" s="72">
        <v>993</v>
      </c>
      <c r="G18">
        <v>980</v>
      </c>
      <c r="H18">
        <v>888</v>
      </c>
      <c r="I18">
        <v>23</v>
      </c>
    </row>
    <row r="19" spans="1:11" x14ac:dyDescent="0.25">
      <c r="A19" s="26" t="str">
        <f>_xll.EVPRO("Finance",$C19,"Inv_Type")</f>
        <v>Inv_Equity</v>
      </c>
      <c r="B19" s="26" t="str">
        <f t="shared" si="0"/>
        <v>Ashland Healthcare</v>
      </c>
      <c r="C19" s="26" t="str">
        <f t="shared" si="1"/>
        <v>S09067 - Ashland Healthcare</v>
      </c>
      <c r="D19" s="27"/>
      <c r="E19" s="2" t="str">
        <f xml:space="preserve"> _xll.EPMOlapMemberO("[ACCOUNT].[H1].[A_BEDS_TOTAL]","","A_BEDS_TOTAL - Total Available Beds","","000")</f>
        <v>A_BEDS_TOTAL - Total Available Beds</v>
      </c>
      <c r="F19" s="72">
        <v>60</v>
      </c>
      <c r="G19">
        <v>60</v>
      </c>
      <c r="H19">
        <v>60</v>
      </c>
      <c r="I19">
        <v>60</v>
      </c>
      <c r="J19">
        <v>60</v>
      </c>
      <c r="K19">
        <v>60</v>
      </c>
    </row>
    <row r="20" spans="1:11" x14ac:dyDescent="0.25">
      <c r="A20" s="26" t="str">
        <f>_xll.EVPRO("Finance",$C20,"Inv_Type")</f>
        <v>Inv_Equity</v>
      </c>
      <c r="B20" s="26" t="str">
        <f t="shared" si="0"/>
        <v>Ashland Healthcare</v>
      </c>
      <c r="C20" s="26" t="str">
        <f t="shared" si="1"/>
        <v>S09067 - Ashland Healthcare</v>
      </c>
      <c r="D20" s="27"/>
      <c r="E20" s="14" t="str">
        <f xml:space="preserve"> _xll.EPMOlapMemberO("[ACCOUNT].[H1].[T_REVENUES]","","T_REVENUES - Total Tenant Revenues","","000")</f>
        <v>T_REVENUES - Total Tenant Revenues</v>
      </c>
      <c r="F20" s="72">
        <v>197121.07</v>
      </c>
      <c r="G20">
        <v>201317.39</v>
      </c>
      <c r="H20">
        <v>180496.06</v>
      </c>
      <c r="I20">
        <v>-5367.61</v>
      </c>
      <c r="J20">
        <v>9417.5</v>
      </c>
      <c r="K20">
        <v>6244.84</v>
      </c>
    </row>
    <row r="21" spans="1:11" x14ac:dyDescent="0.25">
      <c r="A21" s="26" t="str">
        <f>_xll.EVPRO("Finance",$C21,"Inv_Type")</f>
        <v>Inv_Equity</v>
      </c>
      <c r="B21" s="26" t="str">
        <f t="shared" si="0"/>
        <v>Ashland Healthcare</v>
      </c>
      <c r="C21" s="26" t="str">
        <f t="shared" si="1"/>
        <v>S09067 - Ashland Healthcare</v>
      </c>
      <c r="D21" s="27"/>
      <c r="E21" s="14" t="str">
        <f xml:space="preserve"> _xll.EPMOlapMemberO("[ACCOUNT].[H1].[T_OPEX]","","T_OPEX - Tenant Operating Expenses","","000")</f>
        <v>T_OPEX - Tenant Operating Expenses</v>
      </c>
      <c r="F21" s="72">
        <v>215976.75</v>
      </c>
      <c r="G21">
        <v>198312.92</v>
      </c>
      <c r="H21">
        <v>209355.61</v>
      </c>
      <c r="I21">
        <v>46203.9</v>
      </c>
      <c r="J21">
        <v>23769.69</v>
      </c>
      <c r="K21">
        <v>9153.7199999999993</v>
      </c>
    </row>
    <row r="22" spans="1:11" x14ac:dyDescent="0.25">
      <c r="A22" s="26" t="str">
        <f>_xll.EVPRO("Finance",$C22,"Inv_Type")</f>
        <v>Inv_Equity</v>
      </c>
      <c r="B22" s="26" t="str">
        <f t="shared" si="0"/>
        <v>Ashland Healthcare</v>
      </c>
      <c r="C22" s="26" t="str">
        <f t="shared" si="1"/>
        <v>S09067 - Ashland Healthcare</v>
      </c>
      <c r="D22" s="27"/>
      <c r="E22" s="2" t="str">
        <f xml:space="preserve"> _xll.EPMOlapMemberO("[ACCOUNT].[H1].[T_NON_OP_EXP]","","T_NON_OP_EXP - Tenant Non-Operating Expense","","000")</f>
        <v>T_NON_OP_EXP - Tenant Non-Operating Expense</v>
      </c>
      <c r="F22" s="72">
        <v>964.94</v>
      </c>
      <c r="G22">
        <v>964.94</v>
      </c>
      <c r="H22">
        <v>964.94</v>
      </c>
      <c r="I22">
        <v>964.94</v>
      </c>
      <c r="J22">
        <v>964.94</v>
      </c>
      <c r="K22">
        <v>964.94</v>
      </c>
    </row>
    <row r="23" spans="1:11" x14ac:dyDescent="0.25">
      <c r="A23" s="26" t="str">
        <f>_xll.EVPRO("Finance",$C23,"Inv_Type")</f>
        <v>Inv_Equity</v>
      </c>
      <c r="B23" s="26" t="str">
        <f t="shared" si="0"/>
        <v>Ashland Healthcare</v>
      </c>
      <c r="C23" s="26" t="str">
        <f t="shared" si="1"/>
        <v>S09067 - Ashland Healthcare</v>
      </c>
      <c r="D23" s="27"/>
      <c r="E23" s="15" t="str">
        <f xml:space="preserve"> _xll.EPMOlapMemberO("[ACCOUNT].[H1].[T_BAD_DEBT]","","T_BAD_DEBT - Tenant Bad Debt Expense","","000")</f>
        <v>T_BAD_DEBT - Tenant Bad Debt Expense</v>
      </c>
      <c r="F23" s="72">
        <v>19814.98</v>
      </c>
      <c r="G23">
        <v>3305.48</v>
      </c>
      <c r="H23">
        <v>1450.48</v>
      </c>
      <c r="I23">
        <v>1450.48</v>
      </c>
      <c r="J23">
        <v>1450.48</v>
      </c>
      <c r="K23">
        <v>1450.48</v>
      </c>
    </row>
    <row r="24" spans="1:11" x14ac:dyDescent="0.25">
      <c r="A24" s="26" t="str">
        <f>_xll.EVPRO("Finance",$C24,"Inv_Type")</f>
        <v>Inv_Equity</v>
      </c>
      <c r="B24" s="26" t="str">
        <f t="shared" si="0"/>
        <v>Ashland Healthcare</v>
      </c>
      <c r="C24" s="26" t="str">
        <f t="shared" si="1"/>
        <v>S09067 - Ashland Healthcare</v>
      </c>
      <c r="D24" s="27"/>
      <c r="E24" s="3" t="str">
        <f xml:space="preserve"> _xll.EPMOlapMemberO("[ACCOUNT].[H1].[T_EBITDARM]","","T_EBITDARM - EBITDARM","","000")</f>
        <v>T_EBITDARM - EBITDARM</v>
      </c>
      <c r="F24" s="72">
        <v>-18855.68</v>
      </c>
      <c r="G24">
        <v>3004.4699999999698</v>
      </c>
      <c r="H24">
        <v>-28859.55</v>
      </c>
      <c r="I24">
        <v>-51571.51</v>
      </c>
      <c r="J24">
        <v>-14352.19</v>
      </c>
      <c r="K24">
        <v>-2908.88</v>
      </c>
    </row>
    <row r="25" spans="1:11" x14ac:dyDescent="0.25">
      <c r="A25" s="26" t="str">
        <f>_xll.EVPRO("Finance",$C25,"Inv_Type")</f>
        <v>Inv_Equity</v>
      </c>
      <c r="B25" s="26" t="str">
        <f t="shared" si="0"/>
        <v>Ashland Healthcare</v>
      </c>
      <c r="C25" s="26" t="str">
        <f t="shared" si="1"/>
        <v>S09067 - Ashland Healthcare</v>
      </c>
      <c r="D25" s="27"/>
      <c r="E25" s="3" t="str">
        <f xml:space="preserve"> _xll.EPMOlapMemberO("[ACCOUNT].[H1].[T_MGMT_FEE]","","T_MGMT_FEE - Tenant Management Fee - Actual","","000")</f>
        <v>T_MGMT_FEE - Tenant Management Fee - Actual</v>
      </c>
      <c r="F25" s="72">
        <v>14335.82</v>
      </c>
      <c r="G25">
        <v>14060.41</v>
      </c>
      <c r="H25">
        <v>12505.68</v>
      </c>
    </row>
    <row r="26" spans="1:11" x14ac:dyDescent="0.25">
      <c r="A26" s="26" t="str">
        <f>_xll.EVPRO("Finance",$C26,"Inv_Type")</f>
        <v>Inv_Equity</v>
      </c>
      <c r="B26" s="26" t="str">
        <f t="shared" si="0"/>
        <v>Ashland Healthcare</v>
      </c>
      <c r="C26" s="26" t="str">
        <f t="shared" si="1"/>
        <v>S09067 - Ashland Healthcare</v>
      </c>
      <c r="D26" s="27"/>
      <c r="E26" s="2" t="str">
        <f xml:space="preserve"> _xll.EPMOlapMemberO("[ACCOUNT].[H1].[T_EBITDAR]","","T_EBITDAR - EBITDAR","","000")</f>
        <v>T_EBITDAR - EBITDAR</v>
      </c>
      <c r="F26" s="72">
        <v>-33191.5</v>
      </c>
      <c r="G26">
        <v>-11055.94</v>
      </c>
      <c r="H26">
        <v>-41365.230000000003</v>
      </c>
      <c r="I26">
        <v>-51571.51</v>
      </c>
      <c r="J26">
        <v>-14352.19</v>
      </c>
      <c r="K26">
        <v>-2908.88</v>
      </c>
    </row>
    <row r="27" spans="1:11" x14ac:dyDescent="0.25">
      <c r="A27" s="26" t="str">
        <f>_xll.EVPRO("Finance",$C27,"Inv_Type")</f>
        <v>Inv_Equity</v>
      </c>
      <c r="B27" s="26" t="str">
        <f t="shared" si="0"/>
        <v>Ashland Healthcare</v>
      </c>
      <c r="C27" s="26" t="str">
        <f t="shared" si="1"/>
        <v>S09067 - Ashland Healthcare</v>
      </c>
      <c r="D27" s="27"/>
      <c r="E27" s="2" t="str">
        <f xml:space="preserve"> _xll.EPMOlapMemberO("[ACCOUNT].[H1].[T_COVERAGE_RENT]","","T_COVERAGE_RENT - Coverage Rent","","000")</f>
        <v>T_COVERAGE_RENT - Coverage Rent</v>
      </c>
      <c r="F27" s="72">
        <v>41761.300000000003</v>
      </c>
      <c r="G27">
        <v>43849.37</v>
      </c>
      <c r="H27">
        <v>43849.37</v>
      </c>
      <c r="I27">
        <v>43849.37</v>
      </c>
      <c r="J27">
        <v>43849.37</v>
      </c>
      <c r="K27">
        <v>43849.37</v>
      </c>
    </row>
    <row r="28" spans="1:11" x14ac:dyDescent="0.25">
      <c r="A28" s="26" t="str">
        <f>_xll.EVPRO("Finance",$C28,"Inv_Type")</f>
        <v>Inv_Equity</v>
      </c>
      <c r="B28" s="26" t="str">
        <f t="shared" si="0"/>
        <v>Ashland Healthcare</v>
      </c>
      <c r="C28" s="26" t="str">
        <f t="shared" si="1"/>
        <v>S09067 - Ashland Healthcare</v>
      </c>
      <c r="D28" s="27"/>
      <c r="E28" s="2" t="str">
        <f xml:space="preserve"> _xll.EPMOlapMemberO("[ACCOUNT].[H1].[T_RENT_EXP]","","T_RENT_EXP - Tenant Rent Expense","","000")</f>
        <v>T_RENT_EXP - Tenant Rent Expense</v>
      </c>
      <c r="F28" s="72">
        <v>36355.93</v>
      </c>
      <c r="G28">
        <v>34705.870000000003</v>
      </c>
      <c r="H28">
        <v>38005.99</v>
      </c>
      <c r="I28">
        <v>36355.93</v>
      </c>
      <c r="J28">
        <v>36355.93</v>
      </c>
      <c r="K28">
        <v>36355.93</v>
      </c>
    </row>
    <row r="29" spans="1:11" x14ac:dyDescent="0.25">
      <c r="A29" s="26" t="str">
        <f>_xll.EVPRO("Finance",$C29,"Inv_Type")</f>
        <v>Inv_Equity</v>
      </c>
      <c r="B29" s="26" t="str">
        <f t="shared" si="0"/>
        <v>Bellefontaine Gardens</v>
      </c>
      <c r="C29" s="26" t="str">
        <f t="shared" si="1"/>
        <v>S09068 - Bellefontaine Gardens</v>
      </c>
      <c r="D29" s="27" t="str">
        <f xml:space="preserve"> _xll.EPMOlapMemberO("[ENTITY].[H1].[S09068]","","S09068 - Bellefontaine Gardens","","000")</f>
        <v>S09068 - Bellefontaine Gardens</v>
      </c>
      <c r="E29" s="27" t="str">
        <f xml:space="preserve"> _xll.EPMOlapMemberO("[ACCOUNT].[H1].[PAY_PAT_DAYS]","","PAY_PAT_DAYS - Total Payor Patient Days","","000")</f>
        <v>PAY_PAT_DAYS - Total Payor Patient Days</v>
      </c>
      <c r="F29" s="72">
        <v>1408</v>
      </c>
      <c r="G29">
        <v>1321</v>
      </c>
      <c r="H29">
        <v>1451</v>
      </c>
      <c r="I29">
        <v>24</v>
      </c>
      <c r="K29">
        <v>0</v>
      </c>
    </row>
    <row r="30" spans="1:11" x14ac:dyDescent="0.25">
      <c r="A30" s="26" t="str">
        <f>_xll.EVPRO("Finance",$C30,"Inv_Type")</f>
        <v>Inv_Equity</v>
      </c>
      <c r="B30" s="26" t="str">
        <f t="shared" si="0"/>
        <v>Bellefontaine Gardens</v>
      </c>
      <c r="C30" s="26" t="str">
        <f t="shared" si="1"/>
        <v>S09068 - Bellefontaine Gardens</v>
      </c>
      <c r="D30" s="27"/>
      <c r="E30" s="2" t="str">
        <f xml:space="preserve"> _xll.EPMOlapMemberO("[ACCOUNT].[H1].[A_BEDS_TOTAL]","","A_BEDS_TOTAL - Total Available Beds","","000")</f>
        <v>A_BEDS_TOTAL - Total Available Beds</v>
      </c>
      <c r="F30" s="72">
        <v>89</v>
      </c>
      <c r="G30">
        <v>89</v>
      </c>
      <c r="H30">
        <v>89</v>
      </c>
      <c r="I30">
        <v>89</v>
      </c>
      <c r="J30">
        <v>89</v>
      </c>
      <c r="K30">
        <v>89</v>
      </c>
    </row>
    <row r="31" spans="1:11" x14ac:dyDescent="0.25">
      <c r="A31" s="26" t="str">
        <f>_xll.EVPRO("Finance",$C31,"Inv_Type")</f>
        <v>Inv_Equity</v>
      </c>
      <c r="B31" s="26" t="str">
        <f t="shared" si="0"/>
        <v>Bellefontaine Gardens</v>
      </c>
      <c r="C31" s="26" t="str">
        <f t="shared" si="1"/>
        <v>S09068 - Bellefontaine Gardens</v>
      </c>
      <c r="D31" s="27"/>
      <c r="E31" s="14" t="str">
        <f xml:space="preserve"> _xll.EPMOlapMemberO("[ACCOUNT].[H1].[T_REVENUES]","","T_REVENUES - Total Tenant Revenues","","000")</f>
        <v>T_REVENUES - Total Tenant Revenues</v>
      </c>
      <c r="F31" s="72">
        <v>269528.82</v>
      </c>
      <c r="G31">
        <v>253184.13</v>
      </c>
      <c r="H31">
        <v>305841.18</v>
      </c>
      <c r="I31">
        <v>26420.59</v>
      </c>
      <c r="J31">
        <v>12728.95</v>
      </c>
      <c r="K31">
        <v>12958.3</v>
      </c>
    </row>
    <row r="32" spans="1:11" x14ac:dyDescent="0.25">
      <c r="A32" s="26" t="str">
        <f>_xll.EVPRO("Finance",$C32,"Inv_Type")</f>
        <v>Inv_Equity</v>
      </c>
      <c r="B32" s="26" t="str">
        <f t="shared" si="0"/>
        <v>Bellefontaine Gardens</v>
      </c>
      <c r="C32" s="26" t="str">
        <f t="shared" si="1"/>
        <v>S09068 - Bellefontaine Gardens</v>
      </c>
      <c r="D32" s="27"/>
      <c r="E32" s="14" t="str">
        <f xml:space="preserve"> _xll.EPMOlapMemberO("[ACCOUNT].[H1].[T_OPEX]","","T_OPEX - Tenant Operating Expenses","","000")</f>
        <v>T_OPEX - Tenant Operating Expenses</v>
      </c>
      <c r="F32" s="72">
        <v>261974.04</v>
      </c>
      <c r="G32">
        <v>241842.54</v>
      </c>
      <c r="H32">
        <v>285304.55</v>
      </c>
      <c r="I32">
        <v>142783.01</v>
      </c>
      <c r="J32">
        <v>140276.31</v>
      </c>
      <c r="K32">
        <v>38903.94</v>
      </c>
    </row>
    <row r="33" spans="1:11" x14ac:dyDescent="0.25">
      <c r="A33" s="26" t="str">
        <f>_xll.EVPRO("Finance",$C33,"Inv_Type")</f>
        <v>Inv_Equity</v>
      </c>
      <c r="B33" s="26" t="str">
        <f t="shared" si="0"/>
        <v>Bellefontaine Gardens</v>
      </c>
      <c r="C33" s="26" t="str">
        <f t="shared" si="1"/>
        <v>S09068 - Bellefontaine Gardens</v>
      </c>
      <c r="D33" s="27"/>
      <c r="E33" s="2" t="str">
        <f xml:space="preserve"> _xll.EPMOlapMemberO("[ACCOUNT].[H1].[T_NON_OP_EXP]","","T_NON_OP_EXP - Tenant Non-Operating Expense","","000")</f>
        <v>T_NON_OP_EXP - Tenant Non-Operating Expense</v>
      </c>
      <c r="F33" s="72">
        <v>2810.68</v>
      </c>
      <c r="G33">
        <v>2810.68</v>
      </c>
      <c r="H33">
        <v>2810.68</v>
      </c>
      <c r="I33">
        <v>2810.68</v>
      </c>
      <c r="J33">
        <v>2810.68</v>
      </c>
      <c r="K33">
        <v>2810.68</v>
      </c>
    </row>
    <row r="34" spans="1:11" x14ac:dyDescent="0.25">
      <c r="A34" s="26" t="str">
        <f>_xll.EVPRO("Finance",$C34,"Inv_Type")</f>
        <v>Inv_Equity</v>
      </c>
      <c r="B34" s="26" t="str">
        <f t="shared" si="0"/>
        <v>Bellefontaine Gardens</v>
      </c>
      <c r="C34" s="26" t="str">
        <f t="shared" si="1"/>
        <v>S09068 - Bellefontaine Gardens</v>
      </c>
      <c r="D34" s="27"/>
      <c r="E34" s="15" t="str">
        <f xml:space="preserve"> _xll.EPMOlapMemberO("[ACCOUNT].[H1].[T_BAD_DEBT]","","T_BAD_DEBT - Tenant Bad Debt Expense","","000")</f>
        <v>T_BAD_DEBT - Tenant Bad Debt Expense</v>
      </c>
      <c r="F34" s="72">
        <v>10472.129999999999</v>
      </c>
      <c r="G34">
        <v>12327.13</v>
      </c>
      <c r="H34">
        <v>11250.13</v>
      </c>
      <c r="I34">
        <v>10472.129999999999</v>
      </c>
      <c r="J34">
        <v>10472.129999999999</v>
      </c>
      <c r="K34">
        <v>10472.129999999999</v>
      </c>
    </row>
    <row r="35" spans="1:11" x14ac:dyDescent="0.25">
      <c r="A35" s="26" t="str">
        <f>_xll.EVPRO("Finance",$C35,"Inv_Type")</f>
        <v>Inv_Equity</v>
      </c>
      <c r="B35" s="26" t="str">
        <f t="shared" si="0"/>
        <v>Bellefontaine Gardens</v>
      </c>
      <c r="C35" s="26" t="str">
        <f t="shared" si="1"/>
        <v>S09068 - Bellefontaine Gardens</v>
      </c>
      <c r="D35" s="27"/>
      <c r="E35" s="3" t="str">
        <f xml:space="preserve"> _xll.EPMOlapMemberO("[ACCOUNT].[H1].[T_EBITDARM]","","T_EBITDARM - EBITDARM","","000")</f>
        <v>T_EBITDARM - EBITDARM</v>
      </c>
      <c r="F35" s="72">
        <v>7554.78</v>
      </c>
      <c r="G35">
        <v>11341.5900000001</v>
      </c>
      <c r="H35">
        <v>20536.629999999899</v>
      </c>
      <c r="I35">
        <v>-116362.42</v>
      </c>
      <c r="J35">
        <v>-127547.36</v>
      </c>
      <c r="K35">
        <v>-25945.64</v>
      </c>
    </row>
    <row r="36" spans="1:11" x14ac:dyDescent="0.25">
      <c r="A36" s="26" t="str">
        <f>_xll.EVPRO("Finance",$C36,"Inv_Type")</f>
        <v>Inv_Equity</v>
      </c>
      <c r="B36" s="26" t="str">
        <f t="shared" si="0"/>
        <v>Bellefontaine Gardens</v>
      </c>
      <c r="C36" s="26" t="str">
        <f t="shared" si="1"/>
        <v>S09068 - Bellefontaine Gardens</v>
      </c>
      <c r="D36" s="27"/>
      <c r="E36" s="3" t="str">
        <f xml:space="preserve"> _xll.EPMOlapMemberO("[ACCOUNT].[H1].[T_MGMT_FEE]","","T_MGMT_FEE - Tenant Management Fee - Actual","","000")</f>
        <v>T_MGMT_FEE - Tenant Management Fee - Actual</v>
      </c>
      <c r="F36" s="72">
        <v>19265.310000000001</v>
      </c>
      <c r="G36">
        <v>17201.54</v>
      </c>
      <c r="H36">
        <v>19612.27</v>
      </c>
    </row>
    <row r="37" spans="1:11" x14ac:dyDescent="0.25">
      <c r="A37" s="26" t="str">
        <f>_xll.EVPRO("Finance",$C37,"Inv_Type")</f>
        <v>Inv_Equity</v>
      </c>
      <c r="B37" s="26" t="str">
        <f t="shared" si="0"/>
        <v>Bellefontaine Gardens</v>
      </c>
      <c r="C37" s="26" t="str">
        <f t="shared" si="1"/>
        <v>S09068 - Bellefontaine Gardens</v>
      </c>
      <c r="D37" s="27"/>
      <c r="E37" s="2" t="str">
        <f xml:space="preserve"> _xll.EPMOlapMemberO("[ACCOUNT].[H1].[T_EBITDAR]","","T_EBITDAR - EBITDAR","","000")</f>
        <v>T_EBITDAR - EBITDAR</v>
      </c>
      <c r="F37" s="72">
        <v>-11710.53</v>
      </c>
      <c r="G37">
        <v>-5859.9499999999498</v>
      </c>
      <c r="H37">
        <v>924.35999999994601</v>
      </c>
      <c r="I37">
        <v>-116362.42</v>
      </c>
      <c r="J37">
        <v>-127547.36</v>
      </c>
      <c r="K37">
        <v>-25945.64</v>
      </c>
    </row>
    <row r="38" spans="1:11" x14ac:dyDescent="0.25">
      <c r="A38" s="26" t="str">
        <f>_xll.EVPRO("Finance",$C38,"Inv_Type")</f>
        <v>Inv_Equity</v>
      </c>
      <c r="B38" s="26" t="str">
        <f t="shared" si="0"/>
        <v>Bellefontaine Gardens</v>
      </c>
      <c r="C38" s="26" t="str">
        <f t="shared" si="1"/>
        <v>S09068 - Bellefontaine Gardens</v>
      </c>
      <c r="D38" s="27"/>
      <c r="E38" s="2" t="str">
        <f xml:space="preserve"> _xll.EPMOlapMemberO("[ACCOUNT].[H1].[T_COVERAGE_RENT]","","T_COVERAGE_RENT - Coverage Rent","","000")</f>
        <v>T_COVERAGE_RENT - Coverage Rent</v>
      </c>
      <c r="F38" s="72">
        <v>33405.980000000003</v>
      </c>
      <c r="G38">
        <v>35076.28</v>
      </c>
      <c r="H38">
        <v>35076.28</v>
      </c>
      <c r="I38">
        <v>35076.28</v>
      </c>
      <c r="J38">
        <v>35076.28</v>
      </c>
      <c r="K38">
        <v>35076.28</v>
      </c>
    </row>
    <row r="39" spans="1:11" x14ac:dyDescent="0.25">
      <c r="A39" s="26" t="str">
        <f>_xll.EVPRO("Finance",$C39,"Inv_Type")</f>
        <v>Inv_Equity</v>
      </c>
      <c r="B39" s="26" t="str">
        <f t="shared" si="0"/>
        <v>Bellefontaine Gardens</v>
      </c>
      <c r="C39" s="26" t="str">
        <f t="shared" si="1"/>
        <v>S09068 - Bellefontaine Gardens</v>
      </c>
      <c r="D39" s="27"/>
      <c r="E39" s="2" t="str">
        <f xml:space="preserve"> _xll.EPMOlapMemberO("[ACCOUNT].[H1].[T_RENT_EXP]","","T_RENT_EXP - Tenant Rent Expense","","000")</f>
        <v>T_RENT_EXP - Tenant Rent Expense</v>
      </c>
      <c r="F39" s="72">
        <v>42625.4</v>
      </c>
      <c r="G39">
        <v>42625.4</v>
      </c>
      <c r="H39">
        <v>46678.58</v>
      </c>
      <c r="I39">
        <v>44651.99</v>
      </c>
      <c r="J39">
        <v>44651.99</v>
      </c>
      <c r="K39">
        <v>44651.99</v>
      </c>
    </row>
    <row r="40" spans="1:11" x14ac:dyDescent="0.25">
      <c r="A40" s="26" t="str">
        <f>_xll.EVPRO("Finance",$C40,"Inv_Type")</f>
        <v>Inv_Equity</v>
      </c>
      <c r="B40" s="26" t="str">
        <f t="shared" si="0"/>
        <v>Current  River Nursing Center</v>
      </c>
      <c r="C40" s="26" t="str">
        <f t="shared" si="1"/>
        <v>S09069 - Current  River Nursing Center</v>
      </c>
      <c r="D40" s="27" t="str">
        <f xml:space="preserve"> _xll.EPMOlapMemberO("[ENTITY].[H1].[S09069]","","S09069 - Current  River Nursing Center","","000")</f>
        <v>S09069 - Current  River Nursing Center</v>
      </c>
      <c r="E40" s="27" t="str">
        <f xml:space="preserve"> _xll.EPMOlapMemberO("[ACCOUNT].[H1].[PAY_PAT_DAYS]","","PAY_PAT_DAYS - Total Payor Patient Days","","000")</f>
        <v>PAY_PAT_DAYS - Total Payor Patient Days</v>
      </c>
      <c r="F40" s="72">
        <v>1455</v>
      </c>
      <c r="G40">
        <v>1322</v>
      </c>
      <c r="H40">
        <v>1357</v>
      </c>
      <c r="I40">
        <v>1144</v>
      </c>
      <c r="J40">
        <v>1157</v>
      </c>
      <c r="K40">
        <v>1117</v>
      </c>
    </row>
    <row r="41" spans="1:11" x14ac:dyDescent="0.25">
      <c r="A41" s="26" t="str">
        <f>_xll.EVPRO("Finance",$C41,"Inv_Type")</f>
        <v>Inv_Equity</v>
      </c>
      <c r="B41" s="26" t="str">
        <f t="shared" si="0"/>
        <v>Current  River Nursing Center</v>
      </c>
      <c r="C41" s="26" t="str">
        <f t="shared" si="1"/>
        <v>S09069 - Current  River Nursing Center</v>
      </c>
      <c r="D41" s="27"/>
      <c r="E41" s="2" t="str">
        <f xml:space="preserve"> _xll.EPMOlapMemberO("[ACCOUNT].[H1].[A_BEDS_TOTAL]","","A_BEDS_TOTAL - Total Available Beds","","000")</f>
        <v>A_BEDS_TOTAL - Total Available Beds</v>
      </c>
      <c r="F41" s="72">
        <v>107</v>
      </c>
      <c r="G41">
        <v>107</v>
      </c>
      <c r="H41">
        <v>107</v>
      </c>
      <c r="I41">
        <v>107</v>
      </c>
      <c r="J41">
        <v>107</v>
      </c>
      <c r="K41">
        <v>107</v>
      </c>
    </row>
    <row r="42" spans="1:11" x14ac:dyDescent="0.25">
      <c r="A42" s="26" t="str">
        <f>_xll.EVPRO("Finance",$C42,"Inv_Type")</f>
        <v>Inv_Equity</v>
      </c>
      <c r="B42" s="26" t="str">
        <f t="shared" si="0"/>
        <v>Current  River Nursing Center</v>
      </c>
      <c r="C42" s="26" t="str">
        <f t="shared" si="1"/>
        <v>S09069 - Current  River Nursing Center</v>
      </c>
      <c r="D42" s="27"/>
      <c r="E42" s="14" t="str">
        <f xml:space="preserve"> _xll.EPMOlapMemberO("[ACCOUNT].[H1].[T_REVENUES]","","T_REVENUES - Total Tenant Revenues","","000")</f>
        <v>T_REVENUES - Total Tenant Revenues</v>
      </c>
      <c r="F42" s="72">
        <v>327030.90000000002</v>
      </c>
      <c r="G42">
        <v>298868.07</v>
      </c>
      <c r="H42">
        <v>337379.85</v>
      </c>
      <c r="I42">
        <v>252983.63</v>
      </c>
      <c r="J42">
        <v>259827.76</v>
      </c>
      <c r="K42">
        <v>240486.61</v>
      </c>
    </row>
    <row r="43" spans="1:11" x14ac:dyDescent="0.25">
      <c r="A43" s="26" t="str">
        <f>_xll.EVPRO("Finance",$C43,"Inv_Type")</f>
        <v>Inv_Equity</v>
      </c>
      <c r="B43" s="26" t="str">
        <f t="shared" si="0"/>
        <v>Current  River Nursing Center</v>
      </c>
      <c r="C43" s="26" t="str">
        <f t="shared" si="1"/>
        <v>S09069 - Current  River Nursing Center</v>
      </c>
      <c r="D43" s="27"/>
      <c r="E43" s="14" t="str">
        <f xml:space="preserve"> _xll.EPMOlapMemberO("[ACCOUNT].[H1].[T_OPEX]","","T_OPEX - Tenant Operating Expenses","","000")</f>
        <v>T_OPEX - Tenant Operating Expenses</v>
      </c>
      <c r="F43" s="72">
        <v>290984.03000000003</v>
      </c>
      <c r="G43">
        <v>253519.77</v>
      </c>
      <c r="H43">
        <v>277734.23</v>
      </c>
      <c r="I43">
        <v>234956.28</v>
      </c>
      <c r="J43">
        <v>281056.38</v>
      </c>
      <c r="K43">
        <v>229463</v>
      </c>
    </row>
    <row r="44" spans="1:11" x14ac:dyDescent="0.25">
      <c r="A44" s="26" t="str">
        <f>_xll.EVPRO("Finance",$C44,"Inv_Type")</f>
        <v>Inv_Equity</v>
      </c>
      <c r="B44" s="26" t="str">
        <f t="shared" si="0"/>
        <v>Current  River Nursing Center</v>
      </c>
      <c r="C44" s="26" t="str">
        <f t="shared" si="1"/>
        <v>S09069 - Current  River Nursing Center</v>
      </c>
      <c r="D44" s="27"/>
      <c r="E44" s="2" t="str">
        <f xml:space="preserve"> _xll.EPMOlapMemberO("[ACCOUNT].[H1].[T_NON_OP_EXP]","","T_NON_OP_EXP - Tenant Non-Operating Expense","","000")</f>
        <v>T_NON_OP_EXP - Tenant Non-Operating Expense</v>
      </c>
      <c r="F44" s="72">
        <v>653.91999999999996</v>
      </c>
      <c r="G44">
        <v>653.91999999999996</v>
      </c>
      <c r="H44">
        <v>653.91999999999996</v>
      </c>
      <c r="I44">
        <v>653.91999999999996</v>
      </c>
      <c r="J44">
        <v>653.91999999999996</v>
      </c>
      <c r="K44">
        <v>653.91999999999996</v>
      </c>
    </row>
    <row r="45" spans="1:11" x14ac:dyDescent="0.25">
      <c r="A45" s="26" t="str">
        <f>_xll.EVPRO("Finance",$C45,"Inv_Type")</f>
        <v>Inv_Equity</v>
      </c>
      <c r="B45" s="26" t="str">
        <f t="shared" si="0"/>
        <v>Current  River Nursing Center</v>
      </c>
      <c r="C45" s="26" t="str">
        <f t="shared" si="1"/>
        <v>S09069 - Current  River Nursing Center</v>
      </c>
      <c r="D45" s="27"/>
      <c r="E45" s="15" t="str">
        <f xml:space="preserve"> _xll.EPMOlapMemberO("[ACCOUNT].[H1].[T_BAD_DEBT]","","T_BAD_DEBT - Tenant Bad Debt Expense","","000")</f>
        <v>T_BAD_DEBT - Tenant Bad Debt Expense</v>
      </c>
      <c r="F45" s="72">
        <v>19829.650000000001</v>
      </c>
      <c r="G45">
        <v>13337.15</v>
      </c>
      <c r="H45">
        <v>16088.65</v>
      </c>
      <c r="I45">
        <v>14143.65</v>
      </c>
      <c r="J45">
        <v>22118.15</v>
      </c>
      <c r="K45">
        <v>8503.15</v>
      </c>
    </row>
    <row r="46" spans="1:11" x14ac:dyDescent="0.25">
      <c r="A46" s="26" t="str">
        <f>_xll.EVPRO("Finance",$C46,"Inv_Type")</f>
        <v>Inv_Equity</v>
      </c>
      <c r="B46" s="26" t="str">
        <f t="shared" si="0"/>
        <v>Current  River Nursing Center</v>
      </c>
      <c r="C46" s="26" t="str">
        <f t="shared" si="1"/>
        <v>S09069 - Current  River Nursing Center</v>
      </c>
      <c r="D46" s="27"/>
      <c r="E46" s="3" t="str">
        <f xml:space="preserve"> _xll.EPMOlapMemberO("[ACCOUNT].[H1].[T_EBITDARM]","","T_EBITDARM - EBITDARM","","000")</f>
        <v>T_EBITDARM - EBITDARM</v>
      </c>
      <c r="F46" s="72">
        <v>36046.870000000097</v>
      </c>
      <c r="G46">
        <v>45348.3</v>
      </c>
      <c r="H46">
        <v>59645.62</v>
      </c>
      <c r="I46">
        <v>18027.349999999999</v>
      </c>
      <c r="J46">
        <v>-21228.619999999901</v>
      </c>
      <c r="K46">
        <v>11023.61</v>
      </c>
    </row>
    <row r="47" spans="1:11" x14ac:dyDescent="0.25">
      <c r="A47" s="26" t="str">
        <f>_xll.EVPRO("Finance",$C47,"Inv_Type")</f>
        <v>Inv_Equity</v>
      </c>
      <c r="B47" s="26" t="str">
        <f t="shared" si="0"/>
        <v>Current  River Nursing Center</v>
      </c>
      <c r="C47" s="26" t="str">
        <f t="shared" si="1"/>
        <v>S09069 - Current  River Nursing Center</v>
      </c>
      <c r="D47" s="27"/>
      <c r="E47" s="3" t="str">
        <f xml:space="preserve"> _xll.EPMOlapMemberO("[ACCOUNT].[H1].[T_MGMT_FEE]","","T_MGMT_FEE - Tenant Management Fee - Actual","","000")</f>
        <v>T_MGMT_FEE - Tenant Management Fee - Actual</v>
      </c>
      <c r="F47" s="72">
        <v>23651.17</v>
      </c>
      <c r="G47">
        <v>21209.45</v>
      </c>
      <c r="H47">
        <v>22534.38</v>
      </c>
      <c r="I47">
        <v>17588.259999999998</v>
      </c>
      <c r="J47">
        <v>17961.72</v>
      </c>
      <c r="K47">
        <v>16512.62</v>
      </c>
    </row>
    <row r="48" spans="1:11" x14ac:dyDescent="0.25">
      <c r="A48" s="26" t="str">
        <f>_xll.EVPRO("Finance",$C48,"Inv_Type")</f>
        <v>Inv_Equity</v>
      </c>
      <c r="B48" s="26" t="str">
        <f t="shared" si="0"/>
        <v>Current  River Nursing Center</v>
      </c>
      <c r="C48" s="26" t="str">
        <f t="shared" si="1"/>
        <v>S09069 - Current  River Nursing Center</v>
      </c>
      <c r="D48" s="27"/>
      <c r="E48" s="2" t="str">
        <f xml:space="preserve"> _xll.EPMOlapMemberO("[ACCOUNT].[H1].[T_EBITDAR]","","T_EBITDAR - EBITDAR","","000")</f>
        <v>T_EBITDAR - EBITDAR</v>
      </c>
      <c r="F48" s="72">
        <v>12395.700000000101</v>
      </c>
      <c r="G48">
        <v>24138.85</v>
      </c>
      <c r="H48">
        <v>37111.24</v>
      </c>
      <c r="I48">
        <v>439.09000000000702</v>
      </c>
      <c r="J48">
        <v>-39190.339999999902</v>
      </c>
      <c r="K48">
        <v>-5489.0100000000102</v>
      </c>
    </row>
    <row r="49" spans="1:11" x14ac:dyDescent="0.25">
      <c r="A49" s="26" t="str">
        <f>_xll.EVPRO("Finance",$C49,"Inv_Type")</f>
        <v>Inv_Equity</v>
      </c>
      <c r="B49" s="26" t="str">
        <f t="shared" si="0"/>
        <v>Current  River Nursing Center</v>
      </c>
      <c r="C49" s="26" t="str">
        <f t="shared" si="1"/>
        <v>S09069 - Current  River Nursing Center</v>
      </c>
      <c r="D49" s="27"/>
      <c r="E49" s="2" t="str">
        <f xml:space="preserve"> _xll.EPMOlapMemberO("[ACCOUNT].[H1].[T_COVERAGE_RENT]","","T_COVERAGE_RENT - Coverage Rent","","000")</f>
        <v>T_COVERAGE_RENT - Coverage Rent</v>
      </c>
      <c r="F49" s="72">
        <v>54287.05</v>
      </c>
      <c r="G49">
        <v>57001.4</v>
      </c>
      <c r="H49">
        <v>57001.4</v>
      </c>
      <c r="I49">
        <v>57001.4</v>
      </c>
      <c r="J49">
        <v>57001.4</v>
      </c>
      <c r="K49">
        <v>57001.4</v>
      </c>
    </row>
    <row r="50" spans="1:11" x14ac:dyDescent="0.25">
      <c r="A50" s="26" t="str">
        <f>_xll.EVPRO("Finance",$C50,"Inv_Type")</f>
        <v>Inv_Equity</v>
      </c>
      <c r="B50" s="26" t="str">
        <f t="shared" si="0"/>
        <v>Current  River Nursing Center</v>
      </c>
      <c r="C50" s="26" t="str">
        <f t="shared" si="1"/>
        <v>S09069 - Current  River Nursing Center</v>
      </c>
      <c r="D50" s="27"/>
      <c r="E50" s="2" t="str">
        <f xml:space="preserve"> _xll.EPMOlapMemberO("[ACCOUNT].[H1].[T_RENT_EXP]","","T_RENT_EXP - Tenant Rent Expense","","000")</f>
        <v>T_RENT_EXP - Tenant Rent Expense</v>
      </c>
      <c r="F50" s="72">
        <v>70799.399999999994</v>
      </c>
      <c r="G50">
        <v>70799.399999999994</v>
      </c>
      <c r="H50">
        <v>77531.600000000006</v>
      </c>
      <c r="I50">
        <v>74165.5</v>
      </c>
      <c r="J50">
        <v>74165.5</v>
      </c>
      <c r="K50">
        <v>74165.5</v>
      </c>
    </row>
    <row r="51" spans="1:11" x14ac:dyDescent="0.25">
      <c r="A51" s="26" t="str">
        <f>_xll.EVPRO("Finance",$C51,"Inv_Type")</f>
        <v>Inv_Equity</v>
      </c>
      <c r="B51" s="26" t="str">
        <f t="shared" si="0"/>
        <v>Dixon Nursing &amp; Rehab</v>
      </c>
      <c r="C51" s="26" t="str">
        <f t="shared" si="1"/>
        <v>S09070 - Dixon Nursing &amp; Rehab</v>
      </c>
      <c r="D51" s="27" t="str">
        <f xml:space="preserve"> _xll.EPMOlapMemberO("[ENTITY].[H1].[S09070]","","S09070 - Dixon Nursing &amp; Rehab","","000")</f>
        <v>S09070 - Dixon Nursing &amp; Rehab</v>
      </c>
      <c r="E51" s="27" t="str">
        <f xml:space="preserve"> _xll.EPMOlapMemberO("[ACCOUNT].[H1].[PAY_PAT_DAYS]","","PAY_PAT_DAYS - Total Payor Patient Days","","000")</f>
        <v>PAY_PAT_DAYS - Total Payor Patient Days</v>
      </c>
      <c r="F51" s="72">
        <v>1124</v>
      </c>
      <c r="G51">
        <v>1059</v>
      </c>
      <c r="H51">
        <v>1237</v>
      </c>
      <c r="I51">
        <v>1344</v>
      </c>
      <c r="J51">
        <v>1327</v>
      </c>
      <c r="K51">
        <v>1278</v>
      </c>
    </row>
    <row r="52" spans="1:11" x14ac:dyDescent="0.25">
      <c r="A52" s="26" t="str">
        <f>_xll.EVPRO("Finance",$C52,"Inv_Type")</f>
        <v>Inv_Equity</v>
      </c>
      <c r="B52" s="26" t="str">
        <f t="shared" si="0"/>
        <v>Dixon Nursing &amp; Rehab</v>
      </c>
      <c r="C52" s="26" t="str">
        <f t="shared" si="1"/>
        <v>S09070 - Dixon Nursing &amp; Rehab</v>
      </c>
      <c r="D52" s="27"/>
      <c r="E52" s="2" t="str">
        <f xml:space="preserve"> _xll.EPMOlapMemberO("[ACCOUNT].[H1].[A_BEDS_TOTAL]","","A_BEDS_TOTAL - Total Available Beds","","000")</f>
        <v>A_BEDS_TOTAL - Total Available Beds</v>
      </c>
      <c r="F52" s="72">
        <v>58</v>
      </c>
      <c r="G52">
        <v>58</v>
      </c>
      <c r="H52">
        <v>58</v>
      </c>
      <c r="I52">
        <v>58</v>
      </c>
      <c r="J52">
        <v>58</v>
      </c>
      <c r="K52">
        <v>58</v>
      </c>
    </row>
    <row r="53" spans="1:11" x14ac:dyDescent="0.25">
      <c r="A53" s="26" t="str">
        <f>_xll.EVPRO("Finance",$C53,"Inv_Type")</f>
        <v>Inv_Equity</v>
      </c>
      <c r="B53" s="26" t="str">
        <f t="shared" si="0"/>
        <v>Dixon Nursing &amp; Rehab</v>
      </c>
      <c r="C53" s="26" t="str">
        <f t="shared" si="1"/>
        <v>S09070 - Dixon Nursing &amp; Rehab</v>
      </c>
      <c r="D53" s="27"/>
      <c r="E53" s="14" t="str">
        <f xml:space="preserve"> _xll.EPMOlapMemberO("[ACCOUNT].[H1].[T_REVENUES]","","T_REVENUES - Total Tenant Revenues","","000")</f>
        <v>T_REVENUES - Total Tenant Revenues</v>
      </c>
      <c r="F53" s="72">
        <v>213055.17</v>
      </c>
      <c r="G53">
        <v>222138.5</v>
      </c>
      <c r="H53">
        <v>235484.64</v>
      </c>
      <c r="I53">
        <v>260728.88</v>
      </c>
      <c r="J53">
        <v>261741.84</v>
      </c>
      <c r="K53">
        <v>248812.94</v>
      </c>
    </row>
    <row r="54" spans="1:11" x14ac:dyDescent="0.25">
      <c r="A54" s="26" t="str">
        <f>_xll.EVPRO("Finance",$C54,"Inv_Type")</f>
        <v>Inv_Equity</v>
      </c>
      <c r="B54" s="26" t="str">
        <f t="shared" si="0"/>
        <v>Dixon Nursing &amp; Rehab</v>
      </c>
      <c r="C54" s="26" t="str">
        <f t="shared" si="1"/>
        <v>S09070 - Dixon Nursing &amp; Rehab</v>
      </c>
      <c r="D54" s="27"/>
      <c r="E54" s="14" t="str">
        <f xml:space="preserve"> _xll.EPMOlapMemberO("[ACCOUNT].[H1].[T_OPEX]","","T_OPEX - Tenant Operating Expenses","","000")</f>
        <v>T_OPEX - Tenant Operating Expenses</v>
      </c>
      <c r="F54" s="72">
        <v>181267.44</v>
      </c>
      <c r="G54">
        <v>173591.74</v>
      </c>
      <c r="H54">
        <v>195029.26</v>
      </c>
      <c r="I54">
        <v>187474.94</v>
      </c>
      <c r="J54">
        <v>220674.92</v>
      </c>
      <c r="K54">
        <v>198507.54</v>
      </c>
    </row>
    <row r="55" spans="1:11" x14ac:dyDescent="0.25">
      <c r="A55" s="26" t="str">
        <f>_xll.EVPRO("Finance",$C55,"Inv_Type")</f>
        <v>Inv_Equity</v>
      </c>
      <c r="B55" s="26" t="str">
        <f t="shared" si="0"/>
        <v>Dixon Nursing &amp; Rehab</v>
      </c>
      <c r="C55" s="26" t="str">
        <f t="shared" si="1"/>
        <v>S09070 - Dixon Nursing &amp; Rehab</v>
      </c>
      <c r="D55" s="27"/>
      <c r="E55" s="2" t="str">
        <f xml:space="preserve"> _xll.EPMOlapMemberO("[ACCOUNT].[H1].[T_NON_OP_EXP]","","T_NON_OP_EXP - Tenant Non-Operating Expense","","000")</f>
        <v>T_NON_OP_EXP - Tenant Non-Operating Expense</v>
      </c>
      <c r="F55" s="72">
        <v>501.33</v>
      </c>
      <c r="G55">
        <v>501.33</v>
      </c>
      <c r="H55">
        <v>501.33</v>
      </c>
      <c r="I55">
        <v>501.33</v>
      </c>
      <c r="J55">
        <v>501.33</v>
      </c>
      <c r="K55">
        <v>501.33</v>
      </c>
    </row>
    <row r="56" spans="1:11" x14ac:dyDescent="0.25">
      <c r="A56" s="26" t="str">
        <f>_xll.EVPRO("Finance",$C56,"Inv_Type")</f>
        <v>Inv_Equity</v>
      </c>
      <c r="B56" s="26" t="str">
        <f t="shared" si="0"/>
        <v>Dixon Nursing &amp; Rehab</v>
      </c>
      <c r="C56" s="26" t="str">
        <f t="shared" si="1"/>
        <v>S09070 - Dixon Nursing &amp; Rehab</v>
      </c>
      <c r="D56" s="27"/>
      <c r="E56" s="15" t="str">
        <f xml:space="preserve"> _xll.EPMOlapMemberO("[ACCOUNT].[H1].[T_BAD_DEBT]","","T_BAD_DEBT - Tenant Bad Debt Expense","","000")</f>
        <v>T_BAD_DEBT - Tenant Bad Debt Expense</v>
      </c>
      <c r="F56" s="72">
        <v>293.33</v>
      </c>
      <c r="G56">
        <v>293.33</v>
      </c>
      <c r="H56">
        <v>293.33</v>
      </c>
      <c r="I56">
        <v>293.33</v>
      </c>
      <c r="J56">
        <v>293.33</v>
      </c>
      <c r="K56">
        <v>293.33</v>
      </c>
    </row>
    <row r="57" spans="1:11" x14ac:dyDescent="0.25">
      <c r="A57" s="26" t="str">
        <f>_xll.EVPRO("Finance",$C57,"Inv_Type")</f>
        <v>Inv_Equity</v>
      </c>
      <c r="B57" s="26" t="str">
        <f t="shared" si="0"/>
        <v>Dixon Nursing &amp; Rehab</v>
      </c>
      <c r="C57" s="26" t="str">
        <f t="shared" si="1"/>
        <v>S09070 - Dixon Nursing &amp; Rehab</v>
      </c>
      <c r="D57" s="27"/>
      <c r="E57" s="3" t="str">
        <f xml:space="preserve"> _xll.EPMOlapMemberO("[ACCOUNT].[H1].[T_EBITDARM]","","T_EBITDARM - EBITDARM","","000")</f>
        <v>T_EBITDARM - EBITDARM</v>
      </c>
      <c r="F57" s="72">
        <v>31787.73</v>
      </c>
      <c r="G57">
        <v>48546.76</v>
      </c>
      <c r="H57">
        <v>40455.379999999997</v>
      </c>
      <c r="I57">
        <v>73253.94</v>
      </c>
      <c r="J57">
        <v>41066.92</v>
      </c>
      <c r="K57">
        <v>50305.4</v>
      </c>
    </row>
    <row r="58" spans="1:11" x14ac:dyDescent="0.25">
      <c r="A58" s="26" t="str">
        <f>_xll.EVPRO("Finance",$C58,"Inv_Type")</f>
        <v>Inv_Equity</v>
      </c>
      <c r="B58" s="26" t="str">
        <f t="shared" si="0"/>
        <v>Dixon Nursing &amp; Rehab</v>
      </c>
      <c r="C58" s="26" t="str">
        <f t="shared" si="1"/>
        <v>S09070 - Dixon Nursing &amp; Rehab</v>
      </c>
      <c r="D58" s="27"/>
      <c r="E58" s="3" t="str">
        <f xml:space="preserve"> _xll.EPMOlapMemberO("[ACCOUNT].[H1].[T_MGMT_FEE]","","T_MGMT_FEE - Tenant Management Fee - Actual","","000")</f>
        <v>T_MGMT_FEE - Tenant Management Fee - Actual</v>
      </c>
      <c r="F58" s="72">
        <v>15217.29</v>
      </c>
      <c r="G58">
        <v>15423.79</v>
      </c>
      <c r="H58">
        <v>16195.62</v>
      </c>
      <c r="I58">
        <v>17737.77</v>
      </c>
      <c r="J58">
        <v>18751.830000000002</v>
      </c>
      <c r="K58">
        <v>17578.61</v>
      </c>
    </row>
    <row r="59" spans="1:11" x14ac:dyDescent="0.25">
      <c r="A59" s="26" t="str">
        <f>_xll.EVPRO("Finance",$C59,"Inv_Type")</f>
        <v>Inv_Equity</v>
      </c>
      <c r="B59" s="26" t="str">
        <f t="shared" si="0"/>
        <v>Dixon Nursing &amp; Rehab</v>
      </c>
      <c r="C59" s="26" t="str">
        <f t="shared" si="1"/>
        <v>S09070 - Dixon Nursing &amp; Rehab</v>
      </c>
      <c r="D59" s="27"/>
      <c r="E59" s="2" t="str">
        <f xml:space="preserve"> _xll.EPMOlapMemberO("[ACCOUNT].[H1].[T_EBITDAR]","","T_EBITDAR - EBITDAR","","000")</f>
        <v>T_EBITDAR - EBITDAR</v>
      </c>
      <c r="F59" s="72">
        <v>16570.439999999999</v>
      </c>
      <c r="G59">
        <v>33122.97</v>
      </c>
      <c r="H59">
        <v>24259.759999999998</v>
      </c>
      <c r="I59">
        <v>55516.17</v>
      </c>
      <c r="J59">
        <v>22315.09</v>
      </c>
      <c r="K59">
        <v>32726.79</v>
      </c>
    </row>
    <row r="60" spans="1:11" x14ac:dyDescent="0.25">
      <c r="A60" s="26" t="str">
        <f>_xll.EVPRO("Finance",$C60,"Inv_Type")</f>
        <v>Inv_Equity</v>
      </c>
      <c r="B60" s="26" t="str">
        <f t="shared" si="0"/>
        <v>Dixon Nursing &amp; Rehab</v>
      </c>
      <c r="C60" s="26" t="str">
        <f t="shared" si="1"/>
        <v>S09070 - Dixon Nursing &amp; Rehab</v>
      </c>
      <c r="D60" s="27"/>
      <c r="E60" s="2" t="str">
        <f xml:space="preserve"> _xll.EPMOlapMemberO("[ACCOUNT].[H1].[T_COVERAGE_RENT]","","T_COVERAGE_RENT - Coverage Rent","","000")</f>
        <v>T_COVERAGE_RENT - Coverage Rent</v>
      </c>
      <c r="F60" s="72">
        <v>25062.17</v>
      </c>
      <c r="G60">
        <v>26315.279999999999</v>
      </c>
      <c r="H60">
        <v>26315.279999999999</v>
      </c>
      <c r="I60">
        <v>26315.279999999999</v>
      </c>
      <c r="J60">
        <v>26315.279999999999</v>
      </c>
      <c r="K60">
        <v>26315.279999999999</v>
      </c>
    </row>
    <row r="61" spans="1:11" x14ac:dyDescent="0.25">
      <c r="A61" s="26" t="str">
        <f>_xll.EVPRO("Finance",$C61,"Inv_Type")</f>
        <v>Inv_Equity</v>
      </c>
      <c r="B61" s="26" t="str">
        <f t="shared" si="0"/>
        <v>Dixon Nursing &amp; Rehab</v>
      </c>
      <c r="C61" s="26" t="str">
        <f t="shared" si="1"/>
        <v>S09070 - Dixon Nursing &amp; Rehab</v>
      </c>
      <c r="D61" s="27"/>
      <c r="E61" s="2" t="str">
        <f xml:space="preserve"> _xll.EPMOlapMemberO("[ACCOUNT].[H1].[T_RENT_EXP]","","T_RENT_EXP - Tenant Rent Expense","","000")</f>
        <v>T_RENT_EXP - Tenant Rent Expense</v>
      </c>
      <c r="F61" s="72">
        <v>34720.400000000001</v>
      </c>
      <c r="G61">
        <v>35724.400000000001</v>
      </c>
      <c r="H61">
        <v>38021.9</v>
      </c>
      <c r="I61">
        <v>36371.15</v>
      </c>
      <c r="J61">
        <v>36371.15</v>
      </c>
      <c r="K61">
        <v>36371.15</v>
      </c>
    </row>
    <row r="62" spans="1:11" x14ac:dyDescent="0.25">
      <c r="A62" s="26" t="str">
        <f>_xll.EVPRO("Finance",$C62,"Inv_Type")</f>
        <v>Inv_Equity</v>
      </c>
      <c r="B62" s="26" t="str">
        <f t="shared" si="0"/>
        <v>Forsyth Nursing &amp; Rehab</v>
      </c>
      <c r="C62" s="26" t="str">
        <f t="shared" si="1"/>
        <v>S09071 - Forsyth Nursing &amp; Rehab</v>
      </c>
      <c r="D62" s="27" t="str">
        <f xml:space="preserve"> _xll.EPMOlapMemberO("[ENTITY].[H1].[S09071]","","S09071 - Forsyth Nursing &amp; Rehab","","000")</f>
        <v>S09071 - Forsyth Nursing &amp; Rehab</v>
      </c>
      <c r="E62" s="27" t="str">
        <f xml:space="preserve"> _xll.EPMOlapMemberO("[ACCOUNT].[H1].[PAY_PAT_DAYS]","","PAY_PAT_DAYS - Total Payor Patient Days","","000")</f>
        <v>PAY_PAT_DAYS - Total Payor Patient Days</v>
      </c>
      <c r="F62" s="72">
        <v>2468</v>
      </c>
      <c r="G62">
        <v>2234</v>
      </c>
      <c r="H62">
        <v>2497</v>
      </c>
      <c r="I62">
        <v>2490</v>
      </c>
      <c r="J62">
        <v>2596</v>
      </c>
      <c r="K62">
        <v>2443</v>
      </c>
    </row>
    <row r="63" spans="1:11" x14ac:dyDescent="0.25">
      <c r="A63" s="26" t="str">
        <f>_xll.EVPRO("Finance",$C63,"Inv_Type")</f>
        <v>Inv_Equity</v>
      </c>
      <c r="B63" s="26" t="str">
        <f t="shared" si="0"/>
        <v>Forsyth Nursing &amp; Rehab</v>
      </c>
      <c r="C63" s="26" t="str">
        <f t="shared" si="1"/>
        <v>S09071 - Forsyth Nursing &amp; Rehab</v>
      </c>
      <c r="D63" s="27"/>
      <c r="E63" s="2" t="str">
        <f xml:space="preserve"> _xll.EPMOlapMemberO("[ACCOUNT].[H1].[A_BEDS_TOTAL]","","A_BEDS_TOTAL - Total Available Beds","","000")</f>
        <v>A_BEDS_TOTAL - Total Available Beds</v>
      </c>
      <c r="F63" s="72">
        <v>120</v>
      </c>
      <c r="G63">
        <v>120</v>
      </c>
      <c r="H63">
        <v>120</v>
      </c>
      <c r="I63">
        <v>120</v>
      </c>
      <c r="J63">
        <v>120</v>
      </c>
      <c r="K63">
        <v>120</v>
      </c>
    </row>
    <row r="64" spans="1:11" x14ac:dyDescent="0.25">
      <c r="A64" s="26" t="str">
        <f>_xll.EVPRO("Finance",$C64,"Inv_Type")</f>
        <v>Inv_Equity</v>
      </c>
      <c r="B64" s="26" t="str">
        <f t="shared" si="0"/>
        <v>Forsyth Nursing &amp; Rehab</v>
      </c>
      <c r="C64" s="26" t="str">
        <f t="shared" si="1"/>
        <v>S09071 - Forsyth Nursing &amp; Rehab</v>
      </c>
      <c r="D64" s="27"/>
      <c r="E64" s="14" t="str">
        <f xml:space="preserve"> _xll.EPMOlapMemberO("[ACCOUNT].[H1].[T_REVENUES]","","T_REVENUES - Total Tenant Revenues","","000")</f>
        <v>T_REVENUES - Total Tenant Revenues</v>
      </c>
      <c r="F64" s="72">
        <v>476392.81</v>
      </c>
      <c r="G64">
        <v>425031.55</v>
      </c>
      <c r="H64">
        <v>478121.35</v>
      </c>
      <c r="I64">
        <v>479336.72</v>
      </c>
      <c r="J64">
        <v>514970.28</v>
      </c>
      <c r="K64">
        <v>482400.02</v>
      </c>
    </row>
    <row r="65" spans="1:11" x14ac:dyDescent="0.25">
      <c r="A65" s="26" t="str">
        <f>_xll.EVPRO("Finance",$C65,"Inv_Type")</f>
        <v>Inv_Equity</v>
      </c>
      <c r="B65" s="26" t="str">
        <f t="shared" si="0"/>
        <v>Forsyth Nursing &amp; Rehab</v>
      </c>
      <c r="C65" s="26" t="str">
        <f t="shared" si="1"/>
        <v>S09071 - Forsyth Nursing &amp; Rehab</v>
      </c>
      <c r="D65" s="27"/>
      <c r="E65" s="14" t="str">
        <f xml:space="preserve"> _xll.EPMOlapMemberO("[ACCOUNT].[H1].[T_OPEX]","","T_OPEX - Tenant Operating Expenses","","000")</f>
        <v>T_OPEX - Tenant Operating Expenses</v>
      </c>
      <c r="F65" s="72">
        <v>407366.04</v>
      </c>
      <c r="G65">
        <v>365282.57</v>
      </c>
      <c r="H65">
        <v>404679.55</v>
      </c>
      <c r="I65">
        <v>371919.41</v>
      </c>
      <c r="J65">
        <v>412515.13</v>
      </c>
      <c r="K65">
        <v>411788.22</v>
      </c>
    </row>
    <row r="66" spans="1:11" x14ac:dyDescent="0.25">
      <c r="A66" s="26" t="str">
        <f>_xll.EVPRO("Finance",$C66,"Inv_Type")</f>
        <v>Inv_Equity</v>
      </c>
      <c r="B66" s="26" t="str">
        <f t="shared" si="0"/>
        <v>Forsyth Nursing &amp; Rehab</v>
      </c>
      <c r="C66" s="26" t="str">
        <f t="shared" si="1"/>
        <v>S09071 - Forsyth Nursing &amp; Rehab</v>
      </c>
      <c r="D66" s="27"/>
      <c r="E66" s="2" t="str">
        <f xml:space="preserve"> _xll.EPMOlapMemberO("[ACCOUNT].[H1].[T_NON_OP_EXP]","","T_NON_OP_EXP - Tenant Non-Operating Expense","","000")</f>
        <v>T_NON_OP_EXP - Tenant Non-Operating Expense</v>
      </c>
      <c r="F66" s="72">
        <v>1909.68</v>
      </c>
      <c r="G66">
        <v>1909.68</v>
      </c>
      <c r="H66">
        <v>1909.68</v>
      </c>
      <c r="I66">
        <v>1294.22</v>
      </c>
      <c r="J66">
        <v>1909.68</v>
      </c>
      <c r="K66">
        <v>1909.68</v>
      </c>
    </row>
    <row r="67" spans="1:11" x14ac:dyDescent="0.25">
      <c r="A67" s="26" t="str">
        <f>_xll.EVPRO("Finance",$C67,"Inv_Type")</f>
        <v>Inv_Equity</v>
      </c>
      <c r="B67" s="26" t="str">
        <f t="shared" si="0"/>
        <v>Forsyth Nursing &amp; Rehab</v>
      </c>
      <c r="C67" s="26" t="str">
        <f t="shared" si="1"/>
        <v>S09071 - Forsyth Nursing &amp; Rehab</v>
      </c>
      <c r="D67" s="27"/>
      <c r="E67" s="15" t="str">
        <f xml:space="preserve"> _xll.EPMOlapMemberO("[ACCOUNT].[H1].[T_BAD_DEBT]","","T_BAD_DEBT - Tenant Bad Debt Expense","","000")</f>
        <v>T_BAD_DEBT - Tenant Bad Debt Expense</v>
      </c>
      <c r="F67" s="72">
        <v>5191.34</v>
      </c>
      <c r="G67">
        <v>3707.34</v>
      </c>
      <c r="H67">
        <v>3707.34</v>
      </c>
      <c r="I67">
        <v>3707.34</v>
      </c>
      <c r="J67">
        <v>5263.34</v>
      </c>
      <c r="K67">
        <v>3707.34</v>
      </c>
    </row>
    <row r="68" spans="1:11" x14ac:dyDescent="0.25">
      <c r="A68" s="26" t="str">
        <f>_xll.EVPRO("Finance",$C68,"Inv_Type")</f>
        <v>Inv_Equity</v>
      </c>
      <c r="B68" s="26" t="str">
        <f t="shared" si="0"/>
        <v>Forsyth Nursing &amp; Rehab</v>
      </c>
      <c r="C68" s="26" t="str">
        <f t="shared" si="1"/>
        <v>S09071 - Forsyth Nursing &amp; Rehab</v>
      </c>
      <c r="D68" s="27"/>
      <c r="E68" s="3" t="str">
        <f xml:space="preserve"> _xll.EPMOlapMemberO("[ACCOUNT].[H1].[T_EBITDARM]","","T_EBITDARM - EBITDARM","","000")</f>
        <v>T_EBITDARM - EBITDARM</v>
      </c>
      <c r="F68" s="72">
        <v>69026.77</v>
      </c>
      <c r="G68">
        <v>59748.980000000098</v>
      </c>
      <c r="H68">
        <v>73441.800000000105</v>
      </c>
      <c r="I68">
        <v>107417.31</v>
      </c>
      <c r="J68">
        <v>102455.15</v>
      </c>
      <c r="K68">
        <v>70611.8</v>
      </c>
    </row>
    <row r="69" spans="1:11" x14ac:dyDescent="0.25">
      <c r="A69" s="26" t="str">
        <f>_xll.EVPRO("Finance",$C69,"Inv_Type")</f>
        <v>Inv_Equity</v>
      </c>
      <c r="B69" s="26" t="str">
        <f t="shared" si="0"/>
        <v>Forsyth Nursing &amp; Rehab</v>
      </c>
      <c r="C69" s="26" t="str">
        <f t="shared" si="1"/>
        <v>S09071 - Forsyth Nursing &amp; Rehab</v>
      </c>
      <c r="D69" s="27"/>
      <c r="E69" s="3" t="str">
        <f xml:space="preserve"> _xll.EPMOlapMemberO("[ACCOUNT].[H1].[T_MGMT_FEE]","","T_MGMT_FEE - Tenant Management Fee - Actual","","000")</f>
        <v>T_MGMT_FEE - Tenant Management Fee - Actual</v>
      </c>
      <c r="F69" s="72">
        <v>34334.699999999997</v>
      </c>
      <c r="G69">
        <v>31091.25</v>
      </c>
      <c r="H69">
        <v>34738.81</v>
      </c>
      <c r="I69">
        <v>34400.550000000003</v>
      </c>
      <c r="J69">
        <v>36998.080000000002</v>
      </c>
      <c r="K69">
        <v>34120.959999999999</v>
      </c>
    </row>
    <row r="70" spans="1:11" x14ac:dyDescent="0.25">
      <c r="A70" s="26" t="str">
        <f>_xll.EVPRO("Finance",$C70,"Inv_Type")</f>
        <v>Inv_Equity</v>
      </c>
      <c r="B70" s="26" t="str">
        <f t="shared" si="0"/>
        <v>Forsyth Nursing &amp; Rehab</v>
      </c>
      <c r="C70" s="26" t="str">
        <f t="shared" si="1"/>
        <v>S09071 - Forsyth Nursing &amp; Rehab</v>
      </c>
      <c r="D70" s="27"/>
      <c r="E70" s="2" t="str">
        <f xml:space="preserve"> _xll.EPMOlapMemberO("[ACCOUNT].[H1].[T_EBITDAR]","","T_EBITDAR - EBITDAR","","000")</f>
        <v>T_EBITDAR - EBITDAR</v>
      </c>
      <c r="F70" s="72">
        <v>34692.07</v>
      </c>
      <c r="G70">
        <v>28657.730000000101</v>
      </c>
      <c r="H70">
        <v>38702.9900000001</v>
      </c>
      <c r="I70">
        <v>73016.759999999995</v>
      </c>
      <c r="J70">
        <v>65457.07</v>
      </c>
      <c r="K70">
        <v>36490.839999999997</v>
      </c>
    </row>
    <row r="71" spans="1:11" x14ac:dyDescent="0.25">
      <c r="A71" s="26" t="str">
        <f>_xll.EVPRO("Finance",$C71,"Inv_Type")</f>
        <v>Inv_Equity</v>
      </c>
      <c r="B71" s="26" t="str">
        <f t="shared" ref="B71:B134" si="2">MID($C71,FIND("- ",$C71)+2,10000)</f>
        <v>Forsyth Nursing &amp; Rehab</v>
      </c>
      <c r="C71" s="26" t="str">
        <f t="shared" si="1"/>
        <v>S09071 - Forsyth Nursing &amp; Rehab</v>
      </c>
      <c r="D71" s="27"/>
      <c r="E71" s="2" t="str">
        <f xml:space="preserve"> _xll.EPMOlapMemberO("[ACCOUNT].[H1].[T_COVERAGE_RENT]","","T_COVERAGE_RENT - Coverage Rent","","000")</f>
        <v>T_COVERAGE_RENT - Coverage Rent</v>
      </c>
      <c r="F71" s="72">
        <v>58462.01</v>
      </c>
      <c r="G71">
        <v>61385.11</v>
      </c>
      <c r="H71">
        <v>61385.11</v>
      </c>
      <c r="I71">
        <v>61385.11</v>
      </c>
      <c r="J71">
        <v>61385.11</v>
      </c>
      <c r="K71">
        <v>61385.11</v>
      </c>
    </row>
    <row r="72" spans="1:11" x14ac:dyDescent="0.25">
      <c r="A72" s="26" t="str">
        <f>_xll.EVPRO("Finance",$C72,"Inv_Type")</f>
        <v>Inv_Equity</v>
      </c>
      <c r="B72" s="26" t="str">
        <f t="shared" si="2"/>
        <v>Forsyth Nursing &amp; Rehab</v>
      </c>
      <c r="C72" s="26" t="str">
        <f t="shared" ref="C72:C135" si="3">IF($D72&lt;&gt;"",$D72,C71)</f>
        <v>S09071 - Forsyth Nursing &amp; Rehab</v>
      </c>
      <c r="D72" s="27"/>
      <c r="E72" s="2" t="str">
        <f xml:space="preserve"> _xll.EPMOlapMemberO("[ACCOUNT].[H1].[T_RENT_EXP]","","T_RENT_EXP - Tenant Rent Expense","","000")</f>
        <v>T_RENT_EXP - Tenant Rent Expense</v>
      </c>
      <c r="F72" s="72">
        <v>58874.12</v>
      </c>
      <c r="G72">
        <v>58874.12</v>
      </c>
      <c r="H72">
        <v>64472.36</v>
      </c>
      <c r="I72">
        <v>61673.24</v>
      </c>
      <c r="J72">
        <v>61673.24</v>
      </c>
      <c r="K72">
        <v>61673.24</v>
      </c>
    </row>
    <row r="73" spans="1:11" x14ac:dyDescent="0.25">
      <c r="A73" s="26" t="str">
        <f>_xll.EVPRO("Finance",$C73,"Inv_Type")</f>
        <v>Inv_Equity</v>
      </c>
      <c r="B73" s="26" t="str">
        <f t="shared" si="2"/>
        <v>Glenwood Healthcare</v>
      </c>
      <c r="C73" s="26" t="str">
        <f t="shared" si="3"/>
        <v>S09072 - Glenwood Healthcare</v>
      </c>
      <c r="D73" s="27" t="str">
        <f xml:space="preserve"> _xll.EPMOlapMemberO("[ENTITY].[H1].[S09072]","","S09072 - Glenwood Healthcare","","000")</f>
        <v>S09072 - Glenwood Healthcare</v>
      </c>
      <c r="E73" s="27" t="str">
        <f xml:space="preserve"> _xll.EPMOlapMemberO("[ACCOUNT].[H1].[PAY_PAT_DAYS]","","PAY_PAT_DAYS - Total Payor Patient Days","","000")</f>
        <v>PAY_PAT_DAYS - Total Payor Patient Days</v>
      </c>
      <c r="F73" s="72">
        <v>1540</v>
      </c>
      <c r="G73">
        <v>1360</v>
      </c>
      <c r="H73">
        <v>1507</v>
      </c>
      <c r="I73">
        <v>1419</v>
      </c>
      <c r="J73">
        <v>1462</v>
      </c>
      <c r="K73">
        <v>1425</v>
      </c>
    </row>
    <row r="74" spans="1:11" x14ac:dyDescent="0.25">
      <c r="A74" s="26" t="str">
        <f>_xll.EVPRO("Finance",$C74,"Inv_Type")</f>
        <v>Inv_Equity</v>
      </c>
      <c r="B74" s="26" t="str">
        <f t="shared" si="2"/>
        <v>Glenwood Healthcare</v>
      </c>
      <c r="C74" s="26" t="str">
        <f t="shared" si="3"/>
        <v>S09072 - Glenwood Healthcare</v>
      </c>
      <c r="D74" s="27"/>
      <c r="E74" s="2" t="str">
        <f xml:space="preserve"> _xll.EPMOlapMemberO("[ACCOUNT].[H1].[A_BEDS_TOTAL]","","A_BEDS_TOTAL - Total Available Beds","","000")</f>
        <v>A_BEDS_TOTAL - Total Available Beds</v>
      </c>
      <c r="F74" s="72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1:11" x14ac:dyDescent="0.25">
      <c r="A75" s="26" t="str">
        <f>_xll.EVPRO("Finance",$C75,"Inv_Type")</f>
        <v>Inv_Equity</v>
      </c>
      <c r="B75" s="26" t="str">
        <f t="shared" si="2"/>
        <v>Glenwood Healthcare</v>
      </c>
      <c r="C75" s="26" t="str">
        <f t="shared" si="3"/>
        <v>S09072 - Glenwood Healthcare</v>
      </c>
      <c r="D75" s="27"/>
      <c r="E75" s="14" t="str">
        <f xml:space="preserve"> _xll.EPMOlapMemberO("[ACCOUNT].[H1].[T_REVENUES]","","T_REVENUES - Total Tenant Revenues","","000")</f>
        <v>T_REVENUES - Total Tenant Revenues</v>
      </c>
      <c r="F75" s="72">
        <v>282242.31</v>
      </c>
      <c r="G75">
        <v>266213.63</v>
      </c>
      <c r="H75">
        <v>295175.96000000002</v>
      </c>
      <c r="I75">
        <v>262697.76</v>
      </c>
      <c r="J75">
        <v>273037.36</v>
      </c>
      <c r="K75">
        <v>265442.15999999997</v>
      </c>
    </row>
    <row r="76" spans="1:11" x14ac:dyDescent="0.25">
      <c r="A76" s="26" t="str">
        <f>_xll.EVPRO("Finance",$C76,"Inv_Type")</f>
        <v>Inv_Equity</v>
      </c>
      <c r="B76" s="26" t="str">
        <f t="shared" si="2"/>
        <v>Glenwood Healthcare</v>
      </c>
      <c r="C76" s="26" t="str">
        <f t="shared" si="3"/>
        <v>S09072 - Glenwood Healthcare</v>
      </c>
      <c r="D76" s="27"/>
      <c r="E76" s="14" t="str">
        <f xml:space="preserve"> _xll.EPMOlapMemberO("[ACCOUNT].[H1].[T_OPEX]","","T_OPEX - Tenant Operating Expenses","","000")</f>
        <v>T_OPEX - Tenant Operating Expenses</v>
      </c>
      <c r="F76" s="72">
        <v>235642</v>
      </c>
      <c r="G76">
        <v>221678.38</v>
      </c>
      <c r="H76">
        <v>258920.34</v>
      </c>
      <c r="I76">
        <v>226320.29</v>
      </c>
      <c r="J76">
        <v>230023.22</v>
      </c>
      <c r="K76">
        <v>243890</v>
      </c>
    </row>
    <row r="77" spans="1:11" x14ac:dyDescent="0.25">
      <c r="A77" s="26" t="str">
        <f>_xll.EVPRO("Finance",$C77,"Inv_Type")</f>
        <v>Inv_Equity</v>
      </c>
      <c r="B77" s="26" t="str">
        <f t="shared" si="2"/>
        <v>Glenwood Healthcare</v>
      </c>
      <c r="C77" s="26" t="str">
        <f t="shared" si="3"/>
        <v>S09072 - Glenwood Healthcare</v>
      </c>
      <c r="D77" s="27"/>
      <c r="E77" s="2" t="str">
        <f xml:space="preserve"> _xll.EPMOlapMemberO("[ACCOUNT].[H1].[T_NON_OP_EXP]","","T_NON_OP_EXP - Tenant Non-Operating Expense","","000")</f>
        <v>T_NON_OP_EXP - Tenant Non-Operating Expense</v>
      </c>
      <c r="F77" s="72">
        <v>2116.17</v>
      </c>
      <c r="G77">
        <v>14856.8</v>
      </c>
      <c r="H77">
        <v>-3196.06</v>
      </c>
      <c r="I77">
        <v>-1079.8900000000001</v>
      </c>
      <c r="J77">
        <v>4232.34</v>
      </c>
      <c r="K77">
        <v>4232.34</v>
      </c>
    </row>
    <row r="78" spans="1:11" x14ac:dyDescent="0.25">
      <c r="A78" s="26" t="str">
        <f>_xll.EVPRO("Finance",$C78,"Inv_Type")</f>
        <v>Inv_Equity</v>
      </c>
      <c r="B78" s="26" t="str">
        <f t="shared" si="2"/>
        <v>Glenwood Healthcare</v>
      </c>
      <c r="C78" s="26" t="str">
        <f t="shared" si="3"/>
        <v>S09072 - Glenwood Healthcare</v>
      </c>
      <c r="D78" s="27"/>
      <c r="E78" s="15" t="str">
        <f xml:space="preserve"> _xll.EPMOlapMemberO("[ACCOUNT].[H1].[T_BAD_DEBT]","","T_BAD_DEBT - Tenant Bad Debt Expense","","000")</f>
        <v>T_BAD_DEBT - Tenant Bad Debt Expense</v>
      </c>
      <c r="F78" s="72">
        <v>7358.99</v>
      </c>
      <c r="G78">
        <v>7358.99</v>
      </c>
      <c r="H78">
        <v>22330.84</v>
      </c>
      <c r="I78">
        <v>7358.99</v>
      </c>
      <c r="J78">
        <v>7358.99</v>
      </c>
      <c r="K78">
        <v>7358.99</v>
      </c>
    </row>
    <row r="79" spans="1:11" x14ac:dyDescent="0.25">
      <c r="A79" s="26" t="str">
        <f>_xll.EVPRO("Finance",$C79,"Inv_Type")</f>
        <v>Inv_Equity</v>
      </c>
      <c r="B79" s="26" t="str">
        <f t="shared" si="2"/>
        <v>Glenwood Healthcare</v>
      </c>
      <c r="C79" s="26" t="str">
        <f t="shared" si="3"/>
        <v>S09072 - Glenwood Healthcare</v>
      </c>
      <c r="D79" s="27"/>
      <c r="E79" s="3" t="str">
        <f xml:space="preserve"> _xll.EPMOlapMemberO("[ACCOUNT].[H1].[T_EBITDARM]","","T_EBITDARM - EBITDARM","","000")</f>
        <v>T_EBITDARM - EBITDARM</v>
      </c>
      <c r="F79" s="72">
        <v>46600.31</v>
      </c>
      <c r="G79">
        <v>44535.25</v>
      </c>
      <c r="H79">
        <v>36255.619999999901</v>
      </c>
      <c r="I79">
        <v>36377.47</v>
      </c>
      <c r="J79">
        <v>43014.14</v>
      </c>
      <c r="K79">
        <v>21552.16</v>
      </c>
    </row>
    <row r="80" spans="1:11" x14ac:dyDescent="0.25">
      <c r="A80" s="26" t="str">
        <f>_xll.EVPRO("Finance",$C80,"Inv_Type")</f>
        <v>Inv_Equity</v>
      </c>
      <c r="B80" s="26" t="str">
        <f t="shared" si="2"/>
        <v>Glenwood Healthcare</v>
      </c>
      <c r="C80" s="26" t="str">
        <f t="shared" si="3"/>
        <v>S09072 - Glenwood Healthcare</v>
      </c>
      <c r="D80" s="27"/>
      <c r="E80" s="3" t="str">
        <f xml:space="preserve"> _xll.EPMOlapMemberO("[ACCOUNT].[H1].[T_MGMT_FEE]","","T_MGMT_FEE - Tenant Management Fee - Actual","","000")</f>
        <v>T_MGMT_FEE - Tenant Management Fee - Actual</v>
      </c>
      <c r="F80" s="72">
        <v>20837.02</v>
      </c>
      <c r="G80">
        <v>18612.2</v>
      </c>
      <c r="H80">
        <v>20845.599999999999</v>
      </c>
      <c r="I80">
        <v>18831.900000000001</v>
      </c>
      <c r="J80">
        <v>19129.169999999998</v>
      </c>
      <c r="K80">
        <v>19264.18</v>
      </c>
    </row>
    <row r="81" spans="1:11" x14ac:dyDescent="0.25">
      <c r="A81" s="26" t="str">
        <f>_xll.EVPRO("Finance",$C81,"Inv_Type")</f>
        <v>Inv_Equity</v>
      </c>
      <c r="B81" s="26" t="str">
        <f t="shared" si="2"/>
        <v>Glenwood Healthcare</v>
      </c>
      <c r="C81" s="26" t="str">
        <f t="shared" si="3"/>
        <v>S09072 - Glenwood Healthcare</v>
      </c>
      <c r="D81" s="27"/>
      <c r="E81" s="2" t="str">
        <f xml:space="preserve"> _xll.EPMOlapMemberO("[ACCOUNT].[H1].[T_EBITDAR]","","T_EBITDAR - EBITDAR","","000")</f>
        <v>T_EBITDAR - EBITDAR</v>
      </c>
      <c r="F81" s="72">
        <v>25763.29</v>
      </c>
      <c r="G81">
        <v>25923.05</v>
      </c>
      <c r="H81">
        <v>15410.0199999999</v>
      </c>
      <c r="I81">
        <v>17545.57</v>
      </c>
      <c r="J81">
        <v>23884.97</v>
      </c>
      <c r="K81">
        <v>2287.97999999998</v>
      </c>
    </row>
    <row r="82" spans="1:11" x14ac:dyDescent="0.25">
      <c r="A82" s="26" t="str">
        <f>_xll.EVPRO("Finance",$C82,"Inv_Type")</f>
        <v>Inv_Equity</v>
      </c>
      <c r="B82" s="26" t="str">
        <f t="shared" si="2"/>
        <v>Glenwood Healthcare</v>
      </c>
      <c r="C82" s="26" t="str">
        <f t="shared" si="3"/>
        <v>S09072 - Glenwood Healthcare</v>
      </c>
      <c r="D82" s="27"/>
      <c r="E82" s="2" t="str">
        <f xml:space="preserve"> _xll.EPMOlapMemberO("[ACCOUNT].[H1].[T_COVERAGE_RENT]","","T_COVERAGE_RENT - Coverage Rent","","000")</f>
        <v>T_COVERAGE_RENT - Coverage Rent</v>
      </c>
      <c r="F82" s="72">
        <v>33405.99</v>
      </c>
      <c r="G82">
        <v>35076.29</v>
      </c>
      <c r="H82">
        <v>35076.29</v>
      </c>
      <c r="I82">
        <v>35076.29</v>
      </c>
      <c r="J82">
        <v>35076.29</v>
      </c>
      <c r="K82">
        <v>35076.29</v>
      </c>
    </row>
    <row r="83" spans="1:11" x14ac:dyDescent="0.25">
      <c r="A83" s="26" t="str">
        <f>_xll.EVPRO("Finance",$C83,"Inv_Type")</f>
        <v>Inv_Equity</v>
      </c>
      <c r="B83" s="26" t="str">
        <f t="shared" si="2"/>
        <v>Glenwood Healthcare</v>
      </c>
      <c r="C83" s="26" t="str">
        <f t="shared" si="3"/>
        <v>S09072 - Glenwood Healthcare</v>
      </c>
      <c r="D83" s="27"/>
      <c r="E83" s="2" t="str">
        <f xml:space="preserve"> _xll.EPMOlapMemberO("[ACCOUNT].[H1].[T_RENT_EXP]","","T_RENT_EXP - Tenant Rent Expense","","000")</f>
        <v>T_RENT_EXP - Tenant Rent Expense</v>
      </c>
      <c r="F83" s="72">
        <v>35399.97</v>
      </c>
      <c r="G83">
        <v>35399.97</v>
      </c>
      <c r="H83">
        <v>38766.089999999997</v>
      </c>
      <c r="I83">
        <v>37083.03</v>
      </c>
      <c r="J83">
        <v>37083.03</v>
      </c>
      <c r="K83">
        <v>37083.03</v>
      </c>
    </row>
    <row r="84" spans="1:11" x14ac:dyDescent="0.25">
      <c r="A84" s="26" t="str">
        <f>_xll.EVPRO("Finance",$C84,"Inv_Type")</f>
        <v>Inv_Equity</v>
      </c>
      <c r="B84" s="26" t="str">
        <f t="shared" si="2"/>
        <v>Silex Community Care</v>
      </c>
      <c r="C84" s="26" t="str">
        <f t="shared" si="3"/>
        <v>S09073 - Silex Community Care</v>
      </c>
      <c r="D84" s="27" t="str">
        <f xml:space="preserve"> _xll.EPMOlapMemberO("[ENTITY].[H1].[S09073]","","S09073 - Silex Community Care","","000")</f>
        <v>S09073 - Silex Community Care</v>
      </c>
      <c r="E84" s="27" t="str">
        <f xml:space="preserve"> _xll.EPMOlapMemberO("[ACCOUNT].[H1].[PAY_PAT_DAYS]","","PAY_PAT_DAYS - Total Payor Patient Days","","000")</f>
        <v>PAY_PAT_DAYS - Total Payor Patient Days</v>
      </c>
      <c r="F84" s="72">
        <v>1688</v>
      </c>
      <c r="G84">
        <v>1525</v>
      </c>
      <c r="H84">
        <v>1643</v>
      </c>
      <c r="I84">
        <v>1575</v>
      </c>
      <c r="J84">
        <v>1592</v>
      </c>
      <c r="K84">
        <v>1507</v>
      </c>
    </row>
    <row r="85" spans="1:11" x14ac:dyDescent="0.25">
      <c r="A85" s="26" t="str">
        <f>_xll.EVPRO("Finance",$C85,"Inv_Type")</f>
        <v>Inv_Equity</v>
      </c>
      <c r="B85" s="26" t="str">
        <f t="shared" si="2"/>
        <v>Silex Community Care</v>
      </c>
      <c r="C85" s="26" t="str">
        <f t="shared" si="3"/>
        <v>S09073 - Silex Community Care</v>
      </c>
      <c r="D85" s="27"/>
      <c r="E85" s="2" t="str">
        <f xml:space="preserve"> _xll.EPMOlapMemberO("[ACCOUNT].[H1].[A_BEDS_TOTAL]","","A_BEDS_TOTAL - Total Available Beds","","000")</f>
        <v>A_BEDS_TOTAL - Total Available Beds</v>
      </c>
      <c r="F85" s="72">
        <v>60</v>
      </c>
      <c r="G85">
        <v>60</v>
      </c>
      <c r="H85">
        <v>60</v>
      </c>
      <c r="I85">
        <v>60</v>
      </c>
      <c r="J85">
        <v>60</v>
      </c>
      <c r="K85">
        <v>60</v>
      </c>
    </row>
    <row r="86" spans="1:11" x14ac:dyDescent="0.25">
      <c r="A86" s="26" t="str">
        <f>_xll.EVPRO("Finance",$C86,"Inv_Type")</f>
        <v>Inv_Equity</v>
      </c>
      <c r="B86" s="26" t="str">
        <f t="shared" si="2"/>
        <v>Silex Community Care</v>
      </c>
      <c r="C86" s="26" t="str">
        <f t="shared" si="3"/>
        <v>S09073 - Silex Community Care</v>
      </c>
      <c r="D86" s="27"/>
      <c r="E86" s="14" t="str">
        <f xml:space="preserve"> _xll.EPMOlapMemberO("[ACCOUNT].[H1].[T_REVENUES]","","T_REVENUES - Total Tenant Revenues","","000")</f>
        <v>T_REVENUES - Total Tenant Revenues</v>
      </c>
      <c r="F86" s="72">
        <v>296157.46000000002</v>
      </c>
      <c r="G86">
        <v>267110.28000000003</v>
      </c>
      <c r="H86">
        <v>286003.67</v>
      </c>
      <c r="I86">
        <v>278156.24</v>
      </c>
      <c r="J86">
        <v>279712.11</v>
      </c>
      <c r="K86">
        <v>267172.65000000002</v>
      </c>
    </row>
    <row r="87" spans="1:11" x14ac:dyDescent="0.25">
      <c r="A87" s="26" t="str">
        <f>_xll.EVPRO("Finance",$C87,"Inv_Type")</f>
        <v>Inv_Equity</v>
      </c>
      <c r="B87" s="26" t="str">
        <f t="shared" si="2"/>
        <v>Silex Community Care</v>
      </c>
      <c r="C87" s="26" t="str">
        <f t="shared" si="3"/>
        <v>S09073 - Silex Community Care</v>
      </c>
      <c r="D87" s="27"/>
      <c r="E87" s="14" t="str">
        <f xml:space="preserve"> _xll.EPMOlapMemberO("[ACCOUNT].[H1].[T_OPEX]","","T_OPEX - Tenant Operating Expenses","","000")</f>
        <v>T_OPEX - Tenant Operating Expenses</v>
      </c>
      <c r="F87" s="72">
        <v>225217.76</v>
      </c>
      <c r="G87">
        <v>199886.48</v>
      </c>
      <c r="H87">
        <v>217508.01</v>
      </c>
      <c r="I87">
        <v>210233.86</v>
      </c>
      <c r="J87">
        <v>212500.64</v>
      </c>
      <c r="K87">
        <v>240130.99</v>
      </c>
    </row>
    <row r="88" spans="1:11" x14ac:dyDescent="0.25">
      <c r="A88" s="26" t="str">
        <f>_xll.EVPRO("Finance",$C88,"Inv_Type")</f>
        <v>Inv_Equity</v>
      </c>
      <c r="B88" s="26" t="str">
        <f t="shared" si="2"/>
        <v>Silex Community Care</v>
      </c>
      <c r="C88" s="26" t="str">
        <f t="shared" si="3"/>
        <v>S09073 - Silex Community Care</v>
      </c>
      <c r="D88" s="27"/>
      <c r="E88" s="2" t="str">
        <f xml:space="preserve"> _xll.EPMOlapMemberO("[ACCOUNT].[H1].[T_NON_OP_EXP]","","T_NON_OP_EXP - Tenant Non-Operating Expense","","000")</f>
        <v>T_NON_OP_EXP - Tenant Non-Operating Expense</v>
      </c>
      <c r="F88" s="72">
        <v>673.87</v>
      </c>
      <c r="G88">
        <v>673.87</v>
      </c>
      <c r="H88">
        <v>673.87</v>
      </c>
      <c r="I88">
        <v>673.87</v>
      </c>
      <c r="J88">
        <v>673.87</v>
      </c>
      <c r="K88">
        <v>673.87</v>
      </c>
    </row>
    <row r="89" spans="1:11" x14ac:dyDescent="0.25">
      <c r="A89" s="26" t="str">
        <f>_xll.EVPRO("Finance",$C89,"Inv_Type")</f>
        <v>Inv_Equity</v>
      </c>
      <c r="B89" s="26" t="str">
        <f t="shared" si="2"/>
        <v>Silex Community Care</v>
      </c>
      <c r="C89" s="26" t="str">
        <f t="shared" si="3"/>
        <v>S09073 - Silex Community Care</v>
      </c>
      <c r="D89" s="27"/>
      <c r="E89" s="15" t="str">
        <f xml:space="preserve"> _xll.EPMOlapMemberO("[ACCOUNT].[H1].[T_BAD_DEBT]","","T_BAD_DEBT - Tenant Bad Debt Expense","","000")</f>
        <v>T_BAD_DEBT - Tenant Bad Debt Expense</v>
      </c>
      <c r="F89" s="72">
        <v>37.03</v>
      </c>
      <c r="G89">
        <v>37.03</v>
      </c>
      <c r="H89">
        <v>37.03</v>
      </c>
      <c r="I89">
        <v>37.03</v>
      </c>
      <c r="J89">
        <v>37.03</v>
      </c>
      <c r="K89">
        <v>37.03</v>
      </c>
    </row>
    <row r="90" spans="1:11" x14ac:dyDescent="0.25">
      <c r="A90" s="26" t="str">
        <f>_xll.EVPRO("Finance",$C90,"Inv_Type")</f>
        <v>Inv_Equity</v>
      </c>
      <c r="B90" s="26" t="str">
        <f t="shared" si="2"/>
        <v>Silex Community Care</v>
      </c>
      <c r="C90" s="26" t="str">
        <f t="shared" si="3"/>
        <v>S09073 - Silex Community Care</v>
      </c>
      <c r="D90" s="27"/>
      <c r="E90" s="3" t="str">
        <f xml:space="preserve"> _xll.EPMOlapMemberO("[ACCOUNT].[H1].[T_EBITDARM]","","T_EBITDARM - EBITDARM","","000")</f>
        <v>T_EBITDARM - EBITDARM</v>
      </c>
      <c r="F90" s="72">
        <v>70939.7</v>
      </c>
      <c r="G90">
        <v>67223.8</v>
      </c>
      <c r="H90">
        <v>68495.66</v>
      </c>
      <c r="I90">
        <v>67922.38</v>
      </c>
      <c r="J90">
        <v>67211.47</v>
      </c>
      <c r="K90">
        <v>27041.66</v>
      </c>
    </row>
    <row r="91" spans="1:11" x14ac:dyDescent="0.25">
      <c r="A91" s="26" t="str">
        <f>_xll.EVPRO("Finance",$C91,"Inv_Type")</f>
        <v>Inv_Equity</v>
      </c>
      <c r="B91" s="26" t="str">
        <f t="shared" si="2"/>
        <v>Silex Community Care</v>
      </c>
      <c r="C91" s="26" t="str">
        <f t="shared" si="3"/>
        <v>S09073 - Silex Community Care</v>
      </c>
      <c r="D91" s="27"/>
      <c r="E91" s="3" t="str">
        <f xml:space="preserve"> _xll.EPMOlapMemberO("[ACCOUNT].[H1].[T_MGMT_FEE]","","T_MGMT_FEE - Tenant Management Fee - Actual","","000")</f>
        <v>T_MGMT_FEE - Tenant Management Fee - Actual</v>
      </c>
      <c r="F91" s="72">
        <v>20787.61</v>
      </c>
      <c r="G91">
        <v>18944.919999999998</v>
      </c>
      <c r="H91">
        <v>20323.419999999998</v>
      </c>
      <c r="I91">
        <v>19609.25</v>
      </c>
      <c r="J91">
        <v>19746.32</v>
      </c>
      <c r="K91">
        <v>18901.72</v>
      </c>
    </row>
    <row r="92" spans="1:11" x14ac:dyDescent="0.25">
      <c r="A92" s="26" t="str">
        <f>_xll.EVPRO("Finance",$C92,"Inv_Type")</f>
        <v>Inv_Equity</v>
      </c>
      <c r="B92" s="26" t="str">
        <f t="shared" si="2"/>
        <v>Silex Community Care</v>
      </c>
      <c r="C92" s="26" t="str">
        <f t="shared" si="3"/>
        <v>S09073 - Silex Community Care</v>
      </c>
      <c r="D92" s="27"/>
      <c r="E92" s="2" t="str">
        <f xml:space="preserve"> _xll.EPMOlapMemberO("[ACCOUNT].[H1].[T_EBITDAR]","","T_EBITDAR - EBITDAR","","000")</f>
        <v>T_EBITDAR - EBITDAR</v>
      </c>
      <c r="F92" s="72">
        <v>50152.09</v>
      </c>
      <c r="G92">
        <v>48278.879999999997</v>
      </c>
      <c r="H92">
        <v>48172.24</v>
      </c>
      <c r="I92">
        <v>48313.13</v>
      </c>
      <c r="J92">
        <v>47465.15</v>
      </c>
      <c r="K92">
        <v>8139.9400000000296</v>
      </c>
    </row>
    <row r="93" spans="1:11" x14ac:dyDescent="0.25">
      <c r="A93" s="26" t="str">
        <f>_xll.EVPRO("Finance",$C93,"Inv_Type")</f>
        <v>Inv_Equity</v>
      </c>
      <c r="B93" s="26" t="str">
        <f t="shared" si="2"/>
        <v>Silex Community Care</v>
      </c>
      <c r="C93" s="26" t="str">
        <f t="shared" si="3"/>
        <v>S09073 - Silex Community Care</v>
      </c>
      <c r="D93" s="27"/>
      <c r="E93" s="2" t="str">
        <f xml:space="preserve"> _xll.EPMOlapMemberO("[ACCOUNT].[H1].[T_COVERAGE_RENT]","","T_COVERAGE_RENT - Coverage Rent","","000")</f>
        <v>T_COVERAGE_RENT - Coverage Rent</v>
      </c>
      <c r="F93" s="72">
        <v>25056.02</v>
      </c>
      <c r="G93">
        <v>26308.82</v>
      </c>
      <c r="H93">
        <v>26308.82</v>
      </c>
      <c r="I93">
        <v>26308.82</v>
      </c>
      <c r="J93">
        <v>26308.82</v>
      </c>
      <c r="K93">
        <v>26308.82</v>
      </c>
    </row>
    <row r="94" spans="1:11" x14ac:dyDescent="0.25">
      <c r="A94" s="26" t="str">
        <f>_xll.EVPRO("Finance",$C94,"Inv_Type")</f>
        <v>Inv_Equity</v>
      </c>
      <c r="B94" s="26" t="str">
        <f t="shared" si="2"/>
        <v>Silex Community Care</v>
      </c>
      <c r="C94" s="26" t="str">
        <f t="shared" si="3"/>
        <v>S09073 - Silex Community Care</v>
      </c>
      <c r="D94" s="27"/>
      <c r="E94" s="2" t="str">
        <f xml:space="preserve"> _xll.EPMOlapMemberO("[ACCOUNT].[H1].[T_RENT_EXP]","","T_RENT_EXP - Tenant Rent Expense","","000")</f>
        <v>T_RENT_EXP - Tenant Rent Expense</v>
      </c>
      <c r="F94" s="72">
        <v>35399.97</v>
      </c>
      <c r="G94">
        <v>35399.97</v>
      </c>
      <c r="H94">
        <v>38766.089999999997</v>
      </c>
      <c r="I94">
        <v>37083.03</v>
      </c>
      <c r="J94">
        <v>37083.03</v>
      </c>
      <c r="K94">
        <v>37083.03</v>
      </c>
    </row>
    <row r="95" spans="1:11" x14ac:dyDescent="0.25">
      <c r="A95" s="26" t="str">
        <f>_xll.EVPRO("Finance",$C95,"Inv_Type")</f>
        <v>Inv_Equity</v>
      </c>
      <c r="B95" s="26" t="str">
        <f t="shared" si="2"/>
        <v>South Hampton Place</v>
      </c>
      <c r="C95" s="26" t="str">
        <f t="shared" si="3"/>
        <v>S09074 - South Hampton Place</v>
      </c>
      <c r="D95" s="27" t="str">
        <f xml:space="preserve"> _xll.EPMOlapMemberO("[ENTITY].[H1].[S09074]","","S09074 - South Hampton Place","","000")</f>
        <v>S09074 - South Hampton Place</v>
      </c>
      <c r="E95" s="27" t="str">
        <f xml:space="preserve"> _xll.EPMOlapMemberO("[ACCOUNT].[H1].[PAY_PAT_DAYS]","","PAY_PAT_DAYS - Total Payor Patient Days","","000")</f>
        <v>PAY_PAT_DAYS - Total Payor Patient Days</v>
      </c>
      <c r="F95" s="72">
        <v>1549</v>
      </c>
      <c r="G95">
        <v>1339</v>
      </c>
      <c r="H95">
        <v>1567</v>
      </c>
      <c r="I95">
        <v>1740</v>
      </c>
      <c r="J95">
        <v>1748</v>
      </c>
      <c r="K95">
        <v>1817</v>
      </c>
    </row>
    <row r="96" spans="1:11" x14ac:dyDescent="0.25">
      <c r="A96" s="26" t="str">
        <f>_xll.EVPRO("Finance",$C96,"Inv_Type")</f>
        <v>Inv_Equity</v>
      </c>
      <c r="B96" s="26" t="str">
        <f t="shared" si="2"/>
        <v>South Hampton Place</v>
      </c>
      <c r="C96" s="26" t="str">
        <f t="shared" si="3"/>
        <v>S09074 - South Hampton Place</v>
      </c>
      <c r="D96" s="27"/>
      <c r="E96" s="2" t="str">
        <f xml:space="preserve"> _xll.EPMOlapMemberO("[ACCOUNT].[H1].[A_BEDS_TOTAL]","","A_BEDS_TOTAL - Total Available Beds","","000")</f>
        <v>A_BEDS_TOTAL - Total Available Beds</v>
      </c>
      <c r="F96" s="72">
        <v>98</v>
      </c>
      <c r="G96">
        <v>98</v>
      </c>
      <c r="H96">
        <v>98</v>
      </c>
      <c r="I96">
        <v>98</v>
      </c>
      <c r="J96">
        <v>98</v>
      </c>
      <c r="K96">
        <v>98</v>
      </c>
    </row>
    <row r="97" spans="1:11" x14ac:dyDescent="0.25">
      <c r="A97" s="26" t="str">
        <f>_xll.EVPRO("Finance",$C97,"Inv_Type")</f>
        <v>Inv_Equity</v>
      </c>
      <c r="B97" s="26" t="str">
        <f t="shared" si="2"/>
        <v>South Hampton Place</v>
      </c>
      <c r="C97" s="26" t="str">
        <f t="shared" si="3"/>
        <v>S09074 - South Hampton Place</v>
      </c>
      <c r="D97" s="27"/>
      <c r="E97" s="14" t="str">
        <f xml:space="preserve"> _xll.EPMOlapMemberO("[ACCOUNT].[H1].[T_REVENUES]","","T_REVENUES - Total Tenant Revenues","","000")</f>
        <v>T_REVENUES - Total Tenant Revenues</v>
      </c>
      <c r="F97" s="72">
        <v>379331.7</v>
      </c>
      <c r="G97">
        <v>314007.74</v>
      </c>
      <c r="H97">
        <v>394562.62</v>
      </c>
      <c r="I97">
        <v>412922.75</v>
      </c>
      <c r="J97">
        <v>424551.45</v>
      </c>
      <c r="K97">
        <v>481023.46</v>
      </c>
    </row>
    <row r="98" spans="1:11" x14ac:dyDescent="0.25">
      <c r="A98" s="26" t="str">
        <f>_xll.EVPRO("Finance",$C98,"Inv_Type")</f>
        <v>Inv_Equity</v>
      </c>
      <c r="B98" s="26" t="str">
        <f t="shared" si="2"/>
        <v>South Hampton Place</v>
      </c>
      <c r="C98" s="26" t="str">
        <f t="shared" si="3"/>
        <v>S09074 - South Hampton Place</v>
      </c>
      <c r="D98" s="27"/>
      <c r="E98" s="14" t="str">
        <f xml:space="preserve"> _xll.EPMOlapMemberO("[ACCOUNT].[H1].[T_OPEX]","","T_OPEX - Tenant Operating Expenses","","000")</f>
        <v>T_OPEX - Tenant Operating Expenses</v>
      </c>
      <c r="F98" s="72">
        <v>354258.15</v>
      </c>
      <c r="G98">
        <v>318931.77</v>
      </c>
      <c r="H98">
        <v>365819.02</v>
      </c>
      <c r="I98">
        <v>370884.95</v>
      </c>
      <c r="J98">
        <v>461263.38</v>
      </c>
      <c r="K98">
        <v>385241.77</v>
      </c>
    </row>
    <row r="99" spans="1:11" x14ac:dyDescent="0.25">
      <c r="A99" s="26" t="str">
        <f>_xll.EVPRO("Finance",$C99,"Inv_Type")</f>
        <v>Inv_Equity</v>
      </c>
      <c r="B99" s="26" t="str">
        <f t="shared" si="2"/>
        <v>South Hampton Place</v>
      </c>
      <c r="C99" s="26" t="str">
        <f t="shared" si="3"/>
        <v>S09074 - South Hampton Place</v>
      </c>
      <c r="D99" s="27"/>
      <c r="E99" s="2" t="str">
        <f xml:space="preserve"> _xll.EPMOlapMemberO("[ACCOUNT].[H1].[T_NON_OP_EXP]","","T_NON_OP_EXP - Tenant Non-Operating Expense","","000")</f>
        <v>T_NON_OP_EXP - Tenant Non-Operating Expense</v>
      </c>
      <c r="F99" s="72">
        <v>3049.44</v>
      </c>
      <c r="G99">
        <v>3049.44</v>
      </c>
      <c r="H99">
        <v>3049.44</v>
      </c>
      <c r="I99">
        <v>3049.44</v>
      </c>
      <c r="J99">
        <v>3049.44</v>
      </c>
      <c r="K99">
        <v>3049.44</v>
      </c>
    </row>
    <row r="100" spans="1:11" x14ac:dyDescent="0.25">
      <c r="A100" s="26" t="str">
        <f>_xll.EVPRO("Finance",$C100,"Inv_Type")</f>
        <v>Inv_Equity</v>
      </c>
      <c r="B100" s="26" t="str">
        <f t="shared" si="2"/>
        <v>South Hampton Place</v>
      </c>
      <c r="C100" s="26" t="str">
        <f t="shared" si="3"/>
        <v>S09074 - South Hampton Place</v>
      </c>
      <c r="D100" s="27"/>
      <c r="E100" s="15" t="str">
        <f xml:space="preserve"> _xll.EPMOlapMemberO("[ACCOUNT].[H1].[T_BAD_DEBT]","","T_BAD_DEBT - Tenant Bad Debt Expense","","000")</f>
        <v>T_BAD_DEBT - Tenant Bad Debt Expense</v>
      </c>
      <c r="F100" s="72">
        <v>17668.759999999998</v>
      </c>
      <c r="G100">
        <v>13402.26</v>
      </c>
      <c r="H100">
        <v>19716.259999999998</v>
      </c>
      <c r="I100">
        <v>9985.76</v>
      </c>
      <c r="J100">
        <v>18166.39</v>
      </c>
      <c r="K100">
        <v>27669.26</v>
      </c>
    </row>
    <row r="101" spans="1:11" x14ac:dyDescent="0.25">
      <c r="A101" s="26" t="str">
        <f>_xll.EVPRO("Finance",$C101,"Inv_Type")</f>
        <v>Inv_Equity</v>
      </c>
      <c r="B101" s="26" t="str">
        <f t="shared" si="2"/>
        <v>South Hampton Place</v>
      </c>
      <c r="C101" s="26" t="str">
        <f t="shared" si="3"/>
        <v>S09074 - South Hampton Place</v>
      </c>
      <c r="D101" s="27"/>
      <c r="E101" s="3" t="str">
        <f xml:space="preserve"> _xll.EPMOlapMemberO("[ACCOUNT].[H1].[T_EBITDARM]","","T_EBITDARM - EBITDARM","","000")</f>
        <v>T_EBITDARM - EBITDARM</v>
      </c>
      <c r="F101" s="72">
        <v>25073.55</v>
      </c>
      <c r="G101">
        <v>-4924.0299999999697</v>
      </c>
      <c r="H101">
        <v>28743.6000000001</v>
      </c>
      <c r="I101">
        <v>42037.8</v>
      </c>
      <c r="J101">
        <v>-36711.93</v>
      </c>
      <c r="K101">
        <v>95781.69</v>
      </c>
    </row>
    <row r="102" spans="1:11" x14ac:dyDescent="0.25">
      <c r="A102" s="26" t="str">
        <f>_xll.EVPRO("Finance",$C102,"Inv_Type")</f>
        <v>Inv_Equity</v>
      </c>
      <c r="B102" s="26" t="str">
        <f t="shared" si="2"/>
        <v>South Hampton Place</v>
      </c>
      <c r="C102" s="26" t="str">
        <f t="shared" si="3"/>
        <v>S09074 - South Hampton Place</v>
      </c>
      <c r="D102" s="27"/>
      <c r="E102" s="3" t="str">
        <f xml:space="preserve"> _xll.EPMOlapMemberO("[ACCOUNT].[H1].[T_MGMT_FEE]","","T_MGMT_FEE - Tenant Management Fee - Actual","","000")</f>
        <v>T_MGMT_FEE - Tenant Management Fee - Actual</v>
      </c>
      <c r="F102" s="72">
        <v>25330.85</v>
      </c>
      <c r="G102">
        <v>21223.040000000001</v>
      </c>
      <c r="H102">
        <v>27046.23</v>
      </c>
      <c r="I102">
        <v>28667.39</v>
      </c>
      <c r="J102">
        <v>28166.48</v>
      </c>
      <c r="K102">
        <v>32994.239999999998</v>
      </c>
    </row>
    <row r="103" spans="1:11" x14ac:dyDescent="0.25">
      <c r="A103" s="26" t="str">
        <f>_xll.EVPRO("Finance",$C103,"Inv_Type")</f>
        <v>Inv_Equity</v>
      </c>
      <c r="B103" s="26" t="str">
        <f t="shared" si="2"/>
        <v>South Hampton Place</v>
      </c>
      <c r="C103" s="26" t="str">
        <f t="shared" si="3"/>
        <v>S09074 - South Hampton Place</v>
      </c>
      <c r="D103" s="27"/>
      <c r="E103" s="2" t="str">
        <f xml:space="preserve"> _xll.EPMOlapMemberO("[ACCOUNT].[H1].[T_EBITDAR]","","T_EBITDAR - EBITDAR","","000")</f>
        <v>T_EBITDAR - EBITDAR</v>
      </c>
      <c r="F103" s="72">
        <v>-257.29999999995198</v>
      </c>
      <c r="G103">
        <v>-26147.07</v>
      </c>
      <c r="H103">
        <v>1697.3700000000899</v>
      </c>
      <c r="I103">
        <v>13370.41</v>
      </c>
      <c r="J103">
        <v>-64878.41</v>
      </c>
      <c r="K103">
        <v>62787.45</v>
      </c>
    </row>
    <row r="104" spans="1:11" x14ac:dyDescent="0.25">
      <c r="A104" s="26" t="str">
        <f>_xll.EVPRO("Finance",$C104,"Inv_Type")</f>
        <v>Inv_Equity</v>
      </c>
      <c r="B104" s="26" t="str">
        <f t="shared" si="2"/>
        <v>South Hampton Place</v>
      </c>
      <c r="C104" s="26" t="str">
        <f t="shared" si="3"/>
        <v>S09074 - South Hampton Place</v>
      </c>
      <c r="D104" s="27"/>
      <c r="E104" s="2" t="str">
        <f xml:space="preserve"> _xll.EPMOlapMemberO("[ACCOUNT].[H1].[T_COVERAGE_RENT]","","T_COVERAGE_RENT - Coverage Rent","","000")</f>
        <v>T_COVERAGE_RENT - Coverage Rent</v>
      </c>
      <c r="F104" s="72">
        <v>58462.01</v>
      </c>
      <c r="G104">
        <v>61385.11</v>
      </c>
      <c r="H104">
        <v>61385.11</v>
      </c>
      <c r="I104">
        <v>61385.11</v>
      </c>
      <c r="J104">
        <v>61385.11</v>
      </c>
      <c r="K104">
        <v>61385.11</v>
      </c>
    </row>
    <row r="105" spans="1:11" x14ac:dyDescent="0.25">
      <c r="A105" s="26" t="str">
        <f>_xll.EVPRO("Finance",$C105,"Inv_Type")</f>
        <v>Inv_Equity</v>
      </c>
      <c r="B105" s="26" t="str">
        <f t="shared" si="2"/>
        <v>South Hampton Place</v>
      </c>
      <c r="C105" s="26" t="str">
        <f t="shared" si="3"/>
        <v>S09074 - South Hampton Place</v>
      </c>
      <c r="D105" s="27"/>
      <c r="E105" s="2" t="str">
        <f xml:space="preserve"> _xll.EPMOlapMemberO("[ACCOUNT].[H1].[T_RENT_EXP]","","T_RENT_EXP - Tenant Rent Expense","","000")</f>
        <v>T_RENT_EXP - Tenant Rent Expense</v>
      </c>
      <c r="F105" s="72">
        <v>53114.73</v>
      </c>
      <c r="G105">
        <v>50704.05</v>
      </c>
      <c r="H105">
        <v>55525.41</v>
      </c>
      <c r="I105">
        <v>53114.73</v>
      </c>
      <c r="J105">
        <v>53114.73</v>
      </c>
      <c r="K105">
        <v>53114.73</v>
      </c>
    </row>
    <row r="106" spans="1:11" x14ac:dyDescent="0.25">
      <c r="A106" s="26" t="str">
        <f>_xll.EVPRO("Finance",$C106,"Inv_Type")</f>
        <v>Inv_Equity</v>
      </c>
      <c r="B106" s="26" t="str">
        <f t="shared" si="2"/>
        <v>Strafford Care Center</v>
      </c>
      <c r="C106" s="26" t="str">
        <f t="shared" si="3"/>
        <v>S09075 - Strafford Care Center</v>
      </c>
      <c r="D106" s="27" t="str">
        <f xml:space="preserve"> _xll.EPMOlapMemberO("[ENTITY].[H1].[S09075]","","S09075 - Strafford Care Center","","000")</f>
        <v>S09075 - Strafford Care Center</v>
      </c>
      <c r="E106" s="27" t="str">
        <f xml:space="preserve"> _xll.EPMOlapMemberO("[ACCOUNT].[H1].[PAY_PAT_DAYS]","","PAY_PAT_DAYS - Total Payor Patient Days","","000")</f>
        <v>PAY_PAT_DAYS - Total Payor Patient Days</v>
      </c>
      <c r="F106" s="72">
        <v>1787</v>
      </c>
      <c r="G106">
        <v>1601</v>
      </c>
      <c r="H106">
        <v>1861</v>
      </c>
      <c r="I106">
        <v>1992</v>
      </c>
      <c r="J106">
        <v>2095</v>
      </c>
      <c r="K106">
        <v>2009</v>
      </c>
    </row>
    <row r="107" spans="1:11" x14ac:dyDescent="0.25">
      <c r="A107" s="26" t="str">
        <f>_xll.EVPRO("Finance",$C107,"Inv_Type")</f>
        <v>Inv_Equity</v>
      </c>
      <c r="B107" s="26" t="str">
        <f t="shared" si="2"/>
        <v>Strafford Care Center</v>
      </c>
      <c r="C107" s="26" t="str">
        <f t="shared" si="3"/>
        <v>S09075 - Strafford Care Center</v>
      </c>
      <c r="D107" s="27"/>
      <c r="E107" s="2" t="str">
        <f xml:space="preserve"> _xll.EPMOlapMemberO("[ACCOUNT].[H1].[A_BEDS_TOTAL]","","A_BEDS_TOTAL - Total Available Beds","","000")</f>
        <v>A_BEDS_TOTAL - Total Available Beds</v>
      </c>
      <c r="F107" s="72">
        <v>78</v>
      </c>
      <c r="G107">
        <v>78</v>
      </c>
      <c r="H107">
        <v>78</v>
      </c>
      <c r="I107">
        <v>78</v>
      </c>
      <c r="J107">
        <v>78</v>
      </c>
      <c r="K107">
        <v>78</v>
      </c>
    </row>
    <row r="108" spans="1:11" x14ac:dyDescent="0.25">
      <c r="A108" s="26" t="str">
        <f>_xll.EVPRO("Finance",$C108,"Inv_Type")</f>
        <v>Inv_Equity</v>
      </c>
      <c r="B108" s="26" t="str">
        <f t="shared" si="2"/>
        <v>Strafford Care Center</v>
      </c>
      <c r="C108" s="26" t="str">
        <f t="shared" si="3"/>
        <v>S09075 - Strafford Care Center</v>
      </c>
      <c r="D108" s="27"/>
      <c r="E108" s="14" t="str">
        <f xml:space="preserve"> _xll.EPMOlapMemberO("[ACCOUNT].[H1].[T_REVENUES]","","T_REVENUES - Total Tenant Revenues","","000")</f>
        <v>T_REVENUES - Total Tenant Revenues</v>
      </c>
      <c r="F108" s="72">
        <v>351700.97</v>
      </c>
      <c r="G108">
        <v>319198.14</v>
      </c>
      <c r="H108">
        <v>348126.1</v>
      </c>
      <c r="I108">
        <v>412746.8</v>
      </c>
      <c r="J108">
        <v>433962.86</v>
      </c>
      <c r="K108">
        <v>410594.04</v>
      </c>
    </row>
    <row r="109" spans="1:11" x14ac:dyDescent="0.25">
      <c r="A109" s="26" t="str">
        <f>_xll.EVPRO("Finance",$C109,"Inv_Type")</f>
        <v>Inv_Equity</v>
      </c>
      <c r="B109" s="26" t="str">
        <f t="shared" si="2"/>
        <v>Strafford Care Center</v>
      </c>
      <c r="C109" s="26" t="str">
        <f t="shared" si="3"/>
        <v>S09075 - Strafford Care Center</v>
      </c>
      <c r="D109" s="27"/>
      <c r="E109" s="14" t="str">
        <f xml:space="preserve"> _xll.EPMOlapMemberO("[ACCOUNT].[H1].[T_OPEX]","","T_OPEX - Tenant Operating Expenses","","000")</f>
        <v>T_OPEX - Tenant Operating Expenses</v>
      </c>
      <c r="F109" s="72">
        <v>312893.3</v>
      </c>
      <c r="G109">
        <v>297830.33</v>
      </c>
      <c r="H109">
        <v>335011.5</v>
      </c>
      <c r="I109">
        <v>336912.15</v>
      </c>
      <c r="J109">
        <v>388322.49</v>
      </c>
      <c r="K109">
        <v>374940.47</v>
      </c>
    </row>
    <row r="110" spans="1:11" x14ac:dyDescent="0.25">
      <c r="A110" s="26" t="str">
        <f>_xll.EVPRO("Finance",$C110,"Inv_Type")</f>
        <v>Inv_Equity</v>
      </c>
      <c r="B110" s="26" t="str">
        <f t="shared" si="2"/>
        <v>Strafford Care Center</v>
      </c>
      <c r="C110" s="26" t="str">
        <f t="shared" si="3"/>
        <v>S09075 - Strafford Care Center</v>
      </c>
      <c r="D110" s="27"/>
      <c r="E110" s="2" t="str">
        <f xml:space="preserve"> _xll.EPMOlapMemberO("[ACCOUNT].[H1].[T_NON_OP_EXP]","","T_NON_OP_EXP - Tenant Non-Operating Expense","","000")</f>
        <v>T_NON_OP_EXP - Tenant Non-Operating Expense</v>
      </c>
      <c r="F110" s="72">
        <v>3436.92</v>
      </c>
      <c r="G110">
        <v>3436.92</v>
      </c>
      <c r="H110">
        <v>3436.92</v>
      </c>
      <c r="I110">
        <v>3436.92</v>
      </c>
      <c r="J110">
        <v>3436.92</v>
      </c>
      <c r="K110">
        <v>3436.92</v>
      </c>
    </row>
    <row r="111" spans="1:11" x14ac:dyDescent="0.25">
      <c r="A111" s="26" t="str">
        <f>_xll.EVPRO("Finance",$C111,"Inv_Type")</f>
        <v>Inv_Equity</v>
      </c>
      <c r="B111" s="26" t="str">
        <f t="shared" si="2"/>
        <v>Strafford Care Center</v>
      </c>
      <c r="C111" s="26" t="str">
        <f t="shared" si="3"/>
        <v>S09075 - Strafford Care Center</v>
      </c>
      <c r="D111" s="27"/>
      <c r="E111" s="15" t="str">
        <f xml:space="preserve"> _xll.EPMOlapMemberO("[ACCOUNT].[H1].[T_BAD_DEBT]","","T_BAD_DEBT - Tenant Bad Debt Expense","","000")</f>
        <v>T_BAD_DEBT - Tenant Bad Debt Expense</v>
      </c>
      <c r="F111" s="72">
        <v>2367.58</v>
      </c>
      <c r="G111">
        <v>2367.58</v>
      </c>
      <c r="H111">
        <v>2367.58</v>
      </c>
      <c r="I111">
        <v>2367.58</v>
      </c>
      <c r="J111">
        <v>2367.58</v>
      </c>
      <c r="K111">
        <v>2367.58</v>
      </c>
    </row>
    <row r="112" spans="1:11" x14ac:dyDescent="0.25">
      <c r="A112" s="26" t="str">
        <f>_xll.EVPRO("Finance",$C112,"Inv_Type")</f>
        <v>Inv_Equity</v>
      </c>
      <c r="B112" s="26" t="str">
        <f t="shared" si="2"/>
        <v>Strafford Care Center</v>
      </c>
      <c r="C112" s="26" t="str">
        <f t="shared" si="3"/>
        <v>S09075 - Strafford Care Center</v>
      </c>
      <c r="D112" s="27"/>
      <c r="E112" s="3" t="str">
        <f xml:space="preserve"> _xll.EPMOlapMemberO("[ACCOUNT].[H1].[T_EBITDARM]","","T_EBITDARM - EBITDARM","","000")</f>
        <v>T_EBITDARM - EBITDARM</v>
      </c>
      <c r="F112" s="72">
        <v>38807.67</v>
      </c>
      <c r="G112">
        <v>21367.8100000001</v>
      </c>
      <c r="H112">
        <v>13114.6</v>
      </c>
      <c r="I112">
        <v>75834.650000000096</v>
      </c>
      <c r="J112">
        <v>45640.370000000097</v>
      </c>
      <c r="K112">
        <v>35653.57</v>
      </c>
    </row>
    <row r="113" spans="1:11" x14ac:dyDescent="0.25">
      <c r="A113" s="26" t="str">
        <f>_xll.EVPRO("Finance",$C113,"Inv_Type")</f>
        <v>Inv_Equity</v>
      </c>
      <c r="B113" s="26" t="str">
        <f t="shared" si="2"/>
        <v>Strafford Care Center</v>
      </c>
      <c r="C113" s="26" t="str">
        <f t="shared" si="3"/>
        <v>S09075 - Strafford Care Center</v>
      </c>
      <c r="D113" s="27"/>
      <c r="E113" s="3" t="str">
        <f xml:space="preserve"> _xll.EPMOlapMemberO("[ACCOUNT].[H1].[T_MGMT_FEE]","","T_MGMT_FEE - Tenant Management Fee - Actual","","000")</f>
        <v>T_MGMT_FEE - Tenant Management Fee - Actual</v>
      </c>
      <c r="F113" s="72">
        <v>24941.66</v>
      </c>
      <c r="G113">
        <v>22378.86</v>
      </c>
      <c r="H113">
        <v>25847.89</v>
      </c>
      <c r="I113">
        <v>28932.560000000001</v>
      </c>
      <c r="J113">
        <v>31123.98</v>
      </c>
      <c r="K113">
        <v>29087.38</v>
      </c>
    </row>
    <row r="114" spans="1:11" x14ac:dyDescent="0.25">
      <c r="A114" s="26" t="str">
        <f>_xll.EVPRO("Finance",$C114,"Inv_Type")</f>
        <v>Inv_Equity</v>
      </c>
      <c r="B114" s="26" t="str">
        <f t="shared" si="2"/>
        <v>Strafford Care Center</v>
      </c>
      <c r="C114" s="26" t="str">
        <f t="shared" si="3"/>
        <v>S09075 - Strafford Care Center</v>
      </c>
      <c r="D114" s="27"/>
      <c r="E114" s="2" t="str">
        <f xml:space="preserve"> _xll.EPMOlapMemberO("[ACCOUNT].[H1].[T_EBITDAR]","","T_EBITDAR - EBITDAR","","000")</f>
        <v>T_EBITDAR - EBITDAR</v>
      </c>
      <c r="F114" s="72">
        <v>13866.01</v>
      </c>
      <c r="G114">
        <v>-1011.04999999994</v>
      </c>
      <c r="H114">
        <v>-12733.29</v>
      </c>
      <c r="I114">
        <v>46902.090000000098</v>
      </c>
      <c r="J114">
        <v>14516.390000000099</v>
      </c>
      <c r="K114">
        <v>6566.19</v>
      </c>
    </row>
    <row r="115" spans="1:11" x14ac:dyDescent="0.25">
      <c r="A115" s="26" t="str">
        <f>_xll.EVPRO("Finance",$C115,"Inv_Type")</f>
        <v>Inv_Equity</v>
      </c>
      <c r="B115" s="26" t="str">
        <f t="shared" si="2"/>
        <v>Strafford Care Center</v>
      </c>
      <c r="C115" s="26" t="str">
        <f t="shared" si="3"/>
        <v>S09075 - Strafford Care Center</v>
      </c>
      <c r="D115" s="27"/>
      <c r="E115" s="2" t="str">
        <f xml:space="preserve"> _xll.EPMOlapMemberO("[ACCOUNT].[H1].[T_COVERAGE_RENT]","","T_COVERAGE_RENT - Coverage Rent","","000")</f>
        <v>T_COVERAGE_RENT - Coverage Rent</v>
      </c>
      <c r="F115" s="72">
        <v>54287.05</v>
      </c>
      <c r="G115">
        <v>57001.4</v>
      </c>
      <c r="H115">
        <v>57001.4</v>
      </c>
      <c r="I115">
        <v>57001.4</v>
      </c>
      <c r="J115">
        <v>57001.4</v>
      </c>
      <c r="K115">
        <v>57001.4</v>
      </c>
    </row>
    <row r="116" spans="1:11" x14ac:dyDescent="0.25">
      <c r="A116" s="26" t="str">
        <f>_xll.EVPRO("Finance",$C116,"Inv_Type")</f>
        <v>Inv_Equity</v>
      </c>
      <c r="B116" s="26" t="str">
        <f t="shared" si="2"/>
        <v>Strafford Care Center</v>
      </c>
      <c r="C116" s="26" t="str">
        <f t="shared" si="3"/>
        <v>S09075 - Strafford Care Center</v>
      </c>
      <c r="D116" s="27"/>
      <c r="E116" s="2" t="str">
        <f xml:space="preserve"> _xll.EPMOlapMemberO("[ACCOUNT].[H1].[T_RENT_EXP]","","T_RENT_EXP - Tenant Rent Expense","","000")</f>
        <v>T_RENT_EXP - Tenant Rent Expense</v>
      </c>
      <c r="F116" s="72">
        <v>44147.53</v>
      </c>
      <c r="G116">
        <v>44147.53</v>
      </c>
      <c r="H116">
        <v>48345.45</v>
      </c>
      <c r="I116">
        <v>46246.49</v>
      </c>
      <c r="J116">
        <v>46246.49</v>
      </c>
      <c r="K116">
        <v>46246.49</v>
      </c>
    </row>
    <row r="117" spans="1:11" x14ac:dyDescent="0.25">
      <c r="A117" s="26" t="str">
        <f>_xll.EVPRO("Finance",$C117,"Inv_Type")</f>
        <v>Inv_Equity</v>
      </c>
      <c r="B117" s="26" t="str">
        <f t="shared" si="2"/>
        <v>Windsor Healthcare &amp; Rehab</v>
      </c>
      <c r="C117" s="26" t="str">
        <f t="shared" si="3"/>
        <v>S09076 - Windsor Healthcare &amp; Rehab</v>
      </c>
      <c r="D117" s="27" t="str">
        <f xml:space="preserve"> _xll.EPMOlapMemberO("[ENTITY].[H1].[S09076]","","S09076 - Windsor Healthcare &amp; Rehab","","000")</f>
        <v>S09076 - Windsor Healthcare &amp; Rehab</v>
      </c>
      <c r="E117" s="27" t="str">
        <f xml:space="preserve"> _xll.EPMOlapMemberO("[ACCOUNT].[H1].[PAY_PAT_DAYS]","","PAY_PAT_DAYS - Total Payor Patient Days","","000")</f>
        <v>PAY_PAT_DAYS - Total Payor Patient Days</v>
      </c>
      <c r="F117" s="72">
        <v>1278</v>
      </c>
      <c r="G117">
        <v>1073</v>
      </c>
      <c r="H117">
        <v>1211</v>
      </c>
      <c r="I117">
        <v>1149</v>
      </c>
      <c r="J117">
        <v>1160</v>
      </c>
      <c r="K117">
        <v>1195</v>
      </c>
    </row>
    <row r="118" spans="1:11" x14ac:dyDescent="0.25">
      <c r="A118" s="26" t="str">
        <f>_xll.EVPRO("Finance",$C118,"Inv_Type")</f>
        <v>Inv_Equity</v>
      </c>
      <c r="B118" s="26" t="str">
        <f t="shared" si="2"/>
        <v>Windsor Healthcare &amp; Rehab</v>
      </c>
      <c r="C118" s="26" t="str">
        <f t="shared" si="3"/>
        <v>S09076 - Windsor Healthcare &amp; Rehab</v>
      </c>
      <c r="D118" s="27"/>
      <c r="E118" s="2" t="str">
        <f xml:space="preserve"> _xll.EPMOlapMemberO("[ACCOUNT].[H1].[A_BEDS_TOTAL]","","A_BEDS_TOTAL - Total Available Beds","","000")</f>
        <v>A_BEDS_TOTAL - Total Available Beds</v>
      </c>
      <c r="F118" s="72">
        <v>58</v>
      </c>
      <c r="G118">
        <v>58</v>
      </c>
      <c r="H118">
        <v>58</v>
      </c>
      <c r="I118">
        <v>58</v>
      </c>
      <c r="J118">
        <v>58</v>
      </c>
      <c r="K118">
        <v>58</v>
      </c>
    </row>
    <row r="119" spans="1:11" x14ac:dyDescent="0.25">
      <c r="A119" s="26" t="str">
        <f>_xll.EVPRO("Finance",$C119,"Inv_Type")</f>
        <v>Inv_Equity</v>
      </c>
      <c r="B119" s="26" t="str">
        <f t="shared" si="2"/>
        <v>Windsor Healthcare &amp; Rehab</v>
      </c>
      <c r="C119" s="26" t="str">
        <f t="shared" si="3"/>
        <v>S09076 - Windsor Healthcare &amp; Rehab</v>
      </c>
      <c r="D119" s="27"/>
      <c r="E119" s="14" t="str">
        <f xml:space="preserve"> _xll.EPMOlapMemberO("[ACCOUNT].[H1].[T_REVENUES]","","T_REVENUES - Total Tenant Revenues","","000")</f>
        <v>T_REVENUES - Total Tenant Revenues</v>
      </c>
      <c r="F119" s="72">
        <v>245776.97</v>
      </c>
      <c r="G119">
        <v>214396.66</v>
      </c>
      <c r="H119">
        <v>248471.03</v>
      </c>
      <c r="I119">
        <v>224164.08</v>
      </c>
      <c r="J119">
        <v>207601.81</v>
      </c>
      <c r="K119">
        <v>229354.48</v>
      </c>
    </row>
    <row r="120" spans="1:11" x14ac:dyDescent="0.25">
      <c r="A120" s="26" t="str">
        <f>_xll.EVPRO("Finance",$C120,"Inv_Type")</f>
        <v>Inv_Equity</v>
      </c>
      <c r="B120" s="26" t="str">
        <f t="shared" si="2"/>
        <v>Windsor Healthcare &amp; Rehab</v>
      </c>
      <c r="C120" s="26" t="str">
        <f t="shared" si="3"/>
        <v>S09076 - Windsor Healthcare &amp; Rehab</v>
      </c>
      <c r="D120" s="27"/>
      <c r="E120" s="14" t="str">
        <f xml:space="preserve"> _xll.EPMOlapMemberO("[ACCOUNT].[H1].[T_OPEX]","","T_OPEX - Tenant Operating Expenses","","000")</f>
        <v>T_OPEX - Tenant Operating Expenses</v>
      </c>
      <c r="F120" s="72">
        <v>240696.22</v>
      </c>
      <c r="G120">
        <v>233677.26</v>
      </c>
      <c r="H120">
        <v>270588.64</v>
      </c>
      <c r="I120">
        <v>244310.99</v>
      </c>
      <c r="J120">
        <v>248027.33</v>
      </c>
      <c r="K120">
        <v>243112.8</v>
      </c>
    </row>
    <row r="121" spans="1:11" x14ac:dyDescent="0.25">
      <c r="A121" s="26" t="str">
        <f>_xll.EVPRO("Finance",$C121,"Inv_Type")</f>
        <v>Inv_Equity</v>
      </c>
      <c r="B121" s="26" t="str">
        <f t="shared" si="2"/>
        <v>Windsor Healthcare &amp; Rehab</v>
      </c>
      <c r="C121" s="26" t="str">
        <f t="shared" si="3"/>
        <v>S09076 - Windsor Healthcare &amp; Rehab</v>
      </c>
      <c r="D121" s="27"/>
      <c r="E121" s="2" t="str">
        <f xml:space="preserve"> _xll.EPMOlapMemberO("[ACCOUNT].[H1].[T_NON_OP_EXP]","","T_NON_OP_EXP - Tenant Non-Operating Expense","","000")</f>
        <v>T_NON_OP_EXP - Tenant Non-Operating Expense</v>
      </c>
      <c r="F121" s="72">
        <v>1410.05</v>
      </c>
      <c r="G121">
        <v>1410.05</v>
      </c>
      <c r="H121">
        <v>1410.05</v>
      </c>
      <c r="I121">
        <v>1410.05</v>
      </c>
      <c r="J121">
        <v>1410.05</v>
      </c>
      <c r="K121">
        <v>1410.05</v>
      </c>
    </row>
    <row r="122" spans="1:11" x14ac:dyDescent="0.25">
      <c r="A122" s="26" t="str">
        <f>_xll.EVPRO("Finance",$C122,"Inv_Type")</f>
        <v>Inv_Equity</v>
      </c>
      <c r="B122" s="26" t="str">
        <f t="shared" si="2"/>
        <v>Windsor Healthcare &amp; Rehab</v>
      </c>
      <c r="C122" s="26" t="str">
        <f t="shared" si="3"/>
        <v>S09076 - Windsor Healthcare &amp; Rehab</v>
      </c>
      <c r="D122" s="27"/>
      <c r="E122" s="15" t="str">
        <f xml:space="preserve"> _xll.EPMOlapMemberO("[ACCOUNT].[H1].[T_BAD_DEBT]","","T_BAD_DEBT - Tenant Bad Debt Expense","","000")</f>
        <v>T_BAD_DEBT - Tenant Bad Debt Expense</v>
      </c>
      <c r="F122" s="72">
        <v>7860.88</v>
      </c>
      <c r="G122">
        <v>2666.88</v>
      </c>
      <c r="H122">
        <v>12683.88</v>
      </c>
      <c r="I122">
        <v>1924.88</v>
      </c>
      <c r="J122">
        <v>7489.88</v>
      </c>
      <c r="K122">
        <v>1924.88</v>
      </c>
    </row>
    <row r="123" spans="1:11" x14ac:dyDescent="0.25">
      <c r="A123" s="26" t="str">
        <f>_xll.EVPRO("Finance",$C123,"Inv_Type")</f>
        <v>Inv_Equity</v>
      </c>
      <c r="B123" s="26" t="str">
        <f t="shared" si="2"/>
        <v>Windsor Healthcare &amp; Rehab</v>
      </c>
      <c r="C123" s="26" t="str">
        <f t="shared" si="3"/>
        <v>S09076 - Windsor Healthcare &amp; Rehab</v>
      </c>
      <c r="D123" s="27"/>
      <c r="E123" s="3" t="str">
        <f xml:space="preserve"> _xll.EPMOlapMemberO("[ACCOUNT].[H1].[T_EBITDARM]","","T_EBITDARM - EBITDARM","","000")</f>
        <v>T_EBITDARM - EBITDARM</v>
      </c>
      <c r="F123" s="72">
        <v>5080.74999999997</v>
      </c>
      <c r="G123">
        <v>-19280.599999999999</v>
      </c>
      <c r="H123">
        <v>-22117.61</v>
      </c>
      <c r="I123">
        <v>-20146.91</v>
      </c>
      <c r="J123">
        <v>-40425.519999999997</v>
      </c>
      <c r="K123">
        <v>-13758.32</v>
      </c>
    </row>
    <row r="124" spans="1:11" x14ac:dyDescent="0.25">
      <c r="A124" s="26" t="str">
        <f>_xll.EVPRO("Finance",$C124,"Inv_Type")</f>
        <v>Inv_Equity</v>
      </c>
      <c r="B124" s="26" t="str">
        <f t="shared" si="2"/>
        <v>Windsor Healthcare &amp; Rehab</v>
      </c>
      <c r="C124" s="26" t="str">
        <f t="shared" si="3"/>
        <v>S09076 - Windsor Healthcare &amp; Rehab</v>
      </c>
      <c r="D124" s="27"/>
      <c r="E124" s="3" t="str">
        <f xml:space="preserve"> _xll.EPMOlapMemberO("[ACCOUNT].[H1].[T_MGMT_FEE]","","T_MGMT_FEE - Tenant Management Fee - Actual","","000")</f>
        <v>T_MGMT_FEE - Tenant Management Fee - Actual</v>
      </c>
      <c r="F124" s="72">
        <v>17530.68</v>
      </c>
      <c r="G124">
        <v>15181.14</v>
      </c>
      <c r="H124">
        <v>17588.3</v>
      </c>
      <c r="I124">
        <v>16094.01</v>
      </c>
      <c r="J124">
        <v>15675.96</v>
      </c>
      <c r="K124">
        <v>16144.88</v>
      </c>
    </row>
    <row r="125" spans="1:11" x14ac:dyDescent="0.25">
      <c r="A125" s="26" t="str">
        <f>_xll.EVPRO("Finance",$C125,"Inv_Type")</f>
        <v>Inv_Equity</v>
      </c>
      <c r="B125" s="26" t="str">
        <f t="shared" si="2"/>
        <v>Windsor Healthcare &amp; Rehab</v>
      </c>
      <c r="C125" s="26" t="str">
        <f t="shared" si="3"/>
        <v>S09076 - Windsor Healthcare &amp; Rehab</v>
      </c>
      <c r="D125" s="27"/>
      <c r="E125" s="2" t="str">
        <f xml:space="preserve"> _xll.EPMOlapMemberO("[ACCOUNT].[H1].[T_EBITDAR]","","T_EBITDAR - EBITDAR","","000")</f>
        <v>T_EBITDAR - EBITDAR</v>
      </c>
      <c r="F125" s="72">
        <v>-12449.93</v>
      </c>
      <c r="G125">
        <v>-34461.74</v>
      </c>
      <c r="H125">
        <v>-39705.910000000003</v>
      </c>
      <c r="I125">
        <v>-36240.92</v>
      </c>
      <c r="J125">
        <v>-56101.48</v>
      </c>
      <c r="K125">
        <v>-29903.200000000001</v>
      </c>
    </row>
    <row r="126" spans="1:11" x14ac:dyDescent="0.25">
      <c r="A126" s="26" t="str">
        <f>_xll.EVPRO("Finance",$C126,"Inv_Type")</f>
        <v>Inv_Equity</v>
      </c>
      <c r="B126" s="26" t="str">
        <f t="shared" si="2"/>
        <v>Windsor Healthcare &amp; Rehab</v>
      </c>
      <c r="C126" s="26" t="str">
        <f t="shared" si="3"/>
        <v>S09076 - Windsor Healthcare &amp; Rehab</v>
      </c>
      <c r="D126" s="27"/>
      <c r="E126" s="2" t="str">
        <f xml:space="preserve"> _xll.EPMOlapMemberO("[ACCOUNT].[H1].[T_COVERAGE_RENT]","","T_COVERAGE_RENT - Coverage Rent","","000")</f>
        <v>T_COVERAGE_RENT - Coverage Rent</v>
      </c>
      <c r="F126" s="72">
        <v>33406.01</v>
      </c>
      <c r="G126">
        <v>35076.31</v>
      </c>
      <c r="H126">
        <v>35076.31</v>
      </c>
      <c r="I126">
        <v>35076.31</v>
      </c>
      <c r="J126">
        <v>35076.31</v>
      </c>
      <c r="K126">
        <v>35076.31</v>
      </c>
    </row>
    <row r="127" spans="1:11" x14ac:dyDescent="0.25">
      <c r="A127" s="26" t="str">
        <f>_xll.EVPRO("Finance",$C127,"Inv_Type")</f>
        <v>Inv_Equity</v>
      </c>
      <c r="B127" s="26" t="str">
        <f t="shared" si="2"/>
        <v>Windsor Healthcare &amp; Rehab</v>
      </c>
      <c r="C127" s="26" t="str">
        <f t="shared" si="3"/>
        <v>S09076 - Windsor Healthcare &amp; Rehab</v>
      </c>
      <c r="D127" s="27"/>
      <c r="E127" s="2" t="str">
        <f xml:space="preserve"> _xll.EPMOlapMemberO("[ACCOUNT].[H1].[T_RENT_EXP]","","T_RENT_EXP - Tenant Rent Expense","","000")</f>
        <v>T_RENT_EXP - Tenant Rent Expense</v>
      </c>
      <c r="F127" s="72">
        <v>43399.98</v>
      </c>
      <c r="G127">
        <v>43399.98</v>
      </c>
      <c r="H127">
        <v>46766.1</v>
      </c>
      <c r="I127">
        <v>45083.040000000001</v>
      </c>
      <c r="J127">
        <v>45083.040000000001</v>
      </c>
      <c r="K127">
        <v>45083.040000000001</v>
      </c>
    </row>
    <row r="128" spans="1:11" x14ac:dyDescent="0.25">
      <c r="A128" s="26" t="str">
        <f>_xll.EVPRO("Finance",$C128,"Inv_Type")</f>
        <v>Inv_Equity</v>
      </c>
      <c r="B128" s="26" t="str">
        <f t="shared" si="2"/>
        <v>Windsor Healthcare &amp; Rehab</v>
      </c>
      <c r="C128" s="26" t="str">
        <f t="shared" si="3"/>
        <v>S09076 - Windsor Healthcare &amp; Rehab</v>
      </c>
    </row>
    <row r="129" spans="1:3" x14ac:dyDescent="0.25">
      <c r="A129" s="26" t="str">
        <f>_xll.EVPRO("Finance",$C129,"Inv_Type")</f>
        <v>Inv_Equity</v>
      </c>
      <c r="B129" s="26" t="str">
        <f t="shared" si="2"/>
        <v>Windsor Healthcare &amp; Rehab</v>
      </c>
      <c r="C129" s="26" t="str">
        <f t="shared" si="3"/>
        <v>S09076 - Windsor Healthcare &amp; Rehab</v>
      </c>
    </row>
    <row r="130" spans="1:3" x14ac:dyDescent="0.25">
      <c r="A130" s="26" t="str">
        <f>_xll.EVPRO("Finance",$C130,"Inv_Type")</f>
        <v>Inv_Equity</v>
      </c>
      <c r="B130" s="26" t="str">
        <f t="shared" si="2"/>
        <v>Windsor Healthcare &amp; Rehab</v>
      </c>
      <c r="C130" s="26" t="str">
        <f t="shared" si="3"/>
        <v>S09076 - Windsor Healthcare &amp; Rehab</v>
      </c>
    </row>
    <row r="131" spans="1:3" x14ac:dyDescent="0.25">
      <c r="A131" s="26" t="str">
        <f>_xll.EVPRO("Finance",$C131,"Inv_Type")</f>
        <v>Inv_Equity</v>
      </c>
      <c r="B131" s="26" t="str">
        <f t="shared" si="2"/>
        <v>Windsor Healthcare &amp; Rehab</v>
      </c>
      <c r="C131" s="26" t="str">
        <f t="shared" si="3"/>
        <v>S09076 - Windsor Healthcare &amp; Rehab</v>
      </c>
    </row>
    <row r="132" spans="1:3" x14ac:dyDescent="0.25">
      <c r="A132" s="26" t="str">
        <f>_xll.EVPRO("Finance",$C132,"Inv_Type")</f>
        <v>Inv_Equity</v>
      </c>
      <c r="B132" s="26" t="str">
        <f t="shared" si="2"/>
        <v>Windsor Healthcare &amp; Rehab</v>
      </c>
      <c r="C132" s="26" t="str">
        <f t="shared" si="3"/>
        <v>S09076 - Windsor Healthcare &amp; Rehab</v>
      </c>
    </row>
    <row r="133" spans="1:3" x14ac:dyDescent="0.25">
      <c r="A133" s="26" t="str">
        <f>_xll.EVPRO("Finance",$C133,"Inv_Type")</f>
        <v>Inv_Equity</v>
      </c>
      <c r="B133" s="26" t="str">
        <f t="shared" si="2"/>
        <v>Windsor Healthcare &amp; Rehab</v>
      </c>
      <c r="C133" s="26" t="str">
        <f t="shared" si="3"/>
        <v>S09076 - Windsor Healthcare &amp; Rehab</v>
      </c>
    </row>
    <row r="134" spans="1:3" x14ac:dyDescent="0.25">
      <c r="A134" s="26" t="str">
        <f>_xll.EVPRO("Finance",$C134,"Inv_Type")</f>
        <v>Inv_Equity</v>
      </c>
      <c r="B134" s="26" t="str">
        <f t="shared" si="2"/>
        <v>Windsor Healthcare &amp; Rehab</v>
      </c>
      <c r="C134" s="26" t="str">
        <f t="shared" si="3"/>
        <v>S09076 - Windsor Healthcare &amp; Rehab</v>
      </c>
    </row>
    <row r="135" spans="1:3" x14ac:dyDescent="0.25">
      <c r="A135" s="26" t="str">
        <f>_xll.EVPRO("Finance",$C135,"Inv_Type")</f>
        <v>Inv_Equity</v>
      </c>
      <c r="B135" s="26" t="str">
        <f t="shared" ref="B135:B198" si="4">MID($C135,FIND("- ",$C135)+2,10000)</f>
        <v>Windsor Healthcare &amp; Rehab</v>
      </c>
      <c r="C135" s="26" t="str">
        <f t="shared" si="3"/>
        <v>S09076 - Windsor Healthcare &amp; Rehab</v>
      </c>
    </row>
    <row r="136" spans="1:3" x14ac:dyDescent="0.25">
      <c r="A136" s="26" t="str">
        <f>_xll.EVPRO("Finance",$C136,"Inv_Type")</f>
        <v>Inv_Equity</v>
      </c>
      <c r="B136" s="26" t="str">
        <f t="shared" si="4"/>
        <v>Windsor Healthcare &amp; Rehab</v>
      </c>
      <c r="C136" s="26" t="str">
        <f t="shared" ref="C136:C199" si="5">IF($D136&lt;&gt;"",$D136,C135)</f>
        <v>S09076 - Windsor Healthcare &amp; Rehab</v>
      </c>
    </row>
    <row r="137" spans="1:3" x14ac:dyDescent="0.25">
      <c r="A137" s="26" t="str">
        <f>_xll.EVPRO("Finance",$C137,"Inv_Type")</f>
        <v>Inv_Equity</v>
      </c>
      <c r="B137" s="26" t="str">
        <f t="shared" si="4"/>
        <v>Windsor Healthcare &amp; Rehab</v>
      </c>
      <c r="C137" s="26" t="str">
        <f t="shared" si="5"/>
        <v>S09076 - Windsor Healthcare &amp; Rehab</v>
      </c>
    </row>
    <row r="138" spans="1:3" x14ac:dyDescent="0.25">
      <c r="A138" s="26" t="str">
        <f>_xll.EVPRO("Finance",$C138,"Inv_Type")</f>
        <v>Inv_Equity</v>
      </c>
      <c r="B138" s="26" t="str">
        <f t="shared" si="4"/>
        <v>Windsor Healthcare &amp; Rehab</v>
      </c>
      <c r="C138" s="26" t="str">
        <f t="shared" si="5"/>
        <v>S09076 - Windsor Healthcare &amp; Rehab</v>
      </c>
    </row>
    <row r="139" spans="1:3" x14ac:dyDescent="0.25">
      <c r="A139" s="26" t="str">
        <f>_xll.EVPRO("Finance",$C139,"Inv_Type")</f>
        <v>Inv_Equity</v>
      </c>
      <c r="B139" s="26" t="str">
        <f t="shared" si="4"/>
        <v>Windsor Healthcare &amp; Rehab</v>
      </c>
      <c r="C139" s="26" t="str">
        <f t="shared" si="5"/>
        <v>S09076 - Windsor Healthcare &amp; Rehab</v>
      </c>
    </row>
    <row r="140" spans="1:3" x14ac:dyDescent="0.25">
      <c r="A140" s="26" t="str">
        <f>_xll.EVPRO("Finance",$C140,"Inv_Type")</f>
        <v>Inv_Equity</v>
      </c>
      <c r="B140" s="26" t="str">
        <f t="shared" si="4"/>
        <v>Windsor Healthcare &amp; Rehab</v>
      </c>
      <c r="C140" s="26" t="str">
        <f t="shared" si="5"/>
        <v>S09076 - Windsor Healthcare &amp; Rehab</v>
      </c>
    </row>
    <row r="141" spans="1:3" x14ac:dyDescent="0.25">
      <c r="A141" s="26" t="str">
        <f>_xll.EVPRO("Finance",$C141,"Inv_Type")</f>
        <v>Inv_Equity</v>
      </c>
      <c r="B141" s="26" t="str">
        <f t="shared" si="4"/>
        <v>Windsor Healthcare &amp; Rehab</v>
      </c>
      <c r="C141" s="26" t="str">
        <f t="shared" si="5"/>
        <v>S09076 - Windsor Healthcare &amp; Rehab</v>
      </c>
    </row>
    <row r="142" spans="1:3" x14ac:dyDescent="0.25">
      <c r="A142" s="26" t="str">
        <f>_xll.EVPRO("Finance",$C142,"Inv_Type")</f>
        <v>Inv_Equity</v>
      </c>
      <c r="B142" s="26" t="str">
        <f t="shared" si="4"/>
        <v>Windsor Healthcare &amp; Rehab</v>
      </c>
      <c r="C142" s="26" t="str">
        <f t="shared" si="5"/>
        <v>S09076 - Windsor Healthcare &amp; Rehab</v>
      </c>
    </row>
    <row r="143" spans="1:3" x14ac:dyDescent="0.25">
      <c r="A143" s="26" t="str">
        <f>_xll.EVPRO("Finance",$C143,"Inv_Type")</f>
        <v>Inv_Equity</v>
      </c>
      <c r="B143" s="26" t="str">
        <f t="shared" si="4"/>
        <v>Windsor Healthcare &amp; Rehab</v>
      </c>
      <c r="C143" s="26" t="str">
        <f t="shared" si="5"/>
        <v>S09076 - Windsor Healthcare &amp; Rehab</v>
      </c>
    </row>
    <row r="144" spans="1:3" x14ac:dyDescent="0.25">
      <c r="A144" s="26" t="str">
        <f>_xll.EVPRO("Finance",$C144,"Inv_Type")</f>
        <v>Inv_Equity</v>
      </c>
      <c r="B144" s="26" t="str">
        <f t="shared" si="4"/>
        <v>Windsor Healthcare &amp; Rehab</v>
      </c>
      <c r="C144" s="26" t="str">
        <f t="shared" si="5"/>
        <v>S09076 - Windsor Healthcare &amp; Rehab</v>
      </c>
    </row>
    <row r="145" spans="1:3" x14ac:dyDescent="0.25">
      <c r="A145" s="26" t="str">
        <f>_xll.EVPRO("Finance",$C145,"Inv_Type")</f>
        <v>Inv_Equity</v>
      </c>
      <c r="B145" s="26" t="str">
        <f t="shared" si="4"/>
        <v>Windsor Healthcare &amp; Rehab</v>
      </c>
      <c r="C145" s="26" t="str">
        <f t="shared" si="5"/>
        <v>S09076 - Windsor Healthcare &amp; Rehab</v>
      </c>
    </row>
    <row r="146" spans="1:3" x14ac:dyDescent="0.25">
      <c r="A146" s="26" t="str">
        <f>_xll.EVPRO("Finance",$C146,"Inv_Type")</f>
        <v>Inv_Equity</v>
      </c>
      <c r="B146" s="26" t="str">
        <f t="shared" si="4"/>
        <v>Windsor Healthcare &amp; Rehab</v>
      </c>
      <c r="C146" s="26" t="str">
        <f t="shared" si="5"/>
        <v>S09076 - Windsor Healthcare &amp; Rehab</v>
      </c>
    </row>
    <row r="147" spans="1:3" x14ac:dyDescent="0.25">
      <c r="A147" s="26" t="str">
        <f>_xll.EVPRO("Finance",$C147,"Inv_Type")</f>
        <v>Inv_Equity</v>
      </c>
      <c r="B147" s="26" t="str">
        <f t="shared" si="4"/>
        <v>Windsor Healthcare &amp; Rehab</v>
      </c>
      <c r="C147" s="26" t="str">
        <f t="shared" si="5"/>
        <v>S09076 - Windsor Healthcare &amp; Rehab</v>
      </c>
    </row>
    <row r="148" spans="1:3" x14ac:dyDescent="0.25">
      <c r="A148" s="26" t="str">
        <f>_xll.EVPRO("Finance",$C148,"Inv_Type")</f>
        <v>Inv_Equity</v>
      </c>
      <c r="B148" s="26" t="str">
        <f t="shared" si="4"/>
        <v>Windsor Healthcare &amp; Rehab</v>
      </c>
      <c r="C148" s="26" t="str">
        <f t="shared" si="5"/>
        <v>S09076 - Windsor Healthcare &amp; Rehab</v>
      </c>
    </row>
    <row r="149" spans="1:3" x14ac:dyDescent="0.25">
      <c r="A149" s="26" t="str">
        <f>_xll.EVPRO("Finance",$C149,"Inv_Type")</f>
        <v>Inv_Equity</v>
      </c>
      <c r="B149" s="26" t="str">
        <f t="shared" si="4"/>
        <v>Windsor Healthcare &amp; Rehab</v>
      </c>
      <c r="C149" s="26" t="str">
        <f t="shared" si="5"/>
        <v>S09076 - Windsor Healthcare &amp; Rehab</v>
      </c>
    </row>
    <row r="150" spans="1:3" x14ac:dyDescent="0.25">
      <c r="A150" s="26" t="str">
        <f>_xll.EVPRO("Finance",$C150,"Inv_Type")</f>
        <v>Inv_Equity</v>
      </c>
      <c r="B150" s="26" t="str">
        <f t="shared" si="4"/>
        <v>Windsor Healthcare &amp; Rehab</v>
      </c>
      <c r="C150" s="26" t="str">
        <f t="shared" si="5"/>
        <v>S09076 - Windsor Healthcare &amp; Rehab</v>
      </c>
    </row>
    <row r="151" spans="1:3" x14ac:dyDescent="0.25">
      <c r="A151" s="26" t="str">
        <f>_xll.EVPRO("Finance",$C151,"Inv_Type")</f>
        <v>Inv_Equity</v>
      </c>
      <c r="B151" s="26" t="str">
        <f t="shared" si="4"/>
        <v>Windsor Healthcare &amp; Rehab</v>
      </c>
      <c r="C151" s="26" t="str">
        <f t="shared" si="5"/>
        <v>S09076 - Windsor Healthcare &amp; Rehab</v>
      </c>
    </row>
    <row r="152" spans="1:3" x14ac:dyDescent="0.25">
      <c r="A152" s="26" t="str">
        <f>_xll.EVPRO("Finance",$C152,"Inv_Type")</f>
        <v>Inv_Equity</v>
      </c>
      <c r="B152" s="26" t="str">
        <f t="shared" si="4"/>
        <v>Windsor Healthcare &amp; Rehab</v>
      </c>
      <c r="C152" s="26" t="str">
        <f t="shared" si="5"/>
        <v>S09076 - Windsor Healthcare &amp; Rehab</v>
      </c>
    </row>
    <row r="153" spans="1:3" x14ac:dyDescent="0.25">
      <c r="A153" s="26" t="str">
        <f>_xll.EVPRO("Finance",$C153,"Inv_Type")</f>
        <v>Inv_Equity</v>
      </c>
      <c r="B153" s="26" t="str">
        <f t="shared" si="4"/>
        <v>Windsor Healthcare &amp; Rehab</v>
      </c>
      <c r="C153" s="26" t="str">
        <f t="shared" si="5"/>
        <v>S09076 - Windsor Healthcare &amp; Rehab</v>
      </c>
    </row>
    <row r="154" spans="1:3" x14ac:dyDescent="0.25">
      <c r="A154" s="26" t="str">
        <f>_xll.EVPRO("Finance",$C154,"Inv_Type")</f>
        <v>Inv_Equity</v>
      </c>
      <c r="B154" s="26" t="str">
        <f t="shared" si="4"/>
        <v>Windsor Healthcare &amp; Rehab</v>
      </c>
      <c r="C154" s="26" t="str">
        <f t="shared" si="5"/>
        <v>S09076 - Windsor Healthcare &amp; Rehab</v>
      </c>
    </row>
    <row r="155" spans="1:3" x14ac:dyDescent="0.25">
      <c r="A155" s="26" t="str">
        <f>_xll.EVPRO("Finance",$C155,"Inv_Type")</f>
        <v>Inv_Equity</v>
      </c>
      <c r="B155" s="26" t="str">
        <f t="shared" si="4"/>
        <v>Windsor Healthcare &amp; Rehab</v>
      </c>
      <c r="C155" s="26" t="str">
        <f t="shared" si="5"/>
        <v>S09076 - Windsor Healthcare &amp; Rehab</v>
      </c>
    </row>
    <row r="156" spans="1:3" x14ac:dyDescent="0.25">
      <c r="A156" s="26" t="str">
        <f>_xll.EVPRO("Finance",$C156,"Inv_Type")</f>
        <v>Inv_Equity</v>
      </c>
      <c r="B156" s="26" t="str">
        <f t="shared" si="4"/>
        <v>Windsor Healthcare &amp; Rehab</v>
      </c>
      <c r="C156" s="26" t="str">
        <f t="shared" si="5"/>
        <v>S09076 - Windsor Healthcare &amp; Rehab</v>
      </c>
    </row>
    <row r="157" spans="1:3" x14ac:dyDescent="0.25">
      <c r="A157" s="26" t="str">
        <f>_xll.EVPRO("Finance",$C157,"Inv_Type")</f>
        <v>Inv_Equity</v>
      </c>
      <c r="B157" s="26" t="str">
        <f t="shared" si="4"/>
        <v>Windsor Healthcare &amp; Rehab</v>
      </c>
      <c r="C157" s="26" t="str">
        <f t="shared" si="5"/>
        <v>S09076 - Windsor Healthcare &amp; Rehab</v>
      </c>
    </row>
    <row r="158" spans="1:3" x14ac:dyDescent="0.25">
      <c r="A158" s="26" t="str">
        <f>_xll.EVPRO("Finance",$C158,"Inv_Type")</f>
        <v>Inv_Equity</v>
      </c>
      <c r="B158" s="26" t="str">
        <f t="shared" si="4"/>
        <v>Windsor Healthcare &amp; Rehab</v>
      </c>
      <c r="C158" s="26" t="str">
        <f t="shared" si="5"/>
        <v>S09076 - Windsor Healthcare &amp; Rehab</v>
      </c>
    </row>
    <row r="159" spans="1:3" x14ac:dyDescent="0.25">
      <c r="A159" s="26" t="str">
        <f>_xll.EVPRO("Finance",$C159,"Inv_Type")</f>
        <v>Inv_Equity</v>
      </c>
      <c r="B159" s="26" t="str">
        <f t="shared" si="4"/>
        <v>Windsor Healthcare &amp; Rehab</v>
      </c>
      <c r="C159" s="26" t="str">
        <f t="shared" si="5"/>
        <v>S09076 - Windsor Healthcare &amp; Rehab</v>
      </c>
    </row>
    <row r="160" spans="1:3" x14ac:dyDescent="0.25">
      <c r="A160" s="26" t="str">
        <f>_xll.EVPRO("Finance",$C160,"Inv_Type")</f>
        <v>Inv_Equity</v>
      </c>
      <c r="B160" s="26" t="str">
        <f t="shared" si="4"/>
        <v>Windsor Healthcare &amp; Rehab</v>
      </c>
      <c r="C160" s="26" t="str">
        <f t="shared" si="5"/>
        <v>S09076 - Windsor Healthcare &amp; Rehab</v>
      </c>
    </row>
    <row r="161" spans="1:3" x14ac:dyDescent="0.25">
      <c r="A161" s="26" t="str">
        <f>_xll.EVPRO("Finance",$C161,"Inv_Type")</f>
        <v>Inv_Equity</v>
      </c>
      <c r="B161" s="26" t="str">
        <f t="shared" si="4"/>
        <v>Windsor Healthcare &amp; Rehab</v>
      </c>
      <c r="C161" s="26" t="str">
        <f t="shared" si="5"/>
        <v>S09076 - Windsor Healthcare &amp; Rehab</v>
      </c>
    </row>
    <row r="162" spans="1:3" x14ac:dyDescent="0.25">
      <c r="A162" s="26" t="str">
        <f>_xll.EVPRO("Finance",$C162,"Inv_Type")</f>
        <v>Inv_Equity</v>
      </c>
      <c r="B162" s="26" t="str">
        <f t="shared" si="4"/>
        <v>Windsor Healthcare &amp; Rehab</v>
      </c>
      <c r="C162" s="26" t="str">
        <f t="shared" si="5"/>
        <v>S09076 - Windsor Healthcare &amp; Rehab</v>
      </c>
    </row>
    <row r="163" spans="1:3" x14ac:dyDescent="0.25">
      <c r="A163" s="26" t="str">
        <f>_xll.EVPRO("Finance",$C163,"Inv_Type")</f>
        <v>Inv_Equity</v>
      </c>
      <c r="B163" s="26" t="str">
        <f t="shared" si="4"/>
        <v>Windsor Healthcare &amp; Rehab</v>
      </c>
      <c r="C163" s="26" t="str">
        <f t="shared" si="5"/>
        <v>S09076 - Windsor Healthcare &amp; Rehab</v>
      </c>
    </row>
    <row r="164" spans="1:3" x14ac:dyDescent="0.25">
      <c r="A164" s="26" t="str">
        <f>_xll.EVPRO("Finance",$C164,"Inv_Type")</f>
        <v>Inv_Equity</v>
      </c>
      <c r="B164" s="26" t="str">
        <f t="shared" si="4"/>
        <v>Windsor Healthcare &amp; Rehab</v>
      </c>
      <c r="C164" s="26" t="str">
        <f t="shared" si="5"/>
        <v>S09076 - Windsor Healthcare &amp; Rehab</v>
      </c>
    </row>
    <row r="165" spans="1:3" x14ac:dyDescent="0.25">
      <c r="A165" s="26" t="str">
        <f>_xll.EVPRO("Finance",$C165,"Inv_Type")</f>
        <v>Inv_Equity</v>
      </c>
      <c r="B165" s="26" t="str">
        <f t="shared" si="4"/>
        <v>Windsor Healthcare &amp; Rehab</v>
      </c>
      <c r="C165" s="26" t="str">
        <f t="shared" si="5"/>
        <v>S09076 - Windsor Healthcare &amp; Rehab</v>
      </c>
    </row>
    <row r="166" spans="1:3" x14ac:dyDescent="0.25">
      <c r="A166" s="26" t="str">
        <f>_xll.EVPRO("Finance",$C166,"Inv_Type")</f>
        <v>Inv_Equity</v>
      </c>
      <c r="B166" s="26" t="str">
        <f t="shared" si="4"/>
        <v>Windsor Healthcare &amp; Rehab</v>
      </c>
      <c r="C166" s="26" t="str">
        <f t="shared" si="5"/>
        <v>S09076 - Windsor Healthcare &amp; Rehab</v>
      </c>
    </row>
    <row r="167" spans="1:3" x14ac:dyDescent="0.25">
      <c r="A167" s="26" t="str">
        <f>_xll.EVPRO("Finance",$C167,"Inv_Type")</f>
        <v>Inv_Equity</v>
      </c>
      <c r="B167" s="26" t="str">
        <f t="shared" si="4"/>
        <v>Windsor Healthcare &amp; Rehab</v>
      </c>
      <c r="C167" s="26" t="str">
        <f t="shared" si="5"/>
        <v>S09076 - Windsor Healthcare &amp; Rehab</v>
      </c>
    </row>
    <row r="168" spans="1:3" x14ac:dyDescent="0.25">
      <c r="A168" s="26" t="str">
        <f>_xll.EVPRO("Finance",$C168,"Inv_Type")</f>
        <v>Inv_Equity</v>
      </c>
      <c r="B168" s="26" t="str">
        <f t="shared" si="4"/>
        <v>Windsor Healthcare &amp; Rehab</v>
      </c>
      <c r="C168" s="26" t="str">
        <f t="shared" si="5"/>
        <v>S09076 - Windsor Healthcare &amp; Rehab</v>
      </c>
    </row>
    <row r="169" spans="1:3" x14ac:dyDescent="0.25">
      <c r="A169" s="26" t="str">
        <f>_xll.EVPRO("Finance",$C169,"Inv_Type")</f>
        <v>Inv_Equity</v>
      </c>
      <c r="B169" s="26" t="str">
        <f t="shared" si="4"/>
        <v>Windsor Healthcare &amp; Rehab</v>
      </c>
      <c r="C169" s="26" t="str">
        <f t="shared" si="5"/>
        <v>S09076 - Windsor Healthcare &amp; Rehab</v>
      </c>
    </row>
    <row r="170" spans="1:3" x14ac:dyDescent="0.25">
      <c r="A170" s="26" t="str">
        <f>_xll.EVPRO("Finance",$C170,"Inv_Type")</f>
        <v>Inv_Equity</v>
      </c>
      <c r="B170" s="26" t="str">
        <f t="shared" si="4"/>
        <v>Windsor Healthcare &amp; Rehab</v>
      </c>
      <c r="C170" s="26" t="str">
        <f t="shared" si="5"/>
        <v>S09076 - Windsor Healthcare &amp; Rehab</v>
      </c>
    </row>
    <row r="171" spans="1:3" x14ac:dyDescent="0.25">
      <c r="A171" s="26" t="str">
        <f>_xll.EVPRO("Finance",$C171,"Inv_Type")</f>
        <v>Inv_Equity</v>
      </c>
      <c r="B171" s="26" t="str">
        <f t="shared" si="4"/>
        <v>Windsor Healthcare &amp; Rehab</v>
      </c>
      <c r="C171" s="26" t="str">
        <f t="shared" si="5"/>
        <v>S09076 - Windsor Healthcare &amp; Rehab</v>
      </c>
    </row>
    <row r="172" spans="1:3" x14ac:dyDescent="0.25">
      <c r="A172" s="26" t="str">
        <f>_xll.EVPRO("Finance",$C172,"Inv_Type")</f>
        <v>Inv_Equity</v>
      </c>
      <c r="B172" s="26" t="str">
        <f t="shared" si="4"/>
        <v>Windsor Healthcare &amp; Rehab</v>
      </c>
      <c r="C172" s="26" t="str">
        <f t="shared" si="5"/>
        <v>S09076 - Windsor Healthcare &amp; Rehab</v>
      </c>
    </row>
    <row r="173" spans="1:3" x14ac:dyDescent="0.25">
      <c r="A173" s="26" t="str">
        <f>_xll.EVPRO("Finance",$C173,"Inv_Type")</f>
        <v>Inv_Equity</v>
      </c>
      <c r="B173" s="26" t="str">
        <f t="shared" si="4"/>
        <v>Windsor Healthcare &amp; Rehab</v>
      </c>
      <c r="C173" s="26" t="str">
        <f t="shared" si="5"/>
        <v>S09076 - Windsor Healthcare &amp; Rehab</v>
      </c>
    </row>
    <row r="174" spans="1:3" x14ac:dyDescent="0.25">
      <c r="A174" s="26" t="str">
        <f>_xll.EVPRO("Finance",$C174,"Inv_Type")</f>
        <v>Inv_Equity</v>
      </c>
      <c r="B174" s="26" t="str">
        <f t="shared" si="4"/>
        <v>Windsor Healthcare &amp; Rehab</v>
      </c>
      <c r="C174" s="26" t="str">
        <f t="shared" si="5"/>
        <v>S09076 - Windsor Healthcare &amp; Rehab</v>
      </c>
    </row>
    <row r="175" spans="1:3" x14ac:dyDescent="0.25">
      <c r="A175" s="26" t="str">
        <f>_xll.EVPRO("Finance",$C175,"Inv_Type")</f>
        <v>Inv_Equity</v>
      </c>
      <c r="B175" s="26" t="str">
        <f t="shared" si="4"/>
        <v>Windsor Healthcare &amp; Rehab</v>
      </c>
      <c r="C175" s="26" t="str">
        <f t="shared" si="5"/>
        <v>S09076 - Windsor Healthcare &amp; Rehab</v>
      </c>
    </row>
    <row r="176" spans="1:3" x14ac:dyDescent="0.25">
      <c r="A176" s="26" t="str">
        <f>_xll.EVPRO("Finance",$C176,"Inv_Type")</f>
        <v>Inv_Equity</v>
      </c>
      <c r="B176" s="26" t="str">
        <f t="shared" si="4"/>
        <v>Windsor Healthcare &amp; Rehab</v>
      </c>
      <c r="C176" s="26" t="str">
        <f t="shared" si="5"/>
        <v>S09076 - Windsor Healthcare &amp; Rehab</v>
      </c>
    </row>
    <row r="177" spans="1:3" x14ac:dyDescent="0.25">
      <c r="A177" s="26" t="str">
        <f>_xll.EVPRO("Finance",$C177,"Inv_Type")</f>
        <v>Inv_Equity</v>
      </c>
      <c r="B177" s="26" t="str">
        <f t="shared" si="4"/>
        <v>Windsor Healthcare &amp; Rehab</v>
      </c>
      <c r="C177" s="26" t="str">
        <f t="shared" si="5"/>
        <v>S09076 - Windsor Healthcare &amp; Rehab</v>
      </c>
    </row>
    <row r="178" spans="1:3" x14ac:dyDescent="0.25">
      <c r="A178" s="26" t="str">
        <f>_xll.EVPRO("Finance",$C178,"Inv_Type")</f>
        <v>Inv_Equity</v>
      </c>
      <c r="B178" s="26" t="str">
        <f t="shared" si="4"/>
        <v>Windsor Healthcare &amp; Rehab</v>
      </c>
      <c r="C178" s="26" t="str">
        <f t="shared" si="5"/>
        <v>S09076 - Windsor Healthcare &amp; Rehab</v>
      </c>
    </row>
    <row r="179" spans="1:3" x14ac:dyDescent="0.25">
      <c r="A179" s="26" t="str">
        <f>_xll.EVPRO("Finance",$C179,"Inv_Type")</f>
        <v>Inv_Equity</v>
      </c>
      <c r="B179" s="26" t="str">
        <f t="shared" si="4"/>
        <v>Windsor Healthcare &amp; Rehab</v>
      </c>
      <c r="C179" s="26" t="str">
        <f t="shared" si="5"/>
        <v>S09076 - Windsor Healthcare &amp; Rehab</v>
      </c>
    </row>
    <row r="180" spans="1:3" x14ac:dyDescent="0.25">
      <c r="A180" s="26" t="str">
        <f>_xll.EVPRO("Finance",$C180,"Inv_Type")</f>
        <v>Inv_Equity</v>
      </c>
      <c r="B180" s="26" t="str">
        <f t="shared" si="4"/>
        <v>Windsor Healthcare &amp; Rehab</v>
      </c>
      <c r="C180" s="26" t="str">
        <f t="shared" si="5"/>
        <v>S09076 - Windsor Healthcare &amp; Rehab</v>
      </c>
    </row>
    <row r="181" spans="1:3" x14ac:dyDescent="0.25">
      <c r="A181" s="26" t="str">
        <f>_xll.EVPRO("Finance",$C181,"Inv_Type")</f>
        <v>Inv_Equity</v>
      </c>
      <c r="B181" s="26" t="str">
        <f t="shared" si="4"/>
        <v>Windsor Healthcare &amp; Rehab</v>
      </c>
      <c r="C181" s="26" t="str">
        <f t="shared" si="5"/>
        <v>S09076 - Windsor Healthcare &amp; Rehab</v>
      </c>
    </row>
    <row r="182" spans="1:3" x14ac:dyDescent="0.25">
      <c r="A182" s="26" t="str">
        <f>_xll.EVPRO("Finance",$C182,"Inv_Type")</f>
        <v>Inv_Equity</v>
      </c>
      <c r="B182" s="26" t="str">
        <f t="shared" si="4"/>
        <v>Windsor Healthcare &amp; Rehab</v>
      </c>
      <c r="C182" s="26" t="str">
        <f t="shared" si="5"/>
        <v>S09076 - Windsor Healthcare &amp; Rehab</v>
      </c>
    </row>
    <row r="183" spans="1:3" x14ac:dyDescent="0.25">
      <c r="A183" s="26" t="str">
        <f>_xll.EVPRO("Finance",$C183,"Inv_Type")</f>
        <v>Inv_Equity</v>
      </c>
      <c r="B183" s="26" t="str">
        <f t="shared" si="4"/>
        <v>Windsor Healthcare &amp; Rehab</v>
      </c>
      <c r="C183" s="26" t="str">
        <f t="shared" si="5"/>
        <v>S09076 - Windsor Healthcare &amp; Rehab</v>
      </c>
    </row>
    <row r="184" spans="1:3" x14ac:dyDescent="0.25">
      <c r="A184" s="26" t="str">
        <f>_xll.EVPRO("Finance",$C184,"Inv_Type")</f>
        <v>Inv_Equity</v>
      </c>
      <c r="B184" s="26" t="str">
        <f t="shared" si="4"/>
        <v>Windsor Healthcare &amp; Rehab</v>
      </c>
      <c r="C184" s="26" t="str">
        <f t="shared" si="5"/>
        <v>S09076 - Windsor Healthcare &amp; Rehab</v>
      </c>
    </row>
    <row r="185" spans="1:3" x14ac:dyDescent="0.25">
      <c r="A185" s="26" t="str">
        <f>_xll.EVPRO("Finance",$C185,"Inv_Type")</f>
        <v>Inv_Equity</v>
      </c>
      <c r="B185" s="26" t="str">
        <f t="shared" si="4"/>
        <v>Windsor Healthcare &amp; Rehab</v>
      </c>
      <c r="C185" s="26" t="str">
        <f t="shared" si="5"/>
        <v>S09076 - Windsor Healthcare &amp; Rehab</v>
      </c>
    </row>
    <row r="186" spans="1:3" x14ac:dyDescent="0.25">
      <c r="A186" s="26" t="str">
        <f>_xll.EVPRO("Finance",$C186,"Inv_Type")</f>
        <v>Inv_Equity</v>
      </c>
      <c r="B186" s="26" t="str">
        <f t="shared" si="4"/>
        <v>Windsor Healthcare &amp; Rehab</v>
      </c>
      <c r="C186" s="26" t="str">
        <f t="shared" si="5"/>
        <v>S09076 - Windsor Healthcare &amp; Rehab</v>
      </c>
    </row>
    <row r="187" spans="1:3" x14ac:dyDescent="0.25">
      <c r="A187" s="26" t="str">
        <f>_xll.EVPRO("Finance",$C187,"Inv_Type")</f>
        <v>Inv_Equity</v>
      </c>
      <c r="B187" s="26" t="str">
        <f t="shared" si="4"/>
        <v>Windsor Healthcare &amp; Rehab</v>
      </c>
      <c r="C187" s="26" t="str">
        <f t="shared" si="5"/>
        <v>S09076 - Windsor Healthcare &amp; Rehab</v>
      </c>
    </row>
    <row r="188" spans="1:3" x14ac:dyDescent="0.25">
      <c r="A188" s="26" t="str">
        <f>_xll.EVPRO("Finance",$C188,"Inv_Type")</f>
        <v>Inv_Equity</v>
      </c>
      <c r="B188" s="26" t="str">
        <f t="shared" si="4"/>
        <v>Windsor Healthcare &amp; Rehab</v>
      </c>
      <c r="C188" s="26" t="str">
        <f t="shared" si="5"/>
        <v>S09076 - Windsor Healthcare &amp; Rehab</v>
      </c>
    </row>
    <row r="189" spans="1:3" x14ac:dyDescent="0.25">
      <c r="A189" s="26" t="str">
        <f>_xll.EVPRO("Finance",$C189,"Inv_Type")</f>
        <v>Inv_Equity</v>
      </c>
      <c r="B189" s="26" t="str">
        <f t="shared" si="4"/>
        <v>Windsor Healthcare &amp; Rehab</v>
      </c>
      <c r="C189" s="26" t="str">
        <f t="shared" si="5"/>
        <v>S09076 - Windsor Healthcare &amp; Rehab</v>
      </c>
    </row>
    <row r="190" spans="1:3" x14ac:dyDescent="0.25">
      <c r="A190" s="26" t="str">
        <f>_xll.EVPRO("Finance",$C190,"Inv_Type")</f>
        <v>Inv_Equity</v>
      </c>
      <c r="B190" s="26" t="str">
        <f t="shared" si="4"/>
        <v>Windsor Healthcare &amp; Rehab</v>
      </c>
      <c r="C190" s="26" t="str">
        <f t="shared" si="5"/>
        <v>S09076 - Windsor Healthcare &amp; Rehab</v>
      </c>
    </row>
    <row r="191" spans="1:3" x14ac:dyDescent="0.25">
      <c r="A191" s="26" t="str">
        <f>_xll.EVPRO("Finance",$C191,"Inv_Type")</f>
        <v>Inv_Equity</v>
      </c>
      <c r="B191" s="26" t="str">
        <f t="shared" si="4"/>
        <v>Windsor Healthcare &amp; Rehab</v>
      </c>
      <c r="C191" s="26" t="str">
        <f t="shared" si="5"/>
        <v>S09076 - Windsor Healthcare &amp; Rehab</v>
      </c>
    </row>
    <row r="192" spans="1:3" x14ac:dyDescent="0.25">
      <c r="A192" s="26" t="str">
        <f>_xll.EVPRO("Finance",$C192,"Inv_Type")</f>
        <v>Inv_Equity</v>
      </c>
      <c r="B192" s="26" t="str">
        <f t="shared" si="4"/>
        <v>Windsor Healthcare &amp; Rehab</v>
      </c>
      <c r="C192" s="26" t="str">
        <f t="shared" si="5"/>
        <v>S09076 - Windsor Healthcare &amp; Rehab</v>
      </c>
    </row>
    <row r="193" spans="1:3" x14ac:dyDescent="0.25">
      <c r="A193" s="26" t="str">
        <f>_xll.EVPRO("Finance",$C193,"Inv_Type")</f>
        <v>Inv_Equity</v>
      </c>
      <c r="B193" s="26" t="str">
        <f t="shared" si="4"/>
        <v>Windsor Healthcare &amp; Rehab</v>
      </c>
      <c r="C193" s="26" t="str">
        <f t="shared" si="5"/>
        <v>S09076 - Windsor Healthcare &amp; Rehab</v>
      </c>
    </row>
    <row r="194" spans="1:3" x14ac:dyDescent="0.25">
      <c r="A194" s="26" t="str">
        <f>_xll.EVPRO("Finance",$C194,"Inv_Type")</f>
        <v>Inv_Equity</v>
      </c>
      <c r="B194" s="26" t="str">
        <f t="shared" si="4"/>
        <v>Windsor Healthcare &amp; Rehab</v>
      </c>
      <c r="C194" s="26" t="str">
        <f t="shared" si="5"/>
        <v>S09076 - Windsor Healthcare &amp; Rehab</v>
      </c>
    </row>
    <row r="195" spans="1:3" x14ac:dyDescent="0.25">
      <c r="A195" s="26" t="str">
        <f>_xll.EVPRO("Finance",$C195,"Inv_Type")</f>
        <v>Inv_Equity</v>
      </c>
      <c r="B195" s="26" t="str">
        <f t="shared" si="4"/>
        <v>Windsor Healthcare &amp; Rehab</v>
      </c>
      <c r="C195" s="26" t="str">
        <f t="shared" si="5"/>
        <v>S09076 - Windsor Healthcare &amp; Rehab</v>
      </c>
    </row>
    <row r="196" spans="1:3" x14ac:dyDescent="0.25">
      <c r="A196" s="26" t="str">
        <f>_xll.EVPRO("Finance",$C196,"Inv_Type")</f>
        <v>Inv_Equity</v>
      </c>
      <c r="B196" s="26" t="str">
        <f t="shared" si="4"/>
        <v>Windsor Healthcare &amp; Rehab</v>
      </c>
      <c r="C196" s="26" t="str">
        <f t="shared" si="5"/>
        <v>S09076 - Windsor Healthcare &amp; Rehab</v>
      </c>
    </row>
    <row r="197" spans="1:3" x14ac:dyDescent="0.25">
      <c r="A197" s="26" t="str">
        <f>_xll.EVPRO("Finance",$C197,"Inv_Type")</f>
        <v>Inv_Equity</v>
      </c>
      <c r="B197" s="26" t="str">
        <f t="shared" si="4"/>
        <v>Windsor Healthcare &amp; Rehab</v>
      </c>
      <c r="C197" s="26" t="str">
        <f t="shared" si="5"/>
        <v>S09076 - Windsor Healthcare &amp; Rehab</v>
      </c>
    </row>
    <row r="198" spans="1:3" x14ac:dyDescent="0.25">
      <c r="A198" s="26" t="str">
        <f>_xll.EVPRO("Finance",$C198,"Inv_Type")</f>
        <v>Inv_Equity</v>
      </c>
      <c r="B198" s="26" t="str">
        <f t="shared" si="4"/>
        <v>Windsor Healthcare &amp; Rehab</v>
      </c>
      <c r="C198" s="26" t="str">
        <f t="shared" si="5"/>
        <v>S09076 - Windsor Healthcare &amp; Rehab</v>
      </c>
    </row>
    <row r="199" spans="1:3" x14ac:dyDescent="0.25">
      <c r="A199" s="26" t="str">
        <f>_xll.EVPRO("Finance",$C199,"Inv_Type")</f>
        <v>Inv_Equity</v>
      </c>
      <c r="B199" s="26" t="str">
        <f t="shared" ref="B199:B262" si="6">MID($C199,FIND("- ",$C199)+2,10000)</f>
        <v>Windsor Healthcare &amp; Rehab</v>
      </c>
      <c r="C199" s="26" t="str">
        <f t="shared" si="5"/>
        <v>S09076 - Windsor Healthcare &amp; Rehab</v>
      </c>
    </row>
    <row r="200" spans="1:3" x14ac:dyDescent="0.25">
      <c r="A200" s="26" t="str">
        <f>_xll.EVPRO("Finance",$C200,"Inv_Type")</f>
        <v>Inv_Equity</v>
      </c>
      <c r="B200" s="26" t="str">
        <f t="shared" si="6"/>
        <v>Windsor Healthcare &amp; Rehab</v>
      </c>
      <c r="C200" s="26" t="str">
        <f t="shared" ref="C200:C263" si="7">IF($D200&lt;&gt;"",$D200,C199)</f>
        <v>S09076 - Windsor Healthcare &amp; Rehab</v>
      </c>
    </row>
    <row r="201" spans="1:3" x14ac:dyDescent="0.25">
      <c r="A201" s="26" t="str">
        <f>_xll.EVPRO("Finance",$C201,"Inv_Type")</f>
        <v>Inv_Equity</v>
      </c>
      <c r="B201" s="26" t="str">
        <f t="shared" si="6"/>
        <v>Windsor Healthcare &amp; Rehab</v>
      </c>
      <c r="C201" s="26" t="str">
        <f t="shared" si="7"/>
        <v>S09076 - Windsor Healthcare &amp; Rehab</v>
      </c>
    </row>
    <row r="202" spans="1:3" x14ac:dyDescent="0.25">
      <c r="A202" s="26" t="str">
        <f>_xll.EVPRO("Finance",$C202,"Inv_Type")</f>
        <v>Inv_Equity</v>
      </c>
      <c r="B202" s="26" t="str">
        <f t="shared" si="6"/>
        <v>Windsor Healthcare &amp; Rehab</v>
      </c>
      <c r="C202" s="26" t="str">
        <f t="shared" si="7"/>
        <v>S09076 - Windsor Healthcare &amp; Rehab</v>
      </c>
    </row>
    <row r="203" spans="1:3" x14ac:dyDescent="0.25">
      <c r="A203" s="26" t="str">
        <f>_xll.EVPRO("Finance",$C203,"Inv_Type")</f>
        <v>Inv_Equity</v>
      </c>
      <c r="B203" s="26" t="str">
        <f t="shared" si="6"/>
        <v>Windsor Healthcare &amp; Rehab</v>
      </c>
      <c r="C203" s="26" t="str">
        <f t="shared" si="7"/>
        <v>S09076 - Windsor Healthcare &amp; Rehab</v>
      </c>
    </row>
    <row r="204" spans="1:3" x14ac:dyDescent="0.25">
      <c r="A204" s="26" t="str">
        <f>_xll.EVPRO("Finance",$C204,"Inv_Type")</f>
        <v>Inv_Equity</v>
      </c>
      <c r="B204" s="26" t="str">
        <f t="shared" si="6"/>
        <v>Windsor Healthcare &amp; Rehab</v>
      </c>
      <c r="C204" s="26" t="str">
        <f t="shared" si="7"/>
        <v>S09076 - Windsor Healthcare &amp; Rehab</v>
      </c>
    </row>
    <row r="205" spans="1:3" x14ac:dyDescent="0.25">
      <c r="A205" s="26" t="str">
        <f>_xll.EVPRO("Finance",$C205,"Inv_Type")</f>
        <v>Inv_Equity</v>
      </c>
      <c r="B205" s="26" t="str">
        <f t="shared" si="6"/>
        <v>Windsor Healthcare &amp; Rehab</v>
      </c>
      <c r="C205" s="26" t="str">
        <f t="shared" si="7"/>
        <v>S09076 - Windsor Healthcare &amp; Rehab</v>
      </c>
    </row>
    <row r="206" spans="1:3" x14ac:dyDescent="0.25">
      <c r="A206" s="26" t="str">
        <f>_xll.EVPRO("Finance",$C206,"Inv_Type")</f>
        <v>Inv_Equity</v>
      </c>
      <c r="B206" s="26" t="str">
        <f t="shared" si="6"/>
        <v>Windsor Healthcare &amp; Rehab</v>
      </c>
      <c r="C206" s="26" t="str">
        <f t="shared" si="7"/>
        <v>S09076 - Windsor Healthcare &amp; Rehab</v>
      </c>
    </row>
    <row r="207" spans="1:3" x14ac:dyDescent="0.25">
      <c r="A207" s="26" t="str">
        <f>_xll.EVPRO("Finance",$C207,"Inv_Type")</f>
        <v>Inv_Equity</v>
      </c>
      <c r="B207" s="26" t="str">
        <f t="shared" si="6"/>
        <v>Windsor Healthcare &amp; Rehab</v>
      </c>
      <c r="C207" s="26" t="str">
        <f t="shared" si="7"/>
        <v>S09076 - Windsor Healthcare &amp; Rehab</v>
      </c>
    </row>
    <row r="208" spans="1:3" x14ac:dyDescent="0.25">
      <c r="A208" s="26" t="str">
        <f>_xll.EVPRO("Finance",$C208,"Inv_Type")</f>
        <v>Inv_Equity</v>
      </c>
      <c r="B208" s="26" t="str">
        <f t="shared" si="6"/>
        <v>Windsor Healthcare &amp; Rehab</v>
      </c>
      <c r="C208" s="26" t="str">
        <f t="shared" si="7"/>
        <v>S09076 - Windsor Healthcare &amp; Rehab</v>
      </c>
    </row>
    <row r="209" spans="1:3" x14ac:dyDescent="0.25">
      <c r="A209" s="26" t="str">
        <f>_xll.EVPRO("Finance",$C209,"Inv_Type")</f>
        <v>Inv_Equity</v>
      </c>
      <c r="B209" s="26" t="str">
        <f t="shared" si="6"/>
        <v>Windsor Healthcare &amp; Rehab</v>
      </c>
      <c r="C209" s="26" t="str">
        <f t="shared" si="7"/>
        <v>S09076 - Windsor Healthcare &amp; Rehab</v>
      </c>
    </row>
    <row r="210" spans="1:3" x14ac:dyDescent="0.25">
      <c r="A210" s="26" t="str">
        <f>_xll.EVPRO("Finance",$C210,"Inv_Type")</f>
        <v>Inv_Equity</v>
      </c>
      <c r="B210" s="26" t="str">
        <f t="shared" si="6"/>
        <v>Windsor Healthcare &amp; Rehab</v>
      </c>
      <c r="C210" s="26" t="str">
        <f t="shared" si="7"/>
        <v>S09076 - Windsor Healthcare &amp; Rehab</v>
      </c>
    </row>
    <row r="211" spans="1:3" x14ac:dyDescent="0.25">
      <c r="A211" s="26" t="str">
        <f>_xll.EVPRO("Finance",$C211,"Inv_Type")</f>
        <v>Inv_Equity</v>
      </c>
      <c r="B211" s="26" t="str">
        <f t="shared" si="6"/>
        <v>Windsor Healthcare &amp; Rehab</v>
      </c>
      <c r="C211" s="26" t="str">
        <f t="shared" si="7"/>
        <v>S09076 - Windsor Healthcare &amp; Rehab</v>
      </c>
    </row>
    <row r="212" spans="1:3" x14ac:dyDescent="0.25">
      <c r="A212" s="26" t="str">
        <f>_xll.EVPRO("Finance",$C212,"Inv_Type")</f>
        <v>Inv_Equity</v>
      </c>
      <c r="B212" s="26" t="str">
        <f t="shared" si="6"/>
        <v>Windsor Healthcare &amp; Rehab</v>
      </c>
      <c r="C212" s="26" t="str">
        <f t="shared" si="7"/>
        <v>S09076 - Windsor Healthcare &amp; Rehab</v>
      </c>
    </row>
    <row r="213" spans="1:3" x14ac:dyDescent="0.25">
      <c r="A213" s="26" t="str">
        <f>_xll.EVPRO("Finance",$C213,"Inv_Type")</f>
        <v>Inv_Equity</v>
      </c>
      <c r="B213" s="26" t="str">
        <f t="shared" si="6"/>
        <v>Windsor Healthcare &amp; Rehab</v>
      </c>
      <c r="C213" s="26" t="str">
        <f t="shared" si="7"/>
        <v>S09076 - Windsor Healthcare &amp; Rehab</v>
      </c>
    </row>
    <row r="214" spans="1:3" x14ac:dyDescent="0.25">
      <c r="A214" s="26" t="str">
        <f>_xll.EVPRO("Finance",$C214,"Inv_Type")</f>
        <v>Inv_Equity</v>
      </c>
      <c r="B214" s="26" t="str">
        <f t="shared" si="6"/>
        <v>Windsor Healthcare &amp; Rehab</v>
      </c>
      <c r="C214" s="26" t="str">
        <f t="shared" si="7"/>
        <v>S09076 - Windsor Healthcare &amp; Rehab</v>
      </c>
    </row>
    <row r="215" spans="1:3" x14ac:dyDescent="0.25">
      <c r="A215" s="26" t="str">
        <f>_xll.EVPRO("Finance",$C215,"Inv_Type")</f>
        <v>Inv_Equity</v>
      </c>
      <c r="B215" s="26" t="str">
        <f t="shared" si="6"/>
        <v>Windsor Healthcare &amp; Rehab</v>
      </c>
      <c r="C215" s="26" t="str">
        <f t="shared" si="7"/>
        <v>S09076 - Windsor Healthcare &amp; Rehab</v>
      </c>
    </row>
    <row r="216" spans="1:3" x14ac:dyDescent="0.25">
      <c r="A216" s="26" t="str">
        <f>_xll.EVPRO("Finance",$C216,"Inv_Type")</f>
        <v>Inv_Equity</v>
      </c>
      <c r="B216" s="26" t="str">
        <f t="shared" si="6"/>
        <v>Windsor Healthcare &amp; Rehab</v>
      </c>
      <c r="C216" s="26" t="str">
        <f t="shared" si="7"/>
        <v>S09076 - Windsor Healthcare &amp; Rehab</v>
      </c>
    </row>
    <row r="217" spans="1:3" x14ac:dyDescent="0.25">
      <c r="A217" s="26" t="str">
        <f>_xll.EVPRO("Finance",$C217,"Inv_Type")</f>
        <v>Inv_Equity</v>
      </c>
      <c r="B217" s="26" t="str">
        <f t="shared" si="6"/>
        <v>Windsor Healthcare &amp; Rehab</v>
      </c>
      <c r="C217" s="26" t="str">
        <f t="shared" si="7"/>
        <v>S09076 - Windsor Healthcare &amp; Rehab</v>
      </c>
    </row>
    <row r="218" spans="1:3" x14ac:dyDescent="0.25">
      <c r="A218" s="26" t="str">
        <f>_xll.EVPRO("Finance",$C218,"Inv_Type")</f>
        <v>Inv_Equity</v>
      </c>
      <c r="B218" s="26" t="str">
        <f t="shared" si="6"/>
        <v>Windsor Healthcare &amp; Rehab</v>
      </c>
      <c r="C218" s="26" t="str">
        <f t="shared" si="7"/>
        <v>S09076 - Windsor Healthcare &amp; Rehab</v>
      </c>
    </row>
    <row r="219" spans="1:3" x14ac:dyDescent="0.25">
      <c r="A219" s="26" t="str">
        <f>_xll.EVPRO("Finance",$C219,"Inv_Type")</f>
        <v>Inv_Equity</v>
      </c>
      <c r="B219" s="26" t="str">
        <f t="shared" si="6"/>
        <v>Windsor Healthcare &amp; Rehab</v>
      </c>
      <c r="C219" s="26" t="str">
        <f t="shared" si="7"/>
        <v>S09076 - Windsor Healthcare &amp; Rehab</v>
      </c>
    </row>
    <row r="220" spans="1:3" x14ac:dyDescent="0.25">
      <c r="A220" s="26" t="str">
        <f>_xll.EVPRO("Finance",$C220,"Inv_Type")</f>
        <v>Inv_Equity</v>
      </c>
      <c r="B220" s="26" t="str">
        <f t="shared" si="6"/>
        <v>Windsor Healthcare &amp; Rehab</v>
      </c>
      <c r="C220" s="26" t="str">
        <f t="shared" si="7"/>
        <v>S09076 - Windsor Healthcare &amp; Rehab</v>
      </c>
    </row>
    <row r="221" spans="1:3" x14ac:dyDescent="0.25">
      <c r="A221" s="26" t="str">
        <f>_xll.EVPRO("Finance",$C221,"Inv_Type")</f>
        <v>Inv_Equity</v>
      </c>
      <c r="B221" s="26" t="str">
        <f t="shared" si="6"/>
        <v>Windsor Healthcare &amp; Rehab</v>
      </c>
      <c r="C221" s="26" t="str">
        <f t="shared" si="7"/>
        <v>S09076 - Windsor Healthcare &amp; Rehab</v>
      </c>
    </row>
    <row r="222" spans="1:3" x14ac:dyDescent="0.25">
      <c r="A222" s="26" t="str">
        <f>_xll.EVPRO("Finance",$C222,"Inv_Type")</f>
        <v>Inv_Equity</v>
      </c>
      <c r="B222" s="26" t="str">
        <f t="shared" si="6"/>
        <v>Windsor Healthcare &amp; Rehab</v>
      </c>
      <c r="C222" s="26" t="str">
        <f t="shared" si="7"/>
        <v>S09076 - Windsor Healthcare &amp; Rehab</v>
      </c>
    </row>
    <row r="223" spans="1:3" x14ac:dyDescent="0.25">
      <c r="A223" s="26" t="str">
        <f>_xll.EVPRO("Finance",$C223,"Inv_Type")</f>
        <v>Inv_Equity</v>
      </c>
      <c r="B223" s="26" t="str">
        <f t="shared" si="6"/>
        <v>Windsor Healthcare &amp; Rehab</v>
      </c>
      <c r="C223" s="26" t="str">
        <f t="shared" si="7"/>
        <v>S09076 - Windsor Healthcare &amp; Rehab</v>
      </c>
    </row>
    <row r="224" spans="1:3" x14ac:dyDescent="0.25">
      <c r="A224" s="26" t="str">
        <f>_xll.EVPRO("Finance",$C224,"Inv_Type")</f>
        <v>Inv_Equity</v>
      </c>
      <c r="B224" s="26" t="str">
        <f t="shared" si="6"/>
        <v>Windsor Healthcare &amp; Rehab</v>
      </c>
      <c r="C224" s="26" t="str">
        <f t="shared" si="7"/>
        <v>S09076 - Windsor Healthcare &amp; Rehab</v>
      </c>
    </row>
    <row r="225" spans="1:3" x14ac:dyDescent="0.25">
      <c r="A225" s="26" t="str">
        <f>_xll.EVPRO("Finance",$C225,"Inv_Type")</f>
        <v>Inv_Equity</v>
      </c>
      <c r="B225" s="26" t="str">
        <f t="shared" si="6"/>
        <v>Windsor Healthcare &amp; Rehab</v>
      </c>
      <c r="C225" s="26" t="str">
        <f t="shared" si="7"/>
        <v>S09076 - Windsor Healthcare &amp; Rehab</v>
      </c>
    </row>
    <row r="226" spans="1:3" x14ac:dyDescent="0.25">
      <c r="A226" s="26" t="str">
        <f>_xll.EVPRO("Finance",$C226,"Inv_Type")</f>
        <v>Inv_Equity</v>
      </c>
      <c r="B226" s="26" t="str">
        <f t="shared" si="6"/>
        <v>Windsor Healthcare &amp; Rehab</v>
      </c>
      <c r="C226" s="26" t="str">
        <f t="shared" si="7"/>
        <v>S09076 - Windsor Healthcare &amp; Rehab</v>
      </c>
    </row>
    <row r="227" spans="1:3" x14ac:dyDescent="0.25">
      <c r="A227" s="26" t="str">
        <f>_xll.EVPRO("Finance",$C227,"Inv_Type")</f>
        <v>Inv_Equity</v>
      </c>
      <c r="B227" s="26" t="str">
        <f t="shared" si="6"/>
        <v>Windsor Healthcare &amp; Rehab</v>
      </c>
      <c r="C227" s="26" t="str">
        <f t="shared" si="7"/>
        <v>S09076 - Windsor Healthcare &amp; Rehab</v>
      </c>
    </row>
    <row r="228" spans="1:3" x14ac:dyDescent="0.25">
      <c r="A228" s="26" t="str">
        <f>_xll.EVPRO("Finance",$C228,"Inv_Type")</f>
        <v>Inv_Equity</v>
      </c>
      <c r="B228" s="26" t="str">
        <f t="shared" si="6"/>
        <v>Windsor Healthcare &amp; Rehab</v>
      </c>
      <c r="C228" s="26" t="str">
        <f t="shared" si="7"/>
        <v>S09076 - Windsor Healthcare &amp; Rehab</v>
      </c>
    </row>
    <row r="229" spans="1:3" x14ac:dyDescent="0.25">
      <c r="A229" s="26" t="str">
        <f>_xll.EVPRO("Finance",$C229,"Inv_Type")</f>
        <v>Inv_Equity</v>
      </c>
      <c r="B229" s="26" t="str">
        <f t="shared" si="6"/>
        <v>Windsor Healthcare &amp; Rehab</v>
      </c>
      <c r="C229" s="26" t="str">
        <f t="shared" si="7"/>
        <v>S09076 - Windsor Healthcare &amp; Rehab</v>
      </c>
    </row>
    <row r="230" spans="1:3" x14ac:dyDescent="0.25">
      <c r="A230" s="26" t="str">
        <f>_xll.EVPRO("Finance",$C230,"Inv_Type")</f>
        <v>Inv_Equity</v>
      </c>
      <c r="B230" s="26" t="str">
        <f t="shared" si="6"/>
        <v>Windsor Healthcare &amp; Rehab</v>
      </c>
      <c r="C230" s="26" t="str">
        <f t="shared" si="7"/>
        <v>S09076 - Windsor Healthcare &amp; Rehab</v>
      </c>
    </row>
    <row r="231" spans="1:3" x14ac:dyDescent="0.25">
      <c r="A231" s="26" t="str">
        <f>_xll.EVPRO("Finance",$C231,"Inv_Type")</f>
        <v>Inv_Equity</v>
      </c>
      <c r="B231" s="26" t="str">
        <f t="shared" si="6"/>
        <v>Windsor Healthcare &amp; Rehab</v>
      </c>
      <c r="C231" s="26" t="str">
        <f t="shared" si="7"/>
        <v>S09076 - Windsor Healthcare &amp; Rehab</v>
      </c>
    </row>
    <row r="232" spans="1:3" x14ac:dyDescent="0.25">
      <c r="A232" s="26" t="str">
        <f>_xll.EVPRO("Finance",$C232,"Inv_Type")</f>
        <v>Inv_Equity</v>
      </c>
      <c r="B232" s="26" t="str">
        <f t="shared" si="6"/>
        <v>Windsor Healthcare &amp; Rehab</v>
      </c>
      <c r="C232" s="26" t="str">
        <f t="shared" si="7"/>
        <v>S09076 - Windsor Healthcare &amp; Rehab</v>
      </c>
    </row>
    <row r="233" spans="1:3" x14ac:dyDescent="0.25">
      <c r="A233" s="26" t="str">
        <f>_xll.EVPRO("Finance",$C233,"Inv_Type")</f>
        <v>Inv_Equity</v>
      </c>
      <c r="B233" s="26" t="str">
        <f t="shared" si="6"/>
        <v>Windsor Healthcare &amp; Rehab</v>
      </c>
      <c r="C233" s="26" t="str">
        <f t="shared" si="7"/>
        <v>S09076 - Windsor Healthcare &amp; Rehab</v>
      </c>
    </row>
    <row r="234" spans="1:3" x14ac:dyDescent="0.25">
      <c r="A234" s="26" t="str">
        <f>_xll.EVPRO("Finance",$C234,"Inv_Type")</f>
        <v>Inv_Equity</v>
      </c>
      <c r="B234" s="26" t="str">
        <f t="shared" si="6"/>
        <v>Windsor Healthcare &amp; Rehab</v>
      </c>
      <c r="C234" s="26" t="str">
        <f t="shared" si="7"/>
        <v>S09076 - Windsor Healthcare &amp; Rehab</v>
      </c>
    </row>
    <row r="235" spans="1:3" x14ac:dyDescent="0.25">
      <c r="A235" s="26" t="str">
        <f>_xll.EVPRO("Finance",$C235,"Inv_Type")</f>
        <v>Inv_Equity</v>
      </c>
      <c r="B235" s="26" t="str">
        <f t="shared" si="6"/>
        <v>Windsor Healthcare &amp; Rehab</v>
      </c>
      <c r="C235" s="26" t="str">
        <f t="shared" si="7"/>
        <v>S09076 - Windsor Healthcare &amp; Rehab</v>
      </c>
    </row>
    <row r="236" spans="1:3" x14ac:dyDescent="0.25">
      <c r="A236" s="26" t="str">
        <f>_xll.EVPRO("Finance",$C236,"Inv_Type")</f>
        <v>Inv_Equity</v>
      </c>
      <c r="B236" s="26" t="str">
        <f t="shared" si="6"/>
        <v>Windsor Healthcare &amp; Rehab</v>
      </c>
      <c r="C236" s="26" t="str">
        <f t="shared" si="7"/>
        <v>S09076 - Windsor Healthcare &amp; Rehab</v>
      </c>
    </row>
    <row r="237" spans="1:3" x14ac:dyDescent="0.25">
      <c r="A237" s="26" t="str">
        <f>_xll.EVPRO("Finance",$C237,"Inv_Type")</f>
        <v>Inv_Equity</v>
      </c>
      <c r="B237" s="26" t="str">
        <f t="shared" si="6"/>
        <v>Windsor Healthcare &amp; Rehab</v>
      </c>
      <c r="C237" s="26" t="str">
        <f t="shared" si="7"/>
        <v>S09076 - Windsor Healthcare &amp; Rehab</v>
      </c>
    </row>
    <row r="238" spans="1:3" x14ac:dyDescent="0.25">
      <c r="A238" s="26" t="str">
        <f>_xll.EVPRO("Finance",$C238,"Inv_Type")</f>
        <v>Inv_Equity</v>
      </c>
      <c r="B238" s="26" t="str">
        <f t="shared" si="6"/>
        <v>Windsor Healthcare &amp; Rehab</v>
      </c>
      <c r="C238" s="26" t="str">
        <f t="shared" si="7"/>
        <v>S09076 - Windsor Healthcare &amp; Rehab</v>
      </c>
    </row>
    <row r="239" spans="1:3" x14ac:dyDescent="0.25">
      <c r="A239" s="26" t="str">
        <f>_xll.EVPRO("Finance",$C239,"Inv_Type")</f>
        <v>Inv_Equity</v>
      </c>
      <c r="B239" s="26" t="str">
        <f t="shared" si="6"/>
        <v>Windsor Healthcare &amp; Rehab</v>
      </c>
      <c r="C239" s="26" t="str">
        <f t="shared" si="7"/>
        <v>S09076 - Windsor Healthcare &amp; Rehab</v>
      </c>
    </row>
    <row r="240" spans="1:3" x14ac:dyDescent="0.25">
      <c r="A240" s="26" t="str">
        <f>_xll.EVPRO("Finance",$C240,"Inv_Type")</f>
        <v>Inv_Equity</v>
      </c>
      <c r="B240" s="26" t="str">
        <f t="shared" si="6"/>
        <v>Windsor Healthcare &amp; Rehab</v>
      </c>
      <c r="C240" s="26" t="str">
        <f t="shared" si="7"/>
        <v>S09076 - Windsor Healthcare &amp; Rehab</v>
      </c>
    </row>
    <row r="241" spans="1:3" x14ac:dyDescent="0.25">
      <c r="A241" s="26" t="str">
        <f>_xll.EVPRO("Finance",$C241,"Inv_Type")</f>
        <v>Inv_Equity</v>
      </c>
      <c r="B241" s="26" t="str">
        <f t="shared" si="6"/>
        <v>Windsor Healthcare &amp; Rehab</v>
      </c>
      <c r="C241" s="26" t="str">
        <f t="shared" si="7"/>
        <v>S09076 - Windsor Healthcare &amp; Rehab</v>
      </c>
    </row>
    <row r="242" spans="1:3" x14ac:dyDescent="0.25">
      <c r="A242" s="26" t="str">
        <f>_xll.EVPRO("Finance",$C242,"Inv_Type")</f>
        <v>Inv_Equity</v>
      </c>
      <c r="B242" s="26" t="str">
        <f t="shared" si="6"/>
        <v>Windsor Healthcare &amp; Rehab</v>
      </c>
      <c r="C242" s="26" t="str">
        <f t="shared" si="7"/>
        <v>S09076 - Windsor Healthcare &amp; Rehab</v>
      </c>
    </row>
    <row r="243" spans="1:3" x14ac:dyDescent="0.25">
      <c r="A243" s="26" t="str">
        <f>_xll.EVPRO("Finance",$C243,"Inv_Type")</f>
        <v>Inv_Equity</v>
      </c>
      <c r="B243" s="26" t="str">
        <f t="shared" si="6"/>
        <v>Windsor Healthcare &amp; Rehab</v>
      </c>
      <c r="C243" s="26" t="str">
        <f t="shared" si="7"/>
        <v>S09076 - Windsor Healthcare &amp; Rehab</v>
      </c>
    </row>
    <row r="244" spans="1:3" x14ac:dyDescent="0.25">
      <c r="A244" s="26" t="str">
        <f>_xll.EVPRO("Finance",$C244,"Inv_Type")</f>
        <v>Inv_Equity</v>
      </c>
      <c r="B244" s="26" t="str">
        <f t="shared" si="6"/>
        <v>Windsor Healthcare &amp; Rehab</v>
      </c>
      <c r="C244" s="26" t="str">
        <f t="shared" si="7"/>
        <v>S09076 - Windsor Healthcare &amp; Rehab</v>
      </c>
    </row>
    <row r="245" spans="1:3" x14ac:dyDescent="0.25">
      <c r="A245" s="26" t="str">
        <f>_xll.EVPRO("Finance",$C245,"Inv_Type")</f>
        <v>Inv_Equity</v>
      </c>
      <c r="B245" s="26" t="str">
        <f t="shared" si="6"/>
        <v>Windsor Healthcare &amp; Rehab</v>
      </c>
      <c r="C245" s="26" t="str">
        <f t="shared" si="7"/>
        <v>S09076 - Windsor Healthcare &amp; Rehab</v>
      </c>
    </row>
    <row r="246" spans="1:3" x14ac:dyDescent="0.25">
      <c r="A246" s="26" t="str">
        <f>_xll.EVPRO("Finance",$C246,"Inv_Type")</f>
        <v>Inv_Equity</v>
      </c>
      <c r="B246" s="26" t="str">
        <f t="shared" si="6"/>
        <v>Windsor Healthcare &amp; Rehab</v>
      </c>
      <c r="C246" s="26" t="str">
        <f t="shared" si="7"/>
        <v>S09076 - Windsor Healthcare &amp; Rehab</v>
      </c>
    </row>
    <row r="247" spans="1:3" x14ac:dyDescent="0.25">
      <c r="A247" s="26" t="str">
        <f>_xll.EVPRO("Finance",$C247,"Inv_Type")</f>
        <v>Inv_Equity</v>
      </c>
      <c r="B247" s="26" t="str">
        <f t="shared" si="6"/>
        <v>Windsor Healthcare &amp; Rehab</v>
      </c>
      <c r="C247" s="26" t="str">
        <f t="shared" si="7"/>
        <v>S09076 - Windsor Healthcare &amp; Rehab</v>
      </c>
    </row>
    <row r="248" spans="1:3" x14ac:dyDescent="0.25">
      <c r="A248" s="26" t="str">
        <f>_xll.EVPRO("Finance",$C248,"Inv_Type")</f>
        <v>Inv_Equity</v>
      </c>
      <c r="B248" s="26" t="str">
        <f t="shared" si="6"/>
        <v>Windsor Healthcare &amp; Rehab</v>
      </c>
      <c r="C248" s="26" t="str">
        <f t="shared" si="7"/>
        <v>S09076 - Windsor Healthcare &amp; Rehab</v>
      </c>
    </row>
    <row r="249" spans="1:3" x14ac:dyDescent="0.25">
      <c r="A249" s="26" t="str">
        <f>_xll.EVPRO("Finance",$C249,"Inv_Type")</f>
        <v>Inv_Equity</v>
      </c>
      <c r="B249" s="26" t="str">
        <f t="shared" si="6"/>
        <v>Windsor Healthcare &amp; Rehab</v>
      </c>
      <c r="C249" s="26" t="str">
        <f t="shared" si="7"/>
        <v>S09076 - Windsor Healthcare &amp; Rehab</v>
      </c>
    </row>
    <row r="250" spans="1:3" x14ac:dyDescent="0.25">
      <c r="A250" s="26" t="str">
        <f>_xll.EVPRO("Finance",$C250,"Inv_Type")</f>
        <v>Inv_Equity</v>
      </c>
      <c r="B250" s="26" t="str">
        <f t="shared" si="6"/>
        <v>Windsor Healthcare &amp; Rehab</v>
      </c>
      <c r="C250" s="26" t="str">
        <f t="shared" si="7"/>
        <v>S09076 - Windsor Healthcare &amp; Rehab</v>
      </c>
    </row>
    <row r="251" spans="1:3" x14ac:dyDescent="0.25">
      <c r="A251" s="26" t="str">
        <f>_xll.EVPRO("Finance",$C251,"Inv_Type")</f>
        <v>Inv_Equity</v>
      </c>
      <c r="B251" s="26" t="str">
        <f t="shared" si="6"/>
        <v>Windsor Healthcare &amp; Rehab</v>
      </c>
      <c r="C251" s="26" t="str">
        <f t="shared" si="7"/>
        <v>S09076 - Windsor Healthcare &amp; Rehab</v>
      </c>
    </row>
    <row r="252" spans="1:3" x14ac:dyDescent="0.25">
      <c r="A252" s="26" t="str">
        <f>_xll.EVPRO("Finance",$C252,"Inv_Type")</f>
        <v>Inv_Equity</v>
      </c>
      <c r="B252" s="26" t="str">
        <f t="shared" si="6"/>
        <v>Windsor Healthcare &amp; Rehab</v>
      </c>
      <c r="C252" s="26" t="str">
        <f t="shared" si="7"/>
        <v>S09076 - Windsor Healthcare &amp; Rehab</v>
      </c>
    </row>
    <row r="253" spans="1:3" x14ac:dyDescent="0.25">
      <c r="A253" s="26" t="str">
        <f>_xll.EVPRO("Finance",$C253,"Inv_Type")</f>
        <v>Inv_Equity</v>
      </c>
      <c r="B253" s="26" t="str">
        <f t="shared" si="6"/>
        <v>Windsor Healthcare &amp; Rehab</v>
      </c>
      <c r="C253" s="26" t="str">
        <f t="shared" si="7"/>
        <v>S09076 - Windsor Healthcare &amp; Rehab</v>
      </c>
    </row>
    <row r="254" spans="1:3" x14ac:dyDescent="0.25">
      <c r="A254" s="26" t="str">
        <f>_xll.EVPRO("Finance",$C254,"Inv_Type")</f>
        <v>Inv_Equity</v>
      </c>
      <c r="B254" s="26" t="str">
        <f t="shared" si="6"/>
        <v>Windsor Healthcare &amp; Rehab</v>
      </c>
      <c r="C254" s="26" t="str">
        <f t="shared" si="7"/>
        <v>S09076 - Windsor Healthcare &amp; Rehab</v>
      </c>
    </row>
    <row r="255" spans="1:3" x14ac:dyDescent="0.25">
      <c r="A255" s="26" t="str">
        <f>_xll.EVPRO("Finance",$C255,"Inv_Type")</f>
        <v>Inv_Equity</v>
      </c>
      <c r="B255" s="26" t="str">
        <f t="shared" si="6"/>
        <v>Windsor Healthcare &amp; Rehab</v>
      </c>
      <c r="C255" s="26" t="str">
        <f t="shared" si="7"/>
        <v>S09076 - Windsor Healthcare &amp; Rehab</v>
      </c>
    </row>
    <row r="256" spans="1:3" x14ac:dyDescent="0.25">
      <c r="A256" s="26" t="str">
        <f>_xll.EVPRO("Finance",$C256,"Inv_Type")</f>
        <v>Inv_Equity</v>
      </c>
      <c r="B256" s="26" t="str">
        <f t="shared" si="6"/>
        <v>Windsor Healthcare &amp; Rehab</v>
      </c>
      <c r="C256" s="26" t="str">
        <f t="shared" si="7"/>
        <v>S09076 - Windsor Healthcare &amp; Rehab</v>
      </c>
    </row>
    <row r="257" spans="1:3" x14ac:dyDescent="0.25">
      <c r="A257" s="26" t="str">
        <f>_xll.EVPRO("Finance",$C257,"Inv_Type")</f>
        <v>Inv_Equity</v>
      </c>
      <c r="B257" s="26" t="str">
        <f t="shared" si="6"/>
        <v>Windsor Healthcare &amp; Rehab</v>
      </c>
      <c r="C257" s="26" t="str">
        <f t="shared" si="7"/>
        <v>S09076 - Windsor Healthcare &amp; Rehab</v>
      </c>
    </row>
    <row r="258" spans="1:3" x14ac:dyDescent="0.25">
      <c r="A258" s="26" t="str">
        <f>_xll.EVPRO("Finance",$C258,"Inv_Type")</f>
        <v>Inv_Equity</v>
      </c>
      <c r="B258" s="26" t="str">
        <f t="shared" si="6"/>
        <v>Windsor Healthcare &amp; Rehab</v>
      </c>
      <c r="C258" s="26" t="str">
        <f t="shared" si="7"/>
        <v>S09076 - Windsor Healthcare &amp; Rehab</v>
      </c>
    </row>
    <row r="259" spans="1:3" x14ac:dyDescent="0.25">
      <c r="A259" s="26" t="str">
        <f>_xll.EVPRO("Finance",$C259,"Inv_Type")</f>
        <v>Inv_Equity</v>
      </c>
      <c r="B259" s="26" t="str">
        <f t="shared" si="6"/>
        <v>Windsor Healthcare &amp; Rehab</v>
      </c>
      <c r="C259" s="26" t="str">
        <f t="shared" si="7"/>
        <v>S09076 - Windsor Healthcare &amp; Rehab</v>
      </c>
    </row>
    <row r="260" spans="1:3" x14ac:dyDescent="0.25">
      <c r="A260" s="26" t="str">
        <f>_xll.EVPRO("Finance",$C260,"Inv_Type")</f>
        <v>Inv_Equity</v>
      </c>
      <c r="B260" s="26" t="str">
        <f t="shared" si="6"/>
        <v>Windsor Healthcare &amp; Rehab</v>
      </c>
      <c r="C260" s="26" t="str">
        <f t="shared" si="7"/>
        <v>S09076 - Windsor Healthcare &amp; Rehab</v>
      </c>
    </row>
    <row r="261" spans="1:3" x14ac:dyDescent="0.25">
      <c r="A261" s="26" t="str">
        <f>_xll.EVPRO("Finance",$C261,"Inv_Type")</f>
        <v>Inv_Equity</v>
      </c>
      <c r="B261" s="26" t="str">
        <f t="shared" si="6"/>
        <v>Windsor Healthcare &amp; Rehab</v>
      </c>
      <c r="C261" s="26" t="str">
        <f t="shared" si="7"/>
        <v>S09076 - Windsor Healthcare &amp; Rehab</v>
      </c>
    </row>
    <row r="262" spans="1:3" x14ac:dyDescent="0.25">
      <c r="A262" s="26" t="str">
        <f>_xll.EVPRO("Finance",$C262,"Inv_Type")</f>
        <v>Inv_Equity</v>
      </c>
      <c r="B262" s="26" t="str">
        <f t="shared" si="6"/>
        <v>Windsor Healthcare &amp; Rehab</v>
      </c>
      <c r="C262" s="26" t="str">
        <f t="shared" si="7"/>
        <v>S09076 - Windsor Healthcare &amp; Rehab</v>
      </c>
    </row>
    <row r="263" spans="1:3" x14ac:dyDescent="0.25">
      <c r="A263" s="26" t="str">
        <f>_xll.EVPRO("Finance",$C263,"Inv_Type")</f>
        <v>Inv_Equity</v>
      </c>
      <c r="B263" s="26" t="str">
        <f t="shared" ref="B263:B326" si="8">MID($C263,FIND("- ",$C263)+2,10000)</f>
        <v>Windsor Healthcare &amp; Rehab</v>
      </c>
      <c r="C263" s="26" t="str">
        <f t="shared" si="7"/>
        <v>S09076 - Windsor Healthcare &amp; Rehab</v>
      </c>
    </row>
    <row r="264" spans="1:3" x14ac:dyDescent="0.25">
      <c r="A264" s="26" t="str">
        <f>_xll.EVPRO("Finance",$C264,"Inv_Type")</f>
        <v>Inv_Equity</v>
      </c>
      <c r="B264" s="26" t="str">
        <f t="shared" si="8"/>
        <v>Windsor Healthcare &amp; Rehab</v>
      </c>
      <c r="C264" s="26" t="str">
        <f t="shared" ref="C264:C327" si="9">IF($D264&lt;&gt;"",$D264,C263)</f>
        <v>S09076 - Windsor Healthcare &amp; Rehab</v>
      </c>
    </row>
    <row r="265" spans="1:3" x14ac:dyDescent="0.25">
      <c r="A265" s="26" t="str">
        <f>_xll.EVPRO("Finance",$C265,"Inv_Type")</f>
        <v>Inv_Equity</v>
      </c>
      <c r="B265" s="26" t="str">
        <f t="shared" si="8"/>
        <v>Windsor Healthcare &amp; Rehab</v>
      </c>
      <c r="C265" s="26" t="str">
        <f t="shared" si="9"/>
        <v>S09076 - Windsor Healthcare &amp; Rehab</v>
      </c>
    </row>
    <row r="266" spans="1:3" x14ac:dyDescent="0.25">
      <c r="A266" s="26" t="str">
        <f>_xll.EVPRO("Finance",$C266,"Inv_Type")</f>
        <v>Inv_Equity</v>
      </c>
      <c r="B266" s="26" t="str">
        <f t="shared" si="8"/>
        <v>Windsor Healthcare &amp; Rehab</v>
      </c>
      <c r="C266" s="26" t="str">
        <f t="shared" si="9"/>
        <v>S09076 - Windsor Healthcare &amp; Rehab</v>
      </c>
    </row>
    <row r="267" spans="1:3" x14ac:dyDescent="0.25">
      <c r="A267" s="26" t="str">
        <f>_xll.EVPRO("Finance",$C267,"Inv_Type")</f>
        <v>Inv_Equity</v>
      </c>
      <c r="B267" s="26" t="str">
        <f t="shared" si="8"/>
        <v>Windsor Healthcare &amp; Rehab</v>
      </c>
      <c r="C267" s="26" t="str">
        <f t="shared" si="9"/>
        <v>S09076 - Windsor Healthcare &amp; Rehab</v>
      </c>
    </row>
    <row r="268" spans="1:3" x14ac:dyDescent="0.25">
      <c r="A268" s="26" t="str">
        <f>_xll.EVPRO("Finance",$C268,"Inv_Type")</f>
        <v>Inv_Equity</v>
      </c>
      <c r="B268" s="26" t="str">
        <f t="shared" si="8"/>
        <v>Windsor Healthcare &amp; Rehab</v>
      </c>
      <c r="C268" s="26" t="str">
        <f t="shared" si="9"/>
        <v>S09076 - Windsor Healthcare &amp; Rehab</v>
      </c>
    </row>
    <row r="269" spans="1:3" x14ac:dyDescent="0.25">
      <c r="A269" s="26" t="str">
        <f>_xll.EVPRO("Finance",$C269,"Inv_Type")</f>
        <v>Inv_Equity</v>
      </c>
      <c r="B269" s="26" t="str">
        <f t="shared" si="8"/>
        <v>Windsor Healthcare &amp; Rehab</v>
      </c>
      <c r="C269" s="26" t="str">
        <f t="shared" si="9"/>
        <v>S09076 - Windsor Healthcare &amp; Rehab</v>
      </c>
    </row>
    <row r="270" spans="1:3" x14ac:dyDescent="0.25">
      <c r="A270" s="26" t="str">
        <f>_xll.EVPRO("Finance",$C270,"Inv_Type")</f>
        <v>Inv_Equity</v>
      </c>
      <c r="B270" s="26" t="str">
        <f t="shared" si="8"/>
        <v>Windsor Healthcare &amp; Rehab</v>
      </c>
      <c r="C270" s="26" t="str">
        <f t="shared" si="9"/>
        <v>S09076 - Windsor Healthcare &amp; Rehab</v>
      </c>
    </row>
    <row r="271" spans="1:3" x14ac:dyDescent="0.25">
      <c r="A271" s="26" t="str">
        <f>_xll.EVPRO("Finance",$C271,"Inv_Type")</f>
        <v>Inv_Equity</v>
      </c>
      <c r="B271" s="26" t="str">
        <f t="shared" si="8"/>
        <v>Windsor Healthcare &amp; Rehab</v>
      </c>
      <c r="C271" s="26" t="str">
        <f t="shared" si="9"/>
        <v>S09076 - Windsor Healthcare &amp; Rehab</v>
      </c>
    </row>
    <row r="272" spans="1:3" x14ac:dyDescent="0.25">
      <c r="A272" s="26" t="str">
        <f>_xll.EVPRO("Finance",$C272,"Inv_Type")</f>
        <v>Inv_Equity</v>
      </c>
      <c r="B272" s="26" t="str">
        <f t="shared" si="8"/>
        <v>Windsor Healthcare &amp; Rehab</v>
      </c>
      <c r="C272" s="26" t="str">
        <f t="shared" si="9"/>
        <v>S09076 - Windsor Healthcare &amp; Rehab</v>
      </c>
    </row>
    <row r="273" spans="1:3" x14ac:dyDescent="0.25">
      <c r="A273" s="26" t="str">
        <f>_xll.EVPRO("Finance",$C273,"Inv_Type")</f>
        <v>Inv_Equity</v>
      </c>
      <c r="B273" s="26" t="str">
        <f t="shared" si="8"/>
        <v>Windsor Healthcare &amp; Rehab</v>
      </c>
      <c r="C273" s="26" t="str">
        <f t="shared" si="9"/>
        <v>S09076 - Windsor Healthcare &amp; Rehab</v>
      </c>
    </row>
    <row r="274" spans="1:3" x14ac:dyDescent="0.25">
      <c r="A274" s="26" t="str">
        <f>_xll.EVPRO("Finance",$C274,"Inv_Type")</f>
        <v>Inv_Equity</v>
      </c>
      <c r="B274" s="26" t="str">
        <f t="shared" si="8"/>
        <v>Windsor Healthcare &amp; Rehab</v>
      </c>
      <c r="C274" s="26" t="str">
        <f t="shared" si="9"/>
        <v>S09076 - Windsor Healthcare &amp; Rehab</v>
      </c>
    </row>
    <row r="275" spans="1:3" x14ac:dyDescent="0.25">
      <c r="A275" s="26" t="str">
        <f>_xll.EVPRO("Finance",$C275,"Inv_Type")</f>
        <v>Inv_Equity</v>
      </c>
      <c r="B275" s="26" t="str">
        <f t="shared" si="8"/>
        <v>Windsor Healthcare &amp; Rehab</v>
      </c>
      <c r="C275" s="26" t="str">
        <f t="shared" si="9"/>
        <v>S09076 - Windsor Healthcare &amp; Rehab</v>
      </c>
    </row>
    <row r="276" spans="1:3" x14ac:dyDescent="0.25">
      <c r="A276" s="26" t="str">
        <f>_xll.EVPRO("Finance",$C276,"Inv_Type")</f>
        <v>Inv_Equity</v>
      </c>
      <c r="B276" s="26" t="str">
        <f t="shared" si="8"/>
        <v>Windsor Healthcare &amp; Rehab</v>
      </c>
      <c r="C276" s="26" t="str">
        <f t="shared" si="9"/>
        <v>S09076 - Windsor Healthcare &amp; Rehab</v>
      </c>
    </row>
    <row r="277" spans="1:3" x14ac:dyDescent="0.25">
      <c r="A277" s="26" t="str">
        <f>_xll.EVPRO("Finance",$C277,"Inv_Type")</f>
        <v>Inv_Equity</v>
      </c>
      <c r="B277" s="26" t="str">
        <f t="shared" si="8"/>
        <v>Windsor Healthcare &amp; Rehab</v>
      </c>
      <c r="C277" s="26" t="str">
        <f t="shared" si="9"/>
        <v>S09076 - Windsor Healthcare &amp; Rehab</v>
      </c>
    </row>
    <row r="278" spans="1:3" x14ac:dyDescent="0.25">
      <c r="A278" s="26" t="str">
        <f>_xll.EVPRO("Finance",$C278,"Inv_Type")</f>
        <v>Inv_Equity</v>
      </c>
      <c r="B278" s="26" t="str">
        <f t="shared" si="8"/>
        <v>Windsor Healthcare &amp; Rehab</v>
      </c>
      <c r="C278" s="26" t="str">
        <f t="shared" si="9"/>
        <v>S09076 - Windsor Healthcare &amp; Rehab</v>
      </c>
    </row>
    <row r="279" spans="1:3" x14ac:dyDescent="0.25">
      <c r="A279" s="26" t="str">
        <f>_xll.EVPRO("Finance",$C279,"Inv_Type")</f>
        <v>Inv_Equity</v>
      </c>
      <c r="B279" s="26" t="str">
        <f t="shared" si="8"/>
        <v>Windsor Healthcare &amp; Rehab</v>
      </c>
      <c r="C279" s="26" t="str">
        <f t="shared" si="9"/>
        <v>S09076 - Windsor Healthcare &amp; Rehab</v>
      </c>
    </row>
    <row r="280" spans="1:3" x14ac:dyDescent="0.25">
      <c r="A280" s="26" t="str">
        <f>_xll.EVPRO("Finance",$C280,"Inv_Type")</f>
        <v>Inv_Equity</v>
      </c>
      <c r="B280" s="26" t="str">
        <f t="shared" si="8"/>
        <v>Windsor Healthcare &amp; Rehab</v>
      </c>
      <c r="C280" s="26" t="str">
        <f t="shared" si="9"/>
        <v>S09076 - Windsor Healthcare &amp; Rehab</v>
      </c>
    </row>
    <row r="281" spans="1:3" x14ac:dyDescent="0.25">
      <c r="A281" s="26" t="str">
        <f>_xll.EVPRO("Finance",$C281,"Inv_Type")</f>
        <v>Inv_Equity</v>
      </c>
      <c r="B281" s="26" t="str">
        <f t="shared" si="8"/>
        <v>Windsor Healthcare &amp; Rehab</v>
      </c>
      <c r="C281" s="26" t="str">
        <f t="shared" si="9"/>
        <v>S09076 - Windsor Healthcare &amp; Rehab</v>
      </c>
    </row>
    <row r="282" spans="1:3" x14ac:dyDescent="0.25">
      <c r="A282" s="26" t="str">
        <f>_xll.EVPRO("Finance",$C282,"Inv_Type")</f>
        <v>Inv_Equity</v>
      </c>
      <c r="B282" s="26" t="str">
        <f t="shared" si="8"/>
        <v>Windsor Healthcare &amp; Rehab</v>
      </c>
      <c r="C282" s="26" t="str">
        <f t="shared" si="9"/>
        <v>S09076 - Windsor Healthcare &amp; Rehab</v>
      </c>
    </row>
    <row r="283" spans="1:3" x14ac:dyDescent="0.25">
      <c r="A283" s="26" t="str">
        <f>_xll.EVPRO("Finance",$C283,"Inv_Type")</f>
        <v>Inv_Equity</v>
      </c>
      <c r="B283" s="26" t="str">
        <f t="shared" si="8"/>
        <v>Windsor Healthcare &amp; Rehab</v>
      </c>
      <c r="C283" s="26" t="str">
        <f t="shared" si="9"/>
        <v>S09076 - Windsor Healthcare &amp; Rehab</v>
      </c>
    </row>
    <row r="284" spans="1:3" x14ac:dyDescent="0.25">
      <c r="A284" s="26" t="str">
        <f>_xll.EVPRO("Finance",$C284,"Inv_Type")</f>
        <v>Inv_Equity</v>
      </c>
      <c r="B284" s="26" t="str">
        <f t="shared" si="8"/>
        <v>Windsor Healthcare &amp; Rehab</v>
      </c>
      <c r="C284" s="26" t="str">
        <f t="shared" si="9"/>
        <v>S09076 - Windsor Healthcare &amp; Rehab</v>
      </c>
    </row>
    <row r="285" spans="1:3" x14ac:dyDescent="0.25">
      <c r="A285" s="26" t="str">
        <f>_xll.EVPRO("Finance",$C285,"Inv_Type")</f>
        <v>Inv_Equity</v>
      </c>
      <c r="B285" s="26" t="str">
        <f t="shared" si="8"/>
        <v>Windsor Healthcare &amp; Rehab</v>
      </c>
      <c r="C285" s="26" t="str">
        <f t="shared" si="9"/>
        <v>S09076 - Windsor Healthcare &amp; Rehab</v>
      </c>
    </row>
    <row r="286" spans="1:3" x14ac:dyDescent="0.25">
      <c r="A286" s="26" t="str">
        <f>_xll.EVPRO("Finance",$C286,"Inv_Type")</f>
        <v>Inv_Equity</v>
      </c>
      <c r="B286" s="26" t="str">
        <f t="shared" si="8"/>
        <v>Windsor Healthcare &amp; Rehab</v>
      </c>
      <c r="C286" s="26" t="str">
        <f t="shared" si="9"/>
        <v>S09076 - Windsor Healthcare &amp; Rehab</v>
      </c>
    </row>
    <row r="287" spans="1:3" x14ac:dyDescent="0.25">
      <c r="A287" s="26" t="str">
        <f>_xll.EVPRO("Finance",$C287,"Inv_Type")</f>
        <v>Inv_Equity</v>
      </c>
      <c r="B287" s="26" t="str">
        <f t="shared" si="8"/>
        <v>Windsor Healthcare &amp; Rehab</v>
      </c>
      <c r="C287" s="26" t="str">
        <f t="shared" si="9"/>
        <v>S09076 - Windsor Healthcare &amp; Rehab</v>
      </c>
    </row>
    <row r="288" spans="1:3" x14ac:dyDescent="0.25">
      <c r="A288" s="26" t="str">
        <f>_xll.EVPRO("Finance",$C288,"Inv_Type")</f>
        <v>Inv_Equity</v>
      </c>
      <c r="B288" s="26" t="str">
        <f t="shared" si="8"/>
        <v>Windsor Healthcare &amp; Rehab</v>
      </c>
      <c r="C288" s="26" t="str">
        <f t="shared" si="9"/>
        <v>S09076 - Windsor Healthcare &amp; Rehab</v>
      </c>
    </row>
    <row r="289" spans="1:3" x14ac:dyDescent="0.25">
      <c r="A289" s="26" t="str">
        <f>_xll.EVPRO("Finance",$C289,"Inv_Type")</f>
        <v>Inv_Equity</v>
      </c>
      <c r="B289" s="26" t="str">
        <f t="shared" si="8"/>
        <v>Windsor Healthcare &amp; Rehab</v>
      </c>
      <c r="C289" s="26" t="str">
        <f t="shared" si="9"/>
        <v>S09076 - Windsor Healthcare &amp; Rehab</v>
      </c>
    </row>
    <row r="290" spans="1:3" x14ac:dyDescent="0.25">
      <c r="A290" s="26" t="str">
        <f>_xll.EVPRO("Finance",$C290,"Inv_Type")</f>
        <v>Inv_Equity</v>
      </c>
      <c r="B290" s="26" t="str">
        <f t="shared" si="8"/>
        <v>Windsor Healthcare &amp; Rehab</v>
      </c>
      <c r="C290" s="26" t="str">
        <f t="shared" si="9"/>
        <v>S09076 - Windsor Healthcare &amp; Rehab</v>
      </c>
    </row>
    <row r="291" spans="1:3" x14ac:dyDescent="0.25">
      <c r="A291" s="26" t="str">
        <f>_xll.EVPRO("Finance",$C291,"Inv_Type")</f>
        <v>Inv_Equity</v>
      </c>
      <c r="B291" s="26" t="str">
        <f t="shared" si="8"/>
        <v>Windsor Healthcare &amp; Rehab</v>
      </c>
      <c r="C291" s="26" t="str">
        <f t="shared" si="9"/>
        <v>S09076 - Windsor Healthcare &amp; Rehab</v>
      </c>
    </row>
    <row r="292" spans="1:3" x14ac:dyDescent="0.25">
      <c r="A292" s="26" t="str">
        <f>_xll.EVPRO("Finance",$C292,"Inv_Type")</f>
        <v>Inv_Equity</v>
      </c>
      <c r="B292" s="26" t="str">
        <f t="shared" si="8"/>
        <v>Windsor Healthcare &amp; Rehab</v>
      </c>
      <c r="C292" s="26" t="str">
        <f t="shared" si="9"/>
        <v>S09076 - Windsor Healthcare &amp; Rehab</v>
      </c>
    </row>
    <row r="293" spans="1:3" x14ac:dyDescent="0.25">
      <c r="A293" s="26" t="str">
        <f>_xll.EVPRO("Finance",$C293,"Inv_Type")</f>
        <v>Inv_Equity</v>
      </c>
      <c r="B293" s="26" t="str">
        <f t="shared" si="8"/>
        <v>Windsor Healthcare &amp; Rehab</v>
      </c>
      <c r="C293" s="26" t="str">
        <f t="shared" si="9"/>
        <v>S09076 - Windsor Healthcare &amp; Rehab</v>
      </c>
    </row>
    <row r="294" spans="1:3" x14ac:dyDescent="0.25">
      <c r="A294" s="26" t="str">
        <f>_xll.EVPRO("Finance",$C294,"Inv_Type")</f>
        <v>Inv_Equity</v>
      </c>
      <c r="B294" s="26" t="str">
        <f t="shared" si="8"/>
        <v>Windsor Healthcare &amp; Rehab</v>
      </c>
      <c r="C294" s="26" t="str">
        <f t="shared" si="9"/>
        <v>S09076 - Windsor Healthcare &amp; Rehab</v>
      </c>
    </row>
    <row r="295" spans="1:3" x14ac:dyDescent="0.25">
      <c r="A295" s="26" t="str">
        <f>_xll.EVPRO("Finance",$C295,"Inv_Type")</f>
        <v>Inv_Equity</v>
      </c>
      <c r="B295" s="26" t="str">
        <f t="shared" si="8"/>
        <v>Windsor Healthcare &amp; Rehab</v>
      </c>
      <c r="C295" s="26" t="str">
        <f t="shared" si="9"/>
        <v>S09076 - Windsor Healthcare &amp; Rehab</v>
      </c>
    </row>
    <row r="296" spans="1:3" x14ac:dyDescent="0.25">
      <c r="A296" s="26" t="str">
        <f>_xll.EVPRO("Finance",$C296,"Inv_Type")</f>
        <v>Inv_Equity</v>
      </c>
      <c r="B296" s="26" t="str">
        <f t="shared" si="8"/>
        <v>Windsor Healthcare &amp; Rehab</v>
      </c>
      <c r="C296" s="26" t="str">
        <f t="shared" si="9"/>
        <v>S09076 - Windsor Healthcare &amp; Rehab</v>
      </c>
    </row>
    <row r="297" spans="1:3" x14ac:dyDescent="0.25">
      <c r="A297" s="26" t="str">
        <f>_xll.EVPRO("Finance",$C297,"Inv_Type")</f>
        <v>Inv_Equity</v>
      </c>
      <c r="B297" s="26" t="str">
        <f t="shared" si="8"/>
        <v>Windsor Healthcare &amp; Rehab</v>
      </c>
      <c r="C297" s="26" t="str">
        <f t="shared" si="9"/>
        <v>S09076 - Windsor Healthcare &amp; Rehab</v>
      </c>
    </row>
    <row r="298" spans="1:3" x14ac:dyDescent="0.25">
      <c r="A298" s="26" t="str">
        <f>_xll.EVPRO("Finance",$C298,"Inv_Type")</f>
        <v>Inv_Equity</v>
      </c>
      <c r="B298" s="26" t="str">
        <f t="shared" si="8"/>
        <v>Windsor Healthcare &amp; Rehab</v>
      </c>
      <c r="C298" s="26" t="str">
        <f t="shared" si="9"/>
        <v>S09076 - Windsor Healthcare &amp; Rehab</v>
      </c>
    </row>
    <row r="299" spans="1:3" x14ac:dyDescent="0.25">
      <c r="A299" s="26" t="str">
        <f>_xll.EVPRO("Finance",$C299,"Inv_Type")</f>
        <v>Inv_Equity</v>
      </c>
      <c r="B299" s="26" t="str">
        <f t="shared" si="8"/>
        <v>Windsor Healthcare &amp; Rehab</v>
      </c>
      <c r="C299" s="26" t="str">
        <f t="shared" si="9"/>
        <v>S09076 - Windsor Healthcare &amp; Rehab</v>
      </c>
    </row>
    <row r="300" spans="1:3" x14ac:dyDescent="0.25">
      <c r="A300" s="26" t="str">
        <f>_xll.EVPRO("Finance",$C300,"Inv_Type")</f>
        <v>Inv_Equity</v>
      </c>
      <c r="B300" s="26" t="str">
        <f t="shared" si="8"/>
        <v>Windsor Healthcare &amp; Rehab</v>
      </c>
      <c r="C300" s="26" t="str">
        <f t="shared" si="9"/>
        <v>S09076 - Windsor Healthcare &amp; Rehab</v>
      </c>
    </row>
    <row r="301" spans="1:3" x14ac:dyDescent="0.25">
      <c r="A301" s="26" t="str">
        <f>_xll.EVPRO("Finance",$C301,"Inv_Type")</f>
        <v>Inv_Equity</v>
      </c>
      <c r="B301" s="26" t="str">
        <f t="shared" si="8"/>
        <v>Windsor Healthcare &amp; Rehab</v>
      </c>
      <c r="C301" s="26" t="str">
        <f t="shared" si="9"/>
        <v>S09076 - Windsor Healthcare &amp; Rehab</v>
      </c>
    </row>
    <row r="302" spans="1:3" x14ac:dyDescent="0.25">
      <c r="A302" s="26" t="str">
        <f>_xll.EVPRO("Finance",$C302,"Inv_Type")</f>
        <v>Inv_Equity</v>
      </c>
      <c r="B302" s="26" t="str">
        <f t="shared" si="8"/>
        <v>Windsor Healthcare &amp; Rehab</v>
      </c>
      <c r="C302" s="26" t="str">
        <f t="shared" si="9"/>
        <v>S09076 - Windsor Healthcare &amp; Rehab</v>
      </c>
    </row>
    <row r="303" spans="1:3" x14ac:dyDescent="0.25">
      <c r="A303" s="26" t="str">
        <f>_xll.EVPRO("Finance",$C303,"Inv_Type")</f>
        <v>Inv_Equity</v>
      </c>
      <c r="B303" s="26" t="str">
        <f t="shared" si="8"/>
        <v>Windsor Healthcare &amp; Rehab</v>
      </c>
      <c r="C303" s="26" t="str">
        <f t="shared" si="9"/>
        <v>S09076 - Windsor Healthcare &amp; Rehab</v>
      </c>
    </row>
    <row r="304" spans="1:3" x14ac:dyDescent="0.25">
      <c r="A304" s="26" t="str">
        <f>_xll.EVPRO("Finance",$C304,"Inv_Type")</f>
        <v>Inv_Equity</v>
      </c>
      <c r="B304" s="26" t="str">
        <f t="shared" si="8"/>
        <v>Windsor Healthcare &amp; Rehab</v>
      </c>
      <c r="C304" s="26" t="str">
        <f t="shared" si="9"/>
        <v>S09076 - Windsor Healthcare &amp; Rehab</v>
      </c>
    </row>
    <row r="305" spans="1:3" x14ac:dyDescent="0.25">
      <c r="A305" s="26" t="str">
        <f>_xll.EVPRO("Finance",$C305,"Inv_Type")</f>
        <v>Inv_Equity</v>
      </c>
      <c r="B305" s="26" t="str">
        <f t="shared" si="8"/>
        <v>Windsor Healthcare &amp; Rehab</v>
      </c>
      <c r="C305" s="26" t="str">
        <f t="shared" si="9"/>
        <v>S09076 - Windsor Healthcare &amp; Rehab</v>
      </c>
    </row>
    <row r="306" spans="1:3" x14ac:dyDescent="0.25">
      <c r="A306" s="26" t="str">
        <f>_xll.EVPRO("Finance",$C306,"Inv_Type")</f>
        <v>Inv_Equity</v>
      </c>
      <c r="B306" s="26" t="str">
        <f t="shared" si="8"/>
        <v>Windsor Healthcare &amp; Rehab</v>
      </c>
      <c r="C306" s="26" t="str">
        <f t="shared" si="9"/>
        <v>S09076 - Windsor Healthcare &amp; Rehab</v>
      </c>
    </row>
    <row r="307" spans="1:3" x14ac:dyDescent="0.25">
      <c r="A307" s="26" t="str">
        <f>_xll.EVPRO("Finance",$C307,"Inv_Type")</f>
        <v>Inv_Equity</v>
      </c>
      <c r="B307" s="26" t="str">
        <f t="shared" si="8"/>
        <v>Windsor Healthcare &amp; Rehab</v>
      </c>
      <c r="C307" s="26" t="str">
        <f t="shared" si="9"/>
        <v>S09076 - Windsor Healthcare &amp; Rehab</v>
      </c>
    </row>
    <row r="308" spans="1:3" x14ac:dyDescent="0.25">
      <c r="A308" s="26" t="str">
        <f>_xll.EVPRO("Finance",$C308,"Inv_Type")</f>
        <v>Inv_Equity</v>
      </c>
      <c r="B308" s="26" t="str">
        <f t="shared" si="8"/>
        <v>Windsor Healthcare &amp; Rehab</v>
      </c>
      <c r="C308" s="26" t="str">
        <f t="shared" si="9"/>
        <v>S09076 - Windsor Healthcare &amp; Rehab</v>
      </c>
    </row>
    <row r="309" spans="1:3" x14ac:dyDescent="0.25">
      <c r="A309" s="26" t="str">
        <f>_xll.EVPRO("Finance",$C309,"Inv_Type")</f>
        <v>Inv_Equity</v>
      </c>
      <c r="B309" s="26" t="str">
        <f t="shared" si="8"/>
        <v>Windsor Healthcare &amp; Rehab</v>
      </c>
      <c r="C309" s="26" t="str">
        <f t="shared" si="9"/>
        <v>S09076 - Windsor Healthcare &amp; Rehab</v>
      </c>
    </row>
    <row r="310" spans="1:3" x14ac:dyDescent="0.25">
      <c r="A310" s="26" t="str">
        <f>_xll.EVPRO("Finance",$C310,"Inv_Type")</f>
        <v>Inv_Equity</v>
      </c>
      <c r="B310" s="26" t="str">
        <f t="shared" si="8"/>
        <v>Windsor Healthcare &amp; Rehab</v>
      </c>
      <c r="C310" s="26" t="str">
        <f t="shared" si="9"/>
        <v>S09076 - Windsor Healthcare &amp; Rehab</v>
      </c>
    </row>
    <row r="311" spans="1:3" x14ac:dyDescent="0.25">
      <c r="A311" s="26" t="str">
        <f>_xll.EVPRO("Finance",$C311,"Inv_Type")</f>
        <v>Inv_Equity</v>
      </c>
      <c r="B311" s="26" t="str">
        <f t="shared" si="8"/>
        <v>Windsor Healthcare &amp; Rehab</v>
      </c>
      <c r="C311" s="26" t="str">
        <f t="shared" si="9"/>
        <v>S09076 - Windsor Healthcare &amp; Rehab</v>
      </c>
    </row>
    <row r="312" spans="1:3" x14ac:dyDescent="0.25">
      <c r="A312" s="26" t="str">
        <f>_xll.EVPRO("Finance",$C312,"Inv_Type")</f>
        <v>Inv_Equity</v>
      </c>
      <c r="B312" s="26" t="str">
        <f t="shared" si="8"/>
        <v>Windsor Healthcare &amp; Rehab</v>
      </c>
      <c r="C312" s="26" t="str">
        <f t="shared" si="9"/>
        <v>S09076 - Windsor Healthcare &amp; Rehab</v>
      </c>
    </row>
    <row r="313" spans="1:3" x14ac:dyDescent="0.25">
      <c r="A313" s="26" t="str">
        <f>_xll.EVPRO("Finance",$C313,"Inv_Type")</f>
        <v>Inv_Equity</v>
      </c>
      <c r="B313" s="26" t="str">
        <f t="shared" si="8"/>
        <v>Windsor Healthcare &amp; Rehab</v>
      </c>
      <c r="C313" s="26" t="str">
        <f t="shared" si="9"/>
        <v>S09076 - Windsor Healthcare &amp; Rehab</v>
      </c>
    </row>
    <row r="314" spans="1:3" x14ac:dyDescent="0.25">
      <c r="A314" s="26" t="str">
        <f>_xll.EVPRO("Finance",$C314,"Inv_Type")</f>
        <v>Inv_Equity</v>
      </c>
      <c r="B314" s="26" t="str">
        <f t="shared" si="8"/>
        <v>Windsor Healthcare &amp; Rehab</v>
      </c>
      <c r="C314" s="26" t="str">
        <f t="shared" si="9"/>
        <v>S09076 - Windsor Healthcare &amp; Rehab</v>
      </c>
    </row>
    <row r="315" spans="1:3" x14ac:dyDescent="0.25">
      <c r="A315" s="26" t="str">
        <f>_xll.EVPRO("Finance",$C315,"Inv_Type")</f>
        <v>Inv_Equity</v>
      </c>
      <c r="B315" s="26" t="str">
        <f t="shared" si="8"/>
        <v>Windsor Healthcare &amp; Rehab</v>
      </c>
      <c r="C315" s="26" t="str">
        <f t="shared" si="9"/>
        <v>S09076 - Windsor Healthcare &amp; Rehab</v>
      </c>
    </row>
    <row r="316" spans="1:3" x14ac:dyDescent="0.25">
      <c r="A316" s="26" t="str">
        <f>_xll.EVPRO("Finance",$C316,"Inv_Type")</f>
        <v>Inv_Equity</v>
      </c>
      <c r="B316" s="26" t="str">
        <f t="shared" si="8"/>
        <v>Windsor Healthcare &amp; Rehab</v>
      </c>
      <c r="C316" s="26" t="str">
        <f t="shared" si="9"/>
        <v>S09076 - Windsor Healthcare &amp; Rehab</v>
      </c>
    </row>
    <row r="317" spans="1:3" x14ac:dyDescent="0.25">
      <c r="A317" s="26" t="str">
        <f>_xll.EVPRO("Finance",$C317,"Inv_Type")</f>
        <v>Inv_Equity</v>
      </c>
      <c r="B317" s="26" t="str">
        <f t="shared" si="8"/>
        <v>Windsor Healthcare &amp; Rehab</v>
      </c>
      <c r="C317" s="26" t="str">
        <f t="shared" si="9"/>
        <v>S09076 - Windsor Healthcare &amp; Rehab</v>
      </c>
    </row>
    <row r="318" spans="1:3" x14ac:dyDescent="0.25">
      <c r="A318" s="26" t="str">
        <f>_xll.EVPRO("Finance",$C318,"Inv_Type")</f>
        <v>Inv_Equity</v>
      </c>
      <c r="B318" s="26" t="str">
        <f t="shared" si="8"/>
        <v>Windsor Healthcare &amp; Rehab</v>
      </c>
      <c r="C318" s="26" t="str">
        <f t="shared" si="9"/>
        <v>S09076 - Windsor Healthcare &amp; Rehab</v>
      </c>
    </row>
    <row r="319" spans="1:3" x14ac:dyDescent="0.25">
      <c r="A319" s="26" t="str">
        <f>_xll.EVPRO("Finance",$C319,"Inv_Type")</f>
        <v>Inv_Equity</v>
      </c>
      <c r="B319" s="26" t="str">
        <f t="shared" si="8"/>
        <v>Windsor Healthcare &amp; Rehab</v>
      </c>
      <c r="C319" s="26" t="str">
        <f t="shared" si="9"/>
        <v>S09076 - Windsor Healthcare &amp; Rehab</v>
      </c>
    </row>
    <row r="320" spans="1:3" x14ac:dyDescent="0.25">
      <c r="A320" s="26" t="str">
        <f>_xll.EVPRO("Finance",$C320,"Inv_Type")</f>
        <v>Inv_Equity</v>
      </c>
      <c r="B320" s="26" t="str">
        <f t="shared" si="8"/>
        <v>Windsor Healthcare &amp; Rehab</v>
      </c>
      <c r="C320" s="26" t="str">
        <f t="shared" si="9"/>
        <v>S09076 - Windsor Healthcare &amp; Rehab</v>
      </c>
    </row>
    <row r="321" spans="1:3" x14ac:dyDescent="0.25">
      <c r="A321" s="26" t="str">
        <f>_xll.EVPRO("Finance",$C321,"Inv_Type")</f>
        <v>Inv_Equity</v>
      </c>
      <c r="B321" s="26" t="str">
        <f t="shared" si="8"/>
        <v>Windsor Healthcare &amp; Rehab</v>
      </c>
      <c r="C321" s="26" t="str">
        <f t="shared" si="9"/>
        <v>S09076 - Windsor Healthcare &amp; Rehab</v>
      </c>
    </row>
    <row r="322" spans="1:3" x14ac:dyDescent="0.25">
      <c r="A322" s="26" t="str">
        <f>_xll.EVPRO("Finance",$C322,"Inv_Type")</f>
        <v>Inv_Equity</v>
      </c>
      <c r="B322" s="26" t="str">
        <f t="shared" si="8"/>
        <v>Windsor Healthcare &amp; Rehab</v>
      </c>
      <c r="C322" s="26" t="str">
        <f t="shared" si="9"/>
        <v>S09076 - Windsor Healthcare &amp; Rehab</v>
      </c>
    </row>
    <row r="323" spans="1:3" x14ac:dyDescent="0.25">
      <c r="A323" s="26" t="str">
        <f>_xll.EVPRO("Finance",$C323,"Inv_Type")</f>
        <v>Inv_Equity</v>
      </c>
      <c r="B323" s="26" t="str">
        <f t="shared" si="8"/>
        <v>Windsor Healthcare &amp; Rehab</v>
      </c>
      <c r="C323" s="26" t="str">
        <f t="shared" si="9"/>
        <v>S09076 - Windsor Healthcare &amp; Rehab</v>
      </c>
    </row>
    <row r="324" spans="1:3" x14ac:dyDescent="0.25">
      <c r="A324" s="26" t="str">
        <f>_xll.EVPRO("Finance",$C324,"Inv_Type")</f>
        <v>Inv_Equity</v>
      </c>
      <c r="B324" s="26" t="str">
        <f t="shared" si="8"/>
        <v>Windsor Healthcare &amp; Rehab</v>
      </c>
      <c r="C324" s="26" t="str">
        <f t="shared" si="9"/>
        <v>S09076 - Windsor Healthcare &amp; Rehab</v>
      </c>
    </row>
    <row r="325" spans="1:3" x14ac:dyDescent="0.25">
      <c r="A325" s="26" t="str">
        <f>_xll.EVPRO("Finance",$C325,"Inv_Type")</f>
        <v>Inv_Equity</v>
      </c>
      <c r="B325" s="26" t="str">
        <f t="shared" si="8"/>
        <v>Windsor Healthcare &amp; Rehab</v>
      </c>
      <c r="C325" s="26" t="str">
        <f t="shared" si="9"/>
        <v>S09076 - Windsor Healthcare &amp; Rehab</v>
      </c>
    </row>
    <row r="326" spans="1:3" x14ac:dyDescent="0.25">
      <c r="A326" s="26" t="str">
        <f>_xll.EVPRO("Finance",$C326,"Inv_Type")</f>
        <v>Inv_Equity</v>
      </c>
      <c r="B326" s="26" t="str">
        <f t="shared" si="8"/>
        <v>Windsor Healthcare &amp; Rehab</v>
      </c>
      <c r="C326" s="26" t="str">
        <f t="shared" si="9"/>
        <v>S09076 - Windsor Healthcare &amp; Rehab</v>
      </c>
    </row>
    <row r="327" spans="1:3" x14ac:dyDescent="0.25">
      <c r="A327" s="26" t="str">
        <f>_xll.EVPRO("Finance",$C327,"Inv_Type")</f>
        <v>Inv_Equity</v>
      </c>
      <c r="B327" s="26" t="str">
        <f t="shared" ref="B327:B342" si="10">MID($C327,FIND("- ",$C327)+2,10000)</f>
        <v>Windsor Healthcare &amp; Rehab</v>
      </c>
      <c r="C327" s="26" t="str">
        <f t="shared" si="9"/>
        <v>S09076 - Windsor Healthcare &amp; Rehab</v>
      </c>
    </row>
    <row r="328" spans="1:3" x14ac:dyDescent="0.25">
      <c r="A328" s="26" t="str">
        <f>_xll.EVPRO("Finance",$C328,"Inv_Type")</f>
        <v>Inv_Equity</v>
      </c>
      <c r="B328" s="26" t="str">
        <f t="shared" si="10"/>
        <v>Windsor Healthcare &amp; Rehab</v>
      </c>
      <c r="C328" s="26" t="str">
        <f t="shared" ref="C328:C342" si="11">IF($D328&lt;&gt;"",$D328,C327)</f>
        <v>S09076 - Windsor Healthcare &amp; Rehab</v>
      </c>
    </row>
    <row r="329" spans="1:3" x14ac:dyDescent="0.25">
      <c r="A329" s="26" t="str">
        <f>_xll.EVPRO("Finance",$C329,"Inv_Type")</f>
        <v>Inv_Equity</v>
      </c>
      <c r="B329" s="26" t="str">
        <f t="shared" si="10"/>
        <v>Windsor Healthcare &amp; Rehab</v>
      </c>
      <c r="C329" s="26" t="str">
        <f t="shared" si="11"/>
        <v>S09076 - Windsor Healthcare &amp; Rehab</v>
      </c>
    </row>
    <row r="330" spans="1:3" x14ac:dyDescent="0.25">
      <c r="A330" s="26" t="str">
        <f>_xll.EVPRO("Finance",$C330,"Inv_Type")</f>
        <v>Inv_Equity</v>
      </c>
      <c r="B330" s="26" t="str">
        <f t="shared" si="10"/>
        <v>Windsor Healthcare &amp; Rehab</v>
      </c>
      <c r="C330" s="26" t="str">
        <f t="shared" si="11"/>
        <v>S09076 - Windsor Healthcare &amp; Rehab</v>
      </c>
    </row>
    <row r="331" spans="1:3" x14ac:dyDescent="0.25">
      <c r="A331" s="26" t="str">
        <f>_xll.EVPRO("Finance",$C331,"Inv_Type")</f>
        <v>Inv_Equity</v>
      </c>
      <c r="B331" s="26" t="str">
        <f t="shared" si="10"/>
        <v>Windsor Healthcare &amp; Rehab</v>
      </c>
      <c r="C331" s="26" t="str">
        <f t="shared" si="11"/>
        <v>S09076 - Windsor Healthcare &amp; Rehab</v>
      </c>
    </row>
    <row r="332" spans="1:3" x14ac:dyDescent="0.25">
      <c r="A332" s="26" t="str">
        <f>_xll.EVPRO("Finance",$C332,"Inv_Type")</f>
        <v>Inv_Equity</v>
      </c>
      <c r="B332" s="26" t="str">
        <f t="shared" si="10"/>
        <v>Windsor Healthcare &amp; Rehab</v>
      </c>
      <c r="C332" s="26" t="str">
        <f t="shared" si="11"/>
        <v>S09076 - Windsor Healthcare &amp; Rehab</v>
      </c>
    </row>
    <row r="333" spans="1:3" x14ac:dyDescent="0.25">
      <c r="A333" s="26" t="str">
        <f>_xll.EVPRO("Finance",$C333,"Inv_Type")</f>
        <v>Inv_Equity</v>
      </c>
      <c r="B333" s="26" t="str">
        <f t="shared" si="10"/>
        <v>Windsor Healthcare &amp; Rehab</v>
      </c>
      <c r="C333" s="26" t="str">
        <f t="shared" si="11"/>
        <v>S09076 - Windsor Healthcare &amp; Rehab</v>
      </c>
    </row>
    <row r="334" spans="1:3" x14ac:dyDescent="0.25">
      <c r="A334" s="26" t="str">
        <f>_xll.EVPRO("Finance",$C334,"Inv_Type")</f>
        <v>Inv_Equity</v>
      </c>
      <c r="B334" s="26" t="str">
        <f t="shared" si="10"/>
        <v>Windsor Healthcare &amp; Rehab</v>
      </c>
      <c r="C334" s="26" t="str">
        <f t="shared" si="11"/>
        <v>S09076 - Windsor Healthcare &amp; Rehab</v>
      </c>
    </row>
    <row r="335" spans="1:3" x14ac:dyDescent="0.25">
      <c r="A335" s="26" t="str">
        <f>_xll.EVPRO("Finance",$C335,"Inv_Type")</f>
        <v>Inv_Equity</v>
      </c>
      <c r="B335" s="26" t="str">
        <f t="shared" si="10"/>
        <v>Windsor Healthcare &amp; Rehab</v>
      </c>
      <c r="C335" s="26" t="str">
        <f t="shared" si="11"/>
        <v>S09076 - Windsor Healthcare &amp; Rehab</v>
      </c>
    </row>
    <row r="336" spans="1:3" x14ac:dyDescent="0.25">
      <c r="A336" s="26" t="str">
        <f>_xll.EVPRO("Finance",$C336,"Inv_Type")</f>
        <v>Inv_Equity</v>
      </c>
      <c r="B336" s="26" t="str">
        <f t="shared" si="10"/>
        <v>Windsor Healthcare &amp; Rehab</v>
      </c>
      <c r="C336" s="26" t="str">
        <f t="shared" si="11"/>
        <v>S09076 - Windsor Healthcare &amp; Rehab</v>
      </c>
    </row>
    <row r="337" spans="1:3" x14ac:dyDescent="0.25">
      <c r="A337" s="26" t="str">
        <f>_xll.EVPRO("Finance",$C337,"Inv_Type")</f>
        <v>Inv_Equity</v>
      </c>
      <c r="B337" s="26" t="str">
        <f t="shared" si="10"/>
        <v>Windsor Healthcare &amp; Rehab</v>
      </c>
      <c r="C337" s="26" t="str">
        <f t="shared" si="11"/>
        <v>S09076 - Windsor Healthcare &amp; Rehab</v>
      </c>
    </row>
    <row r="338" spans="1:3" x14ac:dyDescent="0.25">
      <c r="A338" s="26" t="str">
        <f>_xll.EVPRO("Finance",$C338,"Inv_Type")</f>
        <v>Inv_Equity</v>
      </c>
      <c r="B338" s="26" t="str">
        <f t="shared" si="10"/>
        <v>Windsor Healthcare &amp; Rehab</v>
      </c>
      <c r="C338" s="26" t="str">
        <f t="shared" si="11"/>
        <v>S09076 - Windsor Healthcare &amp; Rehab</v>
      </c>
    </row>
    <row r="339" spans="1:3" x14ac:dyDescent="0.25">
      <c r="A339" s="26" t="str">
        <f>_xll.EVPRO("Finance",$C339,"Inv_Type")</f>
        <v>Inv_Equity</v>
      </c>
      <c r="B339" s="26" t="str">
        <f t="shared" si="10"/>
        <v>Windsor Healthcare &amp; Rehab</v>
      </c>
      <c r="C339" s="26" t="str">
        <f t="shared" si="11"/>
        <v>S09076 - Windsor Healthcare &amp; Rehab</v>
      </c>
    </row>
    <row r="340" spans="1:3" x14ac:dyDescent="0.25">
      <c r="A340" s="26" t="str">
        <f>_xll.EVPRO("Finance",$C340,"Inv_Type")</f>
        <v>Inv_Equity</v>
      </c>
      <c r="B340" s="26" t="str">
        <f t="shared" si="10"/>
        <v>Windsor Healthcare &amp; Rehab</v>
      </c>
      <c r="C340" s="26" t="str">
        <f t="shared" si="11"/>
        <v>S09076 - Windsor Healthcare &amp; Rehab</v>
      </c>
    </row>
    <row r="341" spans="1:3" x14ac:dyDescent="0.25">
      <c r="A341" s="26" t="str">
        <f>_xll.EVPRO("Finance",$C341,"Inv_Type")</f>
        <v>Inv_Equity</v>
      </c>
      <c r="B341" s="26" t="str">
        <f t="shared" si="10"/>
        <v>Windsor Healthcare &amp; Rehab</v>
      </c>
      <c r="C341" s="26" t="str">
        <f t="shared" si="11"/>
        <v>S09076 - Windsor Healthcare &amp; Rehab</v>
      </c>
    </row>
    <row r="342" spans="1:3" x14ac:dyDescent="0.25">
      <c r="A342" s="26" t="str">
        <f>_xll.EVPRO("Finance",$C342,"Inv_Type")</f>
        <v>Inv_Equity</v>
      </c>
      <c r="B342" s="26" t="str">
        <f t="shared" si="10"/>
        <v>Windsor Healthcare &amp; Rehab</v>
      </c>
      <c r="C342" s="26" t="str">
        <f t="shared" si="11"/>
        <v>S09076 - Windsor Healthcare &amp; Rehab</v>
      </c>
    </row>
  </sheetData>
  <autoFilter ref="A3:K3" xr:uid="{00000000-0001-0000-0100-000000000000}"/>
  <pageMargins left="0.7" right="0.7" top="0.75" bottom="0.75" header="0.3" footer="0.3"/>
  <pageSetup orientation="portrait" r:id="rId1"/>
  <customProperties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025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1200150</xdr:colOff>
                <xdr:row>0</xdr:row>
                <xdr:rowOff>0</xdr:rowOff>
              </to>
            </anchor>
          </controlPr>
        </control>
      </mc:Choice>
      <mc:Fallback>
        <control shapeId="1025" r:id="rId6" name="FPMExcelClientSheetOptionstb1"/>
      </mc:Fallback>
    </mc:AlternateContent>
    <mc:AlternateContent xmlns:mc="http://schemas.openxmlformats.org/markup-compatibility/2006">
      <mc:Choice Requires="x14">
        <control shapeId="1026" r:id="rId8" name="ConnectionDescriptors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1200150</xdr:colOff>
                <xdr:row>0</xdr:row>
                <xdr:rowOff>0</xdr:rowOff>
              </to>
            </anchor>
          </controlPr>
        </control>
      </mc:Choice>
      <mc:Fallback>
        <control shapeId="1026" r:id="rId8" name="ConnectionDescriptorsInfotb1"/>
      </mc:Fallback>
    </mc:AlternateContent>
    <mc:AlternateContent xmlns:mc="http://schemas.openxmlformats.org/markup-compatibility/2006">
      <mc:Choice Requires="x14">
        <control shapeId="1027" r:id="rId10" name="MultipleReportManager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1200150</xdr:colOff>
                <xdr:row>0</xdr:row>
                <xdr:rowOff>0</xdr:rowOff>
              </to>
            </anchor>
          </controlPr>
        </control>
      </mc:Choice>
      <mc:Fallback>
        <control shapeId="1027" r:id="rId10" name="MultipleReportManagerInfotb1"/>
      </mc:Fallback>
    </mc:AlternateContent>
    <mc:AlternateContent xmlns:mc="http://schemas.openxmlformats.org/markup-compatibility/2006">
      <mc:Choice Requires="x14">
        <control shapeId="1028" r:id="rId12" name="AnalyzerDynReport000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1200150</xdr:colOff>
                <xdr:row>0</xdr:row>
                <xdr:rowOff>0</xdr:rowOff>
              </to>
            </anchor>
          </controlPr>
        </control>
      </mc:Choice>
      <mc:Fallback>
        <control shapeId="1028" r:id="rId12" name="AnalyzerDynReport000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561"/>
  <sheetViews>
    <sheetView showGridLines="0" tabSelected="1" view="pageBreakPreview" topLeftCell="L112" zoomScale="89" zoomScaleNormal="100" zoomScaleSheetLayoutView="89" workbookViewId="0">
      <selection activeCell="N127" sqref="N127"/>
    </sheetView>
  </sheetViews>
  <sheetFormatPr defaultRowHeight="15" outlineLevelRow="1" outlineLevelCol="1" x14ac:dyDescent="0.25"/>
  <cols>
    <col min="1" max="2" width="9.140625" customWidth="1" outlineLevel="1"/>
    <col min="3" max="3" width="37.42578125" customWidth="1" outlineLevel="1"/>
    <col min="4" max="4" width="45.85546875" customWidth="1" outlineLevel="1"/>
    <col min="5" max="5" width="2.7109375" customWidth="1"/>
    <col min="6" max="6" width="46.7109375" bestFit="1" customWidth="1"/>
    <col min="7" max="7" width="14.28515625" bestFit="1" customWidth="1"/>
    <col min="8" max="8" width="14.28515625" style="26" bestFit="1" customWidth="1"/>
    <col min="9" max="9" width="14.28515625" bestFit="1" customWidth="1"/>
    <col min="10" max="10" width="14.28515625" style="26" bestFit="1" customWidth="1"/>
    <col min="11" max="11" width="14.28515625" bestFit="1" customWidth="1"/>
    <col min="12" max="12" width="14.28515625" style="26" bestFit="1" customWidth="1"/>
    <col min="13" max="13" width="14.28515625" style="26" customWidth="1"/>
    <col min="14" max="14" width="84.28515625" style="107" customWidth="1"/>
    <col min="15" max="15" width="18" bestFit="1" customWidth="1"/>
    <col min="16" max="16" width="45" customWidth="1"/>
    <col min="17" max="17" width="10.5703125" bestFit="1" customWidth="1"/>
  </cols>
  <sheetData>
    <row r="1" spans="1:15" x14ac:dyDescent="0.25">
      <c r="F1" s="25" t="s">
        <v>10</v>
      </c>
      <c r="G1" s="24">
        <f t="shared" ref="G1:L1" si="0">EDATE(G$3,1)-G$3</f>
        <v>31</v>
      </c>
      <c r="H1" s="28">
        <f t="shared" si="0"/>
        <v>28</v>
      </c>
      <c r="I1" s="24">
        <f t="shared" si="0"/>
        <v>31</v>
      </c>
      <c r="J1" s="28">
        <f t="shared" si="0"/>
        <v>30</v>
      </c>
      <c r="K1" s="24">
        <f t="shared" si="0"/>
        <v>31</v>
      </c>
      <c r="L1" s="28">
        <f t="shared" si="0"/>
        <v>30</v>
      </c>
      <c r="M1" s="28"/>
    </row>
    <row r="2" spans="1:15" outlineLevel="1" x14ac:dyDescent="0.25">
      <c r="G2">
        <v>0</v>
      </c>
      <c r="H2" s="26">
        <f>G2+1</f>
        <v>1</v>
      </c>
      <c r="I2">
        <f>H2+1</f>
        <v>2</v>
      </c>
      <c r="J2" s="26">
        <f>I2+1</f>
        <v>3</v>
      </c>
      <c r="K2">
        <f>J2+1</f>
        <v>4</v>
      </c>
      <c r="L2" s="26">
        <f>K2+1</f>
        <v>5</v>
      </c>
    </row>
    <row r="3" spans="1:15" outlineLevel="1" x14ac:dyDescent="0.25">
      <c r="G3" s="5">
        <v>44562</v>
      </c>
      <c r="H3" s="29">
        <f>EDATE(G3,1)</f>
        <v>44593</v>
      </c>
      <c r="I3" s="5">
        <f>EDATE(H3,1)</f>
        <v>44621</v>
      </c>
      <c r="J3" s="29">
        <f>EDATE(I3,1)</f>
        <v>44652</v>
      </c>
      <c r="K3" s="5">
        <f>EDATE(J3,1)</f>
        <v>44682</v>
      </c>
      <c r="L3" s="29">
        <f>EDATE(K3,1)</f>
        <v>44713</v>
      </c>
      <c r="M3" s="29"/>
    </row>
    <row r="4" spans="1:15" x14ac:dyDescent="0.25">
      <c r="F4" s="6" t="str">
        <f>MID('BPC Data'!$D$3,FIND("-",'BPC Data'!$D$3)+2,1000)</f>
        <v>Health Systems - Nursing Care</v>
      </c>
      <c r="G4" s="5"/>
      <c r="H4" s="29"/>
      <c r="I4" s="5"/>
      <c r="J4" s="29"/>
      <c r="K4" s="5"/>
      <c r="L4" s="29"/>
      <c r="M4" s="29"/>
    </row>
    <row r="5" spans="1:15" x14ac:dyDescent="0.25">
      <c r="F5" s="6" t="str">
        <f>"Trailing "&amp;COUNT(G3:M3)&amp;" Month Financial Summary"</f>
        <v>Trailing 6 Month Financial Summary</v>
      </c>
      <c r="G5" s="5"/>
      <c r="H5" s="29"/>
      <c r="I5" s="5"/>
      <c r="J5" s="29"/>
      <c r="K5" s="5"/>
      <c r="L5" s="29"/>
      <c r="M5" s="29"/>
    </row>
    <row r="6" spans="1:15" x14ac:dyDescent="0.25">
      <c r="F6" s="6" t="str">
        <f>"As of "&amp;TEXT(EOMONTH(MAX($G$3:$M$3),0),"MMM DD, YYYY")</f>
        <v>As of Jun 30, 2022</v>
      </c>
      <c r="G6" s="5"/>
      <c r="H6" s="29"/>
      <c r="I6" s="5"/>
      <c r="J6" s="29"/>
      <c r="K6" s="5"/>
      <c r="L6" s="29"/>
      <c r="M6" s="29"/>
    </row>
    <row r="8" spans="1:15" x14ac:dyDescent="0.25">
      <c r="F8" s="20"/>
      <c r="G8" s="9" t="str">
        <f t="shared" ref="G8:L8" si="1">TEXT(G$3,"MMM YYYY")</f>
        <v>Jan 2022</v>
      </c>
      <c r="H8" s="90" t="str">
        <f t="shared" si="1"/>
        <v>Feb 2022</v>
      </c>
      <c r="I8" s="9" t="str">
        <f t="shared" si="1"/>
        <v>Mar 2022</v>
      </c>
      <c r="J8" s="90" t="str">
        <f t="shared" si="1"/>
        <v>Apr 2022</v>
      </c>
      <c r="K8" s="9" t="str">
        <f t="shared" si="1"/>
        <v>May 2022</v>
      </c>
      <c r="L8" s="90" t="str">
        <f t="shared" si="1"/>
        <v>Jun 2022</v>
      </c>
      <c r="M8" s="30" t="s">
        <v>465</v>
      </c>
      <c r="N8" s="108" t="s">
        <v>514</v>
      </c>
      <c r="O8" s="104" t="s">
        <v>515</v>
      </c>
    </row>
    <row r="9" spans="1:15" s="4" customFormat="1" x14ac:dyDescent="0.25">
      <c r="A9" s="4">
        <v>1</v>
      </c>
      <c r="F9" s="21" t="str">
        <f>INDEX(PropertyList!$D:$D,MATCH(Summary!$A9,PropertyList!$C:$C,0))</f>
        <v>Maryville</v>
      </c>
      <c r="G9" s="10"/>
      <c r="H9" s="91"/>
      <c r="I9" s="10"/>
      <c r="J9" s="91"/>
      <c r="K9" s="10"/>
      <c r="L9" s="91"/>
      <c r="M9" s="31"/>
      <c r="N9" s="109"/>
    </row>
    <row r="10" spans="1:15" s="16" customFormat="1" x14ac:dyDescent="0.25">
      <c r="A10" s="16">
        <f>IF(AND(F10&lt;&gt;"",D10=""),A9+1,A9)</f>
        <v>1</v>
      </c>
      <c r="C10" t="str">
        <f>$F9</f>
        <v>Maryville</v>
      </c>
      <c r="D10" s="3" t="s">
        <v>1</v>
      </c>
      <c r="F10" s="22" t="str">
        <f>_xll.EVDES(D10)</f>
        <v>Total Payor Patient Days</v>
      </c>
      <c r="G10" s="18">
        <f ca="1">SUMIFS(OFFSET('BPC Data'!$F:$F,0,Summary!G$2),'BPC Data'!$E:$E,Summary!$D10,'BPC Data'!$B:$B,Summary!$C10)</f>
        <v>1899</v>
      </c>
      <c r="H10" s="92">
        <f ca="1">SUMIFS(OFFSET('BPC Data'!$F:$F,0,Summary!H$2),'BPC Data'!$E:$E,Summary!$D10,'BPC Data'!$B:$B,Summary!$C10)</f>
        <v>1769</v>
      </c>
      <c r="I10" s="18">
        <f ca="1">SUMIFS(OFFSET('BPC Data'!$F:$F,0,Summary!I$2),'BPC Data'!$E:$E,Summary!$D10,'BPC Data'!$B:$B,Summary!$C10)</f>
        <v>1848</v>
      </c>
      <c r="J10" s="92">
        <f ca="1">SUMIFS(OFFSET('BPC Data'!$F:$F,0,Summary!J$2),'BPC Data'!$E:$E,Summary!$D10,'BPC Data'!$B:$B,Summary!$C10)</f>
        <v>1849</v>
      </c>
      <c r="K10" s="18">
        <f ca="1">SUMIFS(OFFSET('BPC Data'!$F:$F,0,Summary!K$2),'BPC Data'!$E:$E,Summary!$D10,'BPC Data'!$B:$B,Summary!$C10)</f>
        <v>1835</v>
      </c>
      <c r="L10" s="92">
        <f ca="1">SUMIFS(OFFSET('BPC Data'!$F:$F,0,Summary!L$2),'BPC Data'!$E:$E,Summary!$D10,'BPC Data'!$B:$B,Summary!$C10)</f>
        <v>1670</v>
      </c>
      <c r="M10" s="32">
        <f ca="1">SUM(G10:L10)</f>
        <v>10870</v>
      </c>
      <c r="N10" s="110">
        <f>Maryville!O23</f>
        <v>10870</v>
      </c>
      <c r="O10" s="105">
        <f ca="1">N10-M10</f>
        <v>0</v>
      </c>
    </row>
    <row r="11" spans="1:15" s="16" customFormat="1" x14ac:dyDescent="0.25">
      <c r="A11" s="16">
        <f t="shared" ref="A11:A19" si="2">IF(AND(F11&lt;&gt;"",D11=""),A10+1,A10)</f>
        <v>1</v>
      </c>
      <c r="C11" t="str">
        <f>$F9</f>
        <v>Maryville</v>
      </c>
      <c r="D11" s="3" t="s">
        <v>9</v>
      </c>
      <c r="F11" s="22" t="str">
        <f>_xll.EVDES(D11)</f>
        <v>Total Available Beds</v>
      </c>
      <c r="G11" s="18">
        <f ca="1">SUMIFS(OFFSET('BPC Data'!$F:$F,0,Summary!G$2),'BPC Data'!$E:$E,Summary!$D11,'BPC Data'!$B:$B,Summary!$C11)</f>
        <v>125</v>
      </c>
      <c r="H11" s="92">
        <f ca="1">SUMIFS(OFFSET('BPC Data'!$F:$F,0,Summary!H$2),'BPC Data'!$E:$E,Summary!$D11,'BPC Data'!$B:$B,Summary!$C11)</f>
        <v>125</v>
      </c>
      <c r="I11" s="18">
        <f ca="1">SUMIFS(OFFSET('BPC Data'!$F:$F,0,Summary!I$2),'BPC Data'!$E:$E,Summary!$D11,'BPC Data'!$B:$B,Summary!$C11)</f>
        <v>125</v>
      </c>
      <c r="J11" s="92">
        <f ca="1">SUMIFS(OFFSET('BPC Data'!$F:$F,0,Summary!J$2),'BPC Data'!$E:$E,Summary!$D11,'BPC Data'!$B:$B,Summary!$C11)</f>
        <v>125</v>
      </c>
      <c r="K11" s="18">
        <f ca="1">SUMIFS(OFFSET('BPC Data'!$F:$F,0,Summary!K$2),'BPC Data'!$E:$E,Summary!$D11,'BPC Data'!$B:$B,Summary!$C11)</f>
        <v>125</v>
      </c>
      <c r="L11" s="92">
        <f ca="1">SUMIFS(OFFSET('BPC Data'!$F:$F,0,Summary!L$2),'BPC Data'!$E:$E,Summary!$D11,'BPC Data'!$B:$B,Summary!$C11)</f>
        <v>125</v>
      </c>
      <c r="M11" s="32">
        <f ca="1">SUM(L11)</f>
        <v>125</v>
      </c>
      <c r="N11" s="110"/>
    </row>
    <row r="12" spans="1:15" x14ac:dyDescent="0.25">
      <c r="A12" s="16">
        <f t="shared" si="2"/>
        <v>1</v>
      </c>
      <c r="C12" t="str">
        <f>$F9</f>
        <v>Maryville</v>
      </c>
      <c r="D12" s="3" t="s">
        <v>4</v>
      </c>
      <c r="F12" s="22" t="str">
        <f>_xll.EVDES(D12)</f>
        <v>Total Tenant Revenues</v>
      </c>
      <c r="G12" s="18">
        <f ca="1">SUMIFS(OFFSET('BPC Data'!$F:$F,0,Summary!G$2),'BPC Data'!$E:$E,Summary!$D12,'BPC Data'!$B:$B,Summary!$C12)</f>
        <v>338732.63</v>
      </c>
      <c r="H12" s="92">
        <f ca="1">SUMIFS(OFFSET('BPC Data'!$F:$F,0,Summary!H$2),'BPC Data'!$E:$E,Summary!$D12,'BPC Data'!$B:$B,Summary!$C12)</f>
        <v>319906.74</v>
      </c>
      <c r="I12" s="18">
        <f ca="1">SUMIFS(OFFSET('BPC Data'!$F:$F,0,Summary!I$2),'BPC Data'!$E:$E,Summary!$D12,'BPC Data'!$B:$B,Summary!$C12)</f>
        <v>325240.63</v>
      </c>
      <c r="J12" s="92">
        <f ca="1">SUMIFS(OFFSET('BPC Data'!$F:$F,0,Summary!J$2),'BPC Data'!$E:$E,Summary!$D12,'BPC Data'!$B:$B,Summary!$C12)</f>
        <v>334229.75</v>
      </c>
      <c r="K12" s="18">
        <f ca="1">SUMIFS(OFFSET('BPC Data'!$F:$F,0,Summary!K$2),'BPC Data'!$E:$E,Summary!$D12,'BPC Data'!$B:$B,Summary!$C12)</f>
        <v>346890.78</v>
      </c>
      <c r="L12" s="92">
        <f ca="1">SUMIFS(OFFSET('BPC Data'!$F:$F,0,Summary!L$2),'BPC Data'!$E:$E,Summary!$D12,'BPC Data'!$B:$B,Summary!$C12)</f>
        <v>322206.52</v>
      </c>
      <c r="M12" s="32">
        <f t="shared" ref="M12:M19" ca="1" si="3">SUM(G12:L12)</f>
        <v>1987207.05</v>
      </c>
      <c r="N12" s="107">
        <f>Maryville!O150-Maryville!O142-Maryville!O143</f>
        <v>1987207.0499999998</v>
      </c>
      <c r="O12" s="106">
        <f t="shared" ref="O12:O75" ca="1" si="4">N12-M12</f>
        <v>0</v>
      </c>
    </row>
    <row r="13" spans="1:15" x14ac:dyDescent="0.25">
      <c r="A13" s="16">
        <f t="shared" si="2"/>
        <v>1</v>
      </c>
      <c r="C13" t="str">
        <f>$F9</f>
        <v>Maryville</v>
      </c>
      <c r="D13" s="3" t="s">
        <v>5</v>
      </c>
      <c r="F13" s="22" t="str">
        <f>_xll.EVDES(D13)</f>
        <v>Tenant Operating Expenses</v>
      </c>
      <c r="G13" s="18">
        <f ca="1">SUMIFS(OFFSET('BPC Data'!$F:$F,0,Summary!G$2),'BPC Data'!$E:$E,Summary!$D13,'BPC Data'!$B:$B,Summary!$C13)</f>
        <v>284836.95</v>
      </c>
      <c r="H13" s="92">
        <f ca="1">SUMIFS(OFFSET('BPC Data'!$F:$F,0,Summary!H$2),'BPC Data'!$E:$E,Summary!$D13,'BPC Data'!$B:$B,Summary!$C13)</f>
        <v>260285.9</v>
      </c>
      <c r="I13" s="18">
        <f ca="1">SUMIFS(OFFSET('BPC Data'!$F:$F,0,Summary!I$2),'BPC Data'!$E:$E,Summary!$D13,'BPC Data'!$B:$B,Summary!$C13)</f>
        <v>302862.76</v>
      </c>
      <c r="J13" s="92">
        <f ca="1">SUMIFS(OFFSET('BPC Data'!$F:$F,0,Summary!J$2),'BPC Data'!$E:$E,Summary!$D13,'BPC Data'!$B:$B,Summary!$C13)</f>
        <v>293801.84000000003</v>
      </c>
      <c r="K13" s="18">
        <f ca="1">SUMIFS(OFFSET('BPC Data'!$F:$F,0,Summary!K$2),'BPC Data'!$E:$E,Summary!$D13,'BPC Data'!$B:$B,Summary!$C13)</f>
        <v>329689.81</v>
      </c>
      <c r="L13" s="92">
        <f ca="1">SUMIFS(OFFSET('BPC Data'!$F:$F,0,Summary!L$2),'BPC Data'!$E:$E,Summary!$D13,'BPC Data'!$B:$B,Summary!$C13)</f>
        <v>322686.61</v>
      </c>
      <c r="M13" s="32">
        <f t="shared" ca="1" si="3"/>
        <v>1794163.87</v>
      </c>
      <c r="N13" s="107">
        <f>Maryville!O455-Maryville!O450-Maryville!O449-Maryville!O448-Maryville!O446-Maryville!O445-Maryville!O444-Maryville!O443-Maryville!O438-Maryville!O422-Maryville!O414-Maryville!O413+N14</f>
        <v>1794163.8699999996</v>
      </c>
      <c r="O13" s="106">
        <f t="shared" ca="1" si="4"/>
        <v>0</v>
      </c>
    </row>
    <row r="14" spans="1:15" x14ac:dyDescent="0.25">
      <c r="A14" s="16">
        <f t="shared" si="2"/>
        <v>1</v>
      </c>
      <c r="C14" t="str">
        <f>$F9</f>
        <v>Maryville</v>
      </c>
      <c r="D14" s="3" t="s">
        <v>2</v>
      </c>
      <c r="F14" s="22" t="str">
        <f>_xll.EVDES(D14)</f>
        <v>Tenant Bad Debt Expense</v>
      </c>
      <c r="G14" s="18">
        <f ca="1">SUMIFS(OFFSET('BPC Data'!$F:$F,0,Summary!G$2),'BPC Data'!$E:$E,Summary!$D14,'BPC Data'!$B:$B,Summary!$C14)</f>
        <v>724.62</v>
      </c>
      <c r="H14" s="92">
        <f ca="1">SUMIFS(OFFSET('BPC Data'!$F:$F,0,Summary!H$2),'BPC Data'!$E:$E,Summary!$D14,'BPC Data'!$B:$B,Summary!$C14)</f>
        <v>2765.12</v>
      </c>
      <c r="I14" s="18">
        <f ca="1">SUMIFS(OFFSET('BPC Data'!$F:$F,0,Summary!I$2),'BPC Data'!$E:$E,Summary!$D14,'BPC Data'!$B:$B,Summary!$C14)</f>
        <v>724.62</v>
      </c>
      <c r="J14" s="92">
        <f ca="1">SUMIFS(OFFSET('BPC Data'!$F:$F,0,Summary!J$2),'BPC Data'!$E:$E,Summary!$D14,'BPC Data'!$B:$B,Summary!$C14)</f>
        <v>724.62</v>
      </c>
      <c r="K14" s="18">
        <f ca="1">SUMIFS(OFFSET('BPC Data'!$F:$F,0,Summary!K$2),'BPC Data'!$E:$E,Summary!$D14,'BPC Data'!$B:$B,Summary!$C14)</f>
        <v>1502.62</v>
      </c>
      <c r="L14" s="92">
        <f ca="1">SUMIFS(OFFSET('BPC Data'!$F:$F,0,Summary!L$2),'BPC Data'!$E:$E,Summary!$D14,'BPC Data'!$B:$B,Summary!$C14)</f>
        <v>724.62</v>
      </c>
      <c r="M14" s="32">
        <f t="shared" ca="1" si="3"/>
        <v>7166.2199999999993</v>
      </c>
      <c r="N14" s="107">
        <f>-(Maryville!O142+Maryville!O143)</f>
        <v>7166.22</v>
      </c>
      <c r="O14" s="106">
        <f t="shared" ca="1" si="4"/>
        <v>0</v>
      </c>
    </row>
    <row r="15" spans="1:15" x14ac:dyDescent="0.25">
      <c r="A15" s="16">
        <f t="shared" si="2"/>
        <v>1</v>
      </c>
      <c r="C15" t="str">
        <f>$F9</f>
        <v>Maryville</v>
      </c>
      <c r="D15" s="2" t="s">
        <v>6</v>
      </c>
      <c r="F15" s="22" t="str">
        <f>_xll.EVDES(D15)</f>
        <v>EBITDARM</v>
      </c>
      <c r="G15" s="18">
        <f ca="1">SUMIFS(OFFSET('BPC Data'!$F:$F,0,Summary!G$2),'BPC Data'!$E:$E,Summary!$D15,'BPC Data'!$B:$B,Summary!$C15)</f>
        <v>53895.68</v>
      </c>
      <c r="H15" s="92">
        <f ca="1">SUMIFS(OFFSET('BPC Data'!$F:$F,0,Summary!H$2),'BPC Data'!$E:$E,Summary!$D15,'BPC Data'!$B:$B,Summary!$C15)</f>
        <v>59620.84</v>
      </c>
      <c r="I15" s="18">
        <f ca="1">SUMIFS(OFFSET('BPC Data'!$F:$F,0,Summary!I$2),'BPC Data'!$E:$E,Summary!$D15,'BPC Data'!$B:$B,Summary!$C15)</f>
        <v>22377.870000000101</v>
      </c>
      <c r="J15" s="92">
        <f ca="1">SUMIFS(OFFSET('BPC Data'!$F:$F,0,Summary!J$2),'BPC Data'!$E:$E,Summary!$D15,'BPC Data'!$B:$B,Summary!$C15)</f>
        <v>40427.910000000003</v>
      </c>
      <c r="K15" s="18">
        <f ca="1">SUMIFS(OFFSET('BPC Data'!$F:$F,0,Summary!K$2),'BPC Data'!$E:$E,Summary!$D15,'BPC Data'!$B:$B,Summary!$C15)</f>
        <v>17200.97</v>
      </c>
      <c r="L15" s="92">
        <f ca="1">SUMIFS(OFFSET('BPC Data'!$F:$F,0,Summary!L$2),'BPC Data'!$E:$E,Summary!$D15,'BPC Data'!$B:$B,Summary!$C15)</f>
        <v>-480.08999999996701</v>
      </c>
      <c r="M15" s="32">
        <f t="shared" ca="1" si="3"/>
        <v>193043.18000000014</v>
      </c>
      <c r="N15" s="107">
        <f>N12-N13</f>
        <v>193043.18000000017</v>
      </c>
      <c r="O15" s="106">
        <f t="shared" ca="1" si="4"/>
        <v>0</v>
      </c>
    </row>
    <row r="16" spans="1:15" x14ac:dyDescent="0.25">
      <c r="A16" s="16">
        <f t="shared" si="2"/>
        <v>1</v>
      </c>
      <c r="C16" t="str">
        <f>$F9</f>
        <v>Maryville</v>
      </c>
      <c r="D16" s="2" t="s">
        <v>7</v>
      </c>
      <c r="F16" s="22" t="str">
        <f>_xll.EVDES(D16)</f>
        <v>Tenant Management Fee - Actual</v>
      </c>
      <c r="G16" s="18">
        <f ca="1">SUMIFS(OFFSET('BPC Data'!$F:$F,0,Summary!G$2),'BPC Data'!$E:$E,Summary!$D16,'BPC Data'!$B:$B,Summary!$C16)</f>
        <v>23442.32</v>
      </c>
      <c r="H16" s="92">
        <f ca="1">SUMIFS(OFFSET('BPC Data'!$F:$F,0,Summary!H$2),'BPC Data'!$E:$E,Summary!$D16,'BPC Data'!$B:$B,Summary!$C16)</f>
        <v>22569.42</v>
      </c>
      <c r="I16" s="18">
        <f ca="1">SUMIFS(OFFSET('BPC Data'!$F:$F,0,Summary!I$2),'BPC Data'!$E:$E,Summary!$D16,'BPC Data'!$B:$B,Summary!$C16)</f>
        <v>22890.78</v>
      </c>
      <c r="J16" s="92">
        <f ca="1">SUMIFS(OFFSET('BPC Data'!$F:$F,0,Summary!J$2),'BPC Data'!$E:$E,Summary!$D16,'BPC Data'!$B:$B,Summary!$C16)</f>
        <v>23555.79</v>
      </c>
      <c r="K16" s="18">
        <f ca="1">SUMIFS(OFFSET('BPC Data'!$F:$F,0,Summary!K$2),'BPC Data'!$E:$E,Summary!$D16,'BPC Data'!$B:$B,Summary!$C16)</f>
        <v>23845.25</v>
      </c>
      <c r="L16" s="92">
        <f ca="1">SUMIFS(OFFSET('BPC Data'!$F:$F,0,Summary!L$2),'BPC Data'!$E:$E,Summary!$D16,'BPC Data'!$B:$B,Summary!$C16)</f>
        <v>22357.14</v>
      </c>
      <c r="M16" s="32">
        <f t="shared" ca="1" si="3"/>
        <v>138660.70000000001</v>
      </c>
      <c r="N16" s="107">
        <f>Maryville!O422+Maryville!O443</f>
        <v>138660.70000000001</v>
      </c>
      <c r="O16" s="106">
        <f t="shared" ca="1" si="4"/>
        <v>0</v>
      </c>
    </row>
    <row r="17" spans="1:15" x14ac:dyDescent="0.25">
      <c r="A17" s="16">
        <f t="shared" si="2"/>
        <v>1</v>
      </c>
      <c r="C17" t="str">
        <f>$F9</f>
        <v>Maryville</v>
      </c>
      <c r="D17" s="1" t="s">
        <v>8</v>
      </c>
      <c r="F17" s="22" t="str">
        <f>_xll.EVDES(D17)</f>
        <v>EBITDAR</v>
      </c>
      <c r="G17" s="18">
        <f ca="1">SUMIFS(OFFSET('BPC Data'!$F:$F,0,Summary!G$2),'BPC Data'!$E:$E,Summary!$D17,'BPC Data'!$B:$B,Summary!$C17)</f>
        <v>30453.360000000001</v>
      </c>
      <c r="H17" s="92">
        <f ca="1">SUMIFS(OFFSET('BPC Data'!$F:$F,0,Summary!H$2),'BPC Data'!$E:$E,Summary!$D17,'BPC Data'!$B:$B,Summary!$C17)</f>
        <v>37051.42</v>
      </c>
      <c r="I17" s="18">
        <f ca="1">SUMIFS(OFFSET('BPC Data'!$F:$F,0,Summary!I$2),'BPC Data'!$E:$E,Summary!$D17,'BPC Data'!$B:$B,Summary!$C17)</f>
        <v>-512.90999999994494</v>
      </c>
      <c r="J17" s="92">
        <f ca="1">SUMIFS(OFFSET('BPC Data'!$F:$F,0,Summary!J$2),'BPC Data'!$E:$E,Summary!$D17,'BPC Data'!$B:$B,Summary!$C17)</f>
        <v>16872.12</v>
      </c>
      <c r="K17" s="18">
        <f ca="1">SUMIFS(OFFSET('BPC Data'!$F:$F,0,Summary!K$2),'BPC Data'!$E:$E,Summary!$D17,'BPC Data'!$B:$B,Summary!$C17)</f>
        <v>-6644.2799999999697</v>
      </c>
      <c r="L17" s="92">
        <f ca="1">SUMIFS(OFFSET('BPC Data'!$F:$F,0,Summary!L$2),'BPC Data'!$E:$E,Summary!$D17,'BPC Data'!$B:$B,Summary!$C17)</f>
        <v>-22837.23</v>
      </c>
      <c r="M17" s="32">
        <f t="shared" ca="1" si="3"/>
        <v>54382.480000000083</v>
      </c>
      <c r="N17" s="107">
        <f>N15-N16</f>
        <v>54382.480000000156</v>
      </c>
      <c r="O17" s="106">
        <f t="shared" ca="1" si="4"/>
        <v>7.2759576141834259E-11</v>
      </c>
    </row>
    <row r="18" spans="1:15" x14ac:dyDescent="0.25">
      <c r="A18" s="16">
        <f t="shared" si="2"/>
        <v>1</v>
      </c>
      <c r="C18" t="str">
        <f>$F9</f>
        <v>Maryville</v>
      </c>
      <c r="D18" s="66" t="s">
        <v>472</v>
      </c>
      <c r="F18" s="22" t="str">
        <f>_xll.EVDES(D18)</f>
        <v>Tenant Rent Expense</v>
      </c>
      <c r="G18" s="18">
        <f ca="1">SUMIFS(OFFSET('BPC Data'!$F:$F,0,Summary!G$2),'BPC Data'!$E:$E,Summary!$D18,'BPC Data'!$B:$B,Summary!$C18)</f>
        <v>61515.79</v>
      </c>
      <c r="H18" s="92">
        <f ca="1">SUMIFS(OFFSET('BPC Data'!$F:$F,0,Summary!H$2),'BPC Data'!$E:$E,Summary!$D18,'BPC Data'!$B:$B,Summary!$C18)</f>
        <v>61515.79</v>
      </c>
      <c r="I18" s="18">
        <f ca="1">SUMIFS(OFFSET('BPC Data'!$F:$F,0,Summary!I$2),'BPC Data'!$E:$E,Summary!$D18,'BPC Data'!$B:$B,Summary!$C18)</f>
        <v>67365.23</v>
      </c>
      <c r="J18" s="92">
        <f ca="1">SUMIFS(OFFSET('BPC Data'!$F:$F,0,Summary!J$2),'BPC Data'!$E:$E,Summary!$D18,'BPC Data'!$B:$B,Summary!$C18)</f>
        <v>64440.51</v>
      </c>
      <c r="K18" s="18">
        <f ca="1">SUMIFS(OFFSET('BPC Data'!$F:$F,0,Summary!K$2),'BPC Data'!$E:$E,Summary!$D18,'BPC Data'!$B:$B,Summary!$C18)</f>
        <v>64440.51</v>
      </c>
      <c r="L18" s="92">
        <f ca="1">SUMIFS(OFFSET('BPC Data'!$F:$F,0,Summary!L$2),'BPC Data'!$E:$E,Summary!$D18,'BPC Data'!$B:$B,Summary!$C18)</f>
        <v>66565.509999999995</v>
      </c>
      <c r="M18" s="32">
        <f t="shared" ca="1" si="3"/>
        <v>385843.34</v>
      </c>
      <c r="N18" s="107">
        <f>Maryville!O446</f>
        <v>385843.34</v>
      </c>
      <c r="O18" s="106">
        <f t="shared" ca="1" si="4"/>
        <v>0</v>
      </c>
    </row>
    <row r="19" spans="1:15" x14ac:dyDescent="0.25">
      <c r="A19" s="16">
        <f t="shared" si="2"/>
        <v>1</v>
      </c>
      <c r="D19" s="1" t="s">
        <v>3</v>
      </c>
      <c r="F19" s="22" t="s">
        <v>0</v>
      </c>
      <c r="G19" s="11">
        <f t="shared" ref="G19:H19" ca="1" si="5">G17/G18</f>
        <v>0.49504948241744112</v>
      </c>
      <c r="H19" s="93">
        <f t="shared" ca="1" si="5"/>
        <v>0.60230747260174988</v>
      </c>
      <c r="I19" s="11">
        <f t="shared" ref="I19:J19" ca="1" si="6">I17/I18</f>
        <v>-7.6138684600341299E-3</v>
      </c>
      <c r="J19" s="93">
        <f t="shared" ca="1" si="6"/>
        <v>0.26182474347270063</v>
      </c>
      <c r="K19" s="11">
        <f t="shared" ref="K19:L19" ca="1" si="7">K17/K18</f>
        <v>-0.10310719142353109</v>
      </c>
      <c r="L19" s="93">
        <f t="shared" ca="1" si="7"/>
        <v>-0.34307902095244219</v>
      </c>
      <c r="M19" s="32">
        <f t="shared" ca="1" si="3"/>
        <v>0.90538161765588421</v>
      </c>
      <c r="O19" s="106">
        <f t="shared" ca="1" si="4"/>
        <v>-0.90538161765588421</v>
      </c>
    </row>
    <row r="20" spans="1:15" s="4" customFormat="1" x14ac:dyDescent="0.25">
      <c r="A20" s="16">
        <f>IF(AND(D20&lt;&gt;"",C20=""),A19+1,A19)</f>
        <v>2</v>
      </c>
      <c r="D20" s="4" t="s">
        <v>3</v>
      </c>
      <c r="F20" s="21" t="str">
        <f>INDEX(PropertyList!$D:$D,MATCH(Summary!$A20,PropertyList!$C:$C,0))</f>
        <v>Ashland Healthcare</v>
      </c>
      <c r="G20" s="10"/>
      <c r="H20" s="91"/>
      <c r="I20" s="10"/>
      <c r="J20" s="91"/>
      <c r="K20" s="10"/>
      <c r="L20" s="91"/>
      <c r="M20" s="32">
        <f t="shared" ref="M20:M64" si="8">SUM(G20)</f>
        <v>0</v>
      </c>
      <c r="N20" s="109"/>
      <c r="O20" s="106">
        <f t="shared" si="4"/>
        <v>0</v>
      </c>
    </row>
    <row r="21" spans="1:15" s="16" customFormat="1" x14ac:dyDescent="0.25">
      <c r="A21" s="16">
        <f>IF(AND(F21&lt;&gt;"",D21=""),A20+1,A20)</f>
        <v>2</v>
      </c>
      <c r="C21" t="str">
        <f>$F20</f>
        <v>Ashland Healthcare</v>
      </c>
      <c r="D21" s="3" t="str">
        <f>$D10</f>
        <v>PAY_PAT_DAYS - Total Payor Patient Days</v>
      </c>
      <c r="F21" s="22" t="str">
        <f>_xll.EVDES(D21)</f>
        <v>Total Payor Patient Days</v>
      </c>
      <c r="G21" s="18">
        <f ca="1">SUMIFS(OFFSET('BPC Data'!$F:$F,0,Summary!G$2),'BPC Data'!$E:$E,Summary!$D21,'BPC Data'!$B:$B,Summary!$C21)</f>
        <v>993</v>
      </c>
      <c r="H21" s="92">
        <f ca="1">SUMIFS(OFFSET('BPC Data'!$F:$F,0,Summary!H$2),'BPC Data'!$E:$E,Summary!$D21,'BPC Data'!$B:$B,Summary!$C21)</f>
        <v>980</v>
      </c>
      <c r="I21" s="18">
        <f ca="1">SUMIFS(OFFSET('BPC Data'!$F:$F,0,Summary!I$2),'BPC Data'!$E:$E,Summary!$D21,'BPC Data'!$B:$B,Summary!$C21)</f>
        <v>888</v>
      </c>
      <c r="J21" s="92">
        <f ca="1">SUMIFS(OFFSET('BPC Data'!$F:$F,0,Summary!J$2),'BPC Data'!$E:$E,Summary!$D21,'BPC Data'!$B:$B,Summary!$C21)</f>
        <v>23</v>
      </c>
      <c r="K21" s="18">
        <f ca="1">SUMIFS(OFFSET('BPC Data'!$F:$F,0,Summary!K$2),'BPC Data'!$E:$E,Summary!$D21,'BPC Data'!$B:$B,Summary!$C21)</f>
        <v>0</v>
      </c>
      <c r="L21" s="92">
        <f ca="1">SUMIFS(OFFSET('BPC Data'!$F:$F,0,Summary!L$2),'BPC Data'!$E:$E,Summary!$D21,'BPC Data'!$B:$B,Summary!$C21)</f>
        <v>0</v>
      </c>
      <c r="M21" s="32">
        <f ca="1">SUM(G21:L21)</f>
        <v>2884</v>
      </c>
      <c r="N21" s="110">
        <f>Ashland!O23</f>
        <v>2884</v>
      </c>
      <c r="O21" s="106">
        <f t="shared" ca="1" si="4"/>
        <v>0</v>
      </c>
    </row>
    <row r="22" spans="1:15" s="16" customFormat="1" x14ac:dyDescent="0.25">
      <c r="A22" s="16">
        <f t="shared" ref="A22:A30" si="9">IF(AND(F22&lt;&gt;"",D22=""),A21+1,A21)</f>
        <v>2</v>
      </c>
      <c r="C22" t="str">
        <f>$F20</f>
        <v>Ashland Healthcare</v>
      </c>
      <c r="D22" s="3" t="str">
        <f t="shared" ref="D22:D85" si="10">$D11</f>
        <v>A_BEDS_TOTAL - Total Available Beds</v>
      </c>
      <c r="F22" s="22" t="str">
        <f>_xll.EVDES(D22)</f>
        <v>Total Available Beds</v>
      </c>
      <c r="G22" s="18">
        <f ca="1">SUMIFS(OFFSET('BPC Data'!$F:$F,0,Summary!G$2),'BPC Data'!$E:$E,Summary!$D22,'BPC Data'!$B:$B,Summary!$C22)</f>
        <v>60</v>
      </c>
      <c r="H22" s="92">
        <f ca="1">SUMIFS(OFFSET('BPC Data'!$F:$F,0,Summary!H$2),'BPC Data'!$E:$E,Summary!$D22,'BPC Data'!$B:$B,Summary!$C22)</f>
        <v>60</v>
      </c>
      <c r="I22" s="18">
        <f ca="1">SUMIFS(OFFSET('BPC Data'!$F:$F,0,Summary!I$2),'BPC Data'!$E:$E,Summary!$D22,'BPC Data'!$B:$B,Summary!$C22)</f>
        <v>60</v>
      </c>
      <c r="J22" s="92">
        <f ca="1">SUMIFS(OFFSET('BPC Data'!$F:$F,0,Summary!J$2),'BPC Data'!$E:$E,Summary!$D22,'BPC Data'!$B:$B,Summary!$C22)</f>
        <v>60</v>
      </c>
      <c r="K22" s="18">
        <f ca="1">SUMIFS(OFFSET('BPC Data'!$F:$F,0,Summary!K$2),'BPC Data'!$E:$E,Summary!$D22,'BPC Data'!$B:$B,Summary!$C22)</f>
        <v>60</v>
      </c>
      <c r="L22" s="92">
        <f ca="1">SUMIFS(OFFSET('BPC Data'!$F:$F,0,Summary!L$2),'BPC Data'!$E:$E,Summary!$D22,'BPC Data'!$B:$B,Summary!$C22)</f>
        <v>60</v>
      </c>
      <c r="M22" s="32">
        <f ca="1">SUM(L22)</f>
        <v>60</v>
      </c>
      <c r="N22" s="110"/>
      <c r="O22" s="106"/>
    </row>
    <row r="23" spans="1:15" s="16" customFormat="1" x14ac:dyDescent="0.25">
      <c r="A23" s="16">
        <f t="shared" si="9"/>
        <v>2</v>
      </c>
      <c r="B23"/>
      <c r="C23" t="str">
        <f>$F20</f>
        <v>Ashland Healthcare</v>
      </c>
      <c r="D23" s="3" t="str">
        <f t="shared" si="10"/>
        <v>T_REVENUES - Total Tenant Revenues</v>
      </c>
      <c r="E23"/>
      <c r="F23" s="22" t="str">
        <f>_xll.EVDES(D23)</f>
        <v>Total Tenant Revenues</v>
      </c>
      <c r="G23" s="18">
        <f ca="1">SUMIFS(OFFSET('BPC Data'!$F:$F,0,Summary!G$2),'BPC Data'!$E:$E,Summary!$D23,'BPC Data'!$B:$B,Summary!$C23)</f>
        <v>197121.07</v>
      </c>
      <c r="H23" s="92">
        <f ca="1">SUMIFS(OFFSET('BPC Data'!$F:$F,0,Summary!H$2),'BPC Data'!$E:$E,Summary!$D23,'BPC Data'!$B:$B,Summary!$C23)</f>
        <v>201317.39</v>
      </c>
      <c r="I23" s="18">
        <f ca="1">SUMIFS(OFFSET('BPC Data'!$F:$F,0,Summary!I$2),'BPC Data'!$E:$E,Summary!$D23,'BPC Data'!$B:$B,Summary!$C23)</f>
        <v>180496.06</v>
      </c>
      <c r="J23" s="92">
        <f ca="1">SUMIFS(OFFSET('BPC Data'!$F:$F,0,Summary!J$2),'BPC Data'!$E:$E,Summary!$D23,'BPC Data'!$B:$B,Summary!$C23)</f>
        <v>-5367.61</v>
      </c>
      <c r="K23" s="18">
        <f ca="1">SUMIFS(OFFSET('BPC Data'!$F:$F,0,Summary!K$2),'BPC Data'!$E:$E,Summary!$D23,'BPC Data'!$B:$B,Summary!$C23)</f>
        <v>9417.5</v>
      </c>
      <c r="L23" s="92">
        <f ca="1">SUMIFS(OFFSET('BPC Data'!$F:$F,0,Summary!L$2),'BPC Data'!$E:$E,Summary!$D23,'BPC Data'!$B:$B,Summary!$C23)</f>
        <v>6244.84</v>
      </c>
      <c r="M23" s="32">
        <f t="shared" ref="M23:M30" ca="1" si="11">SUM(G23:L23)</f>
        <v>589229.25</v>
      </c>
      <c r="N23" s="110">
        <f>Ashland!O150-Ashland!O143-Ashland!O142</f>
        <v>589229.24999999988</v>
      </c>
      <c r="O23" s="106">
        <f t="shared" ca="1" si="4"/>
        <v>0</v>
      </c>
    </row>
    <row r="24" spans="1:15" s="16" customFormat="1" x14ac:dyDescent="0.25">
      <c r="A24" s="16">
        <f t="shared" si="9"/>
        <v>2</v>
      </c>
      <c r="B24"/>
      <c r="C24" t="str">
        <f>$F20</f>
        <v>Ashland Healthcare</v>
      </c>
      <c r="D24" s="3" t="str">
        <f t="shared" si="10"/>
        <v>T_OPEX - Tenant Operating Expenses</v>
      </c>
      <c r="E24"/>
      <c r="F24" s="22" t="str">
        <f>_xll.EVDES(D24)</f>
        <v>Tenant Operating Expenses</v>
      </c>
      <c r="G24" s="18">
        <f ca="1">SUMIFS(OFFSET('BPC Data'!$F:$F,0,Summary!G$2),'BPC Data'!$E:$E,Summary!$D24,'BPC Data'!$B:$B,Summary!$C24)</f>
        <v>215976.75</v>
      </c>
      <c r="H24" s="92">
        <f ca="1">SUMIFS(OFFSET('BPC Data'!$F:$F,0,Summary!H$2),'BPC Data'!$E:$E,Summary!$D24,'BPC Data'!$B:$B,Summary!$C24)</f>
        <v>198312.92</v>
      </c>
      <c r="I24" s="18">
        <f ca="1">SUMIFS(OFFSET('BPC Data'!$F:$F,0,Summary!I$2),'BPC Data'!$E:$E,Summary!$D24,'BPC Data'!$B:$B,Summary!$C24)</f>
        <v>209355.61</v>
      </c>
      <c r="J24" s="92">
        <f ca="1">SUMIFS(OFFSET('BPC Data'!$F:$F,0,Summary!J$2),'BPC Data'!$E:$E,Summary!$D24,'BPC Data'!$B:$B,Summary!$C24)</f>
        <v>46203.9</v>
      </c>
      <c r="K24" s="18">
        <f ca="1">SUMIFS(OFFSET('BPC Data'!$F:$F,0,Summary!K$2),'BPC Data'!$E:$E,Summary!$D24,'BPC Data'!$B:$B,Summary!$C24)</f>
        <v>23769.69</v>
      </c>
      <c r="L24" s="92">
        <f ca="1">SUMIFS(OFFSET('BPC Data'!$F:$F,0,Summary!L$2),'BPC Data'!$E:$E,Summary!$D24,'BPC Data'!$B:$B,Summary!$C24)</f>
        <v>9153.7199999999993</v>
      </c>
      <c r="M24" s="32">
        <f t="shared" ca="1" si="11"/>
        <v>702772.59</v>
      </c>
      <c r="N24" s="110">
        <f>Ashland!O455-Ashland!O450-Ashland!O449-Ashland!O448-Ashland!O446-Ashland!O445-Ashland!O444-Ashland!O443-Ashland!O422-Ashland!O413-Ashland!O413-Ashland!O438+N25</f>
        <v>702772.5900000002</v>
      </c>
      <c r="O24" s="106">
        <f t="shared" ca="1" si="4"/>
        <v>0</v>
      </c>
    </row>
    <row r="25" spans="1:15" s="16" customFormat="1" x14ac:dyDescent="0.25">
      <c r="A25" s="16">
        <f t="shared" si="9"/>
        <v>2</v>
      </c>
      <c r="B25"/>
      <c r="C25" t="str">
        <f>$F20</f>
        <v>Ashland Healthcare</v>
      </c>
      <c r="D25" s="3" t="str">
        <f t="shared" si="10"/>
        <v>T_BAD_DEBT - Tenant Bad Debt Expense</v>
      </c>
      <c r="E25"/>
      <c r="F25" s="22" t="str">
        <f>_xll.EVDES(D25)</f>
        <v>Tenant Bad Debt Expense</v>
      </c>
      <c r="G25" s="18">
        <f ca="1">SUMIFS(OFFSET('BPC Data'!$F:$F,0,Summary!G$2),'BPC Data'!$E:$E,Summary!$D25,'BPC Data'!$B:$B,Summary!$C25)</f>
        <v>19814.98</v>
      </c>
      <c r="H25" s="92">
        <f ca="1">SUMIFS(OFFSET('BPC Data'!$F:$F,0,Summary!H$2),'BPC Data'!$E:$E,Summary!$D25,'BPC Data'!$B:$B,Summary!$C25)</f>
        <v>3305.48</v>
      </c>
      <c r="I25" s="18">
        <f ca="1">SUMIFS(OFFSET('BPC Data'!$F:$F,0,Summary!I$2),'BPC Data'!$E:$E,Summary!$D25,'BPC Data'!$B:$B,Summary!$C25)</f>
        <v>1450.48</v>
      </c>
      <c r="J25" s="92">
        <f ca="1">SUMIFS(OFFSET('BPC Data'!$F:$F,0,Summary!J$2),'BPC Data'!$E:$E,Summary!$D25,'BPC Data'!$B:$B,Summary!$C25)</f>
        <v>1450.48</v>
      </c>
      <c r="K25" s="18">
        <f ca="1">SUMIFS(OFFSET('BPC Data'!$F:$F,0,Summary!K$2),'BPC Data'!$E:$E,Summary!$D25,'BPC Data'!$B:$B,Summary!$C25)</f>
        <v>1450.48</v>
      </c>
      <c r="L25" s="92">
        <f ca="1">SUMIFS(OFFSET('BPC Data'!$F:$F,0,Summary!L$2),'BPC Data'!$E:$E,Summary!$D25,'BPC Data'!$B:$B,Summary!$C25)</f>
        <v>1450.48</v>
      </c>
      <c r="M25" s="32">
        <f t="shared" ca="1" si="11"/>
        <v>28922.379999999997</v>
      </c>
      <c r="N25" s="110">
        <f>-(Ashland!O142+Ashland!O143)</f>
        <v>28922.379999999997</v>
      </c>
      <c r="O25" s="106">
        <f t="shared" ca="1" si="4"/>
        <v>0</v>
      </c>
    </row>
    <row r="26" spans="1:15" s="16" customFormat="1" x14ac:dyDescent="0.25">
      <c r="A26" s="16">
        <f t="shared" si="9"/>
        <v>2</v>
      </c>
      <c r="B26"/>
      <c r="C26" t="str">
        <f>$F20</f>
        <v>Ashland Healthcare</v>
      </c>
      <c r="D26" s="2" t="str">
        <f t="shared" si="10"/>
        <v>T_EBITDARM - EBITDARM</v>
      </c>
      <c r="E26"/>
      <c r="F26" s="22" t="str">
        <f>_xll.EVDES(D26)</f>
        <v>EBITDARM</v>
      </c>
      <c r="G26" s="18">
        <f ca="1">SUMIFS(OFFSET('BPC Data'!$F:$F,0,Summary!G$2),'BPC Data'!$E:$E,Summary!$D26,'BPC Data'!$B:$B,Summary!$C26)</f>
        <v>-18855.68</v>
      </c>
      <c r="H26" s="92">
        <f ca="1">SUMIFS(OFFSET('BPC Data'!$F:$F,0,Summary!H$2),'BPC Data'!$E:$E,Summary!$D26,'BPC Data'!$B:$B,Summary!$C26)</f>
        <v>3004.4699999999698</v>
      </c>
      <c r="I26" s="18">
        <f ca="1">SUMIFS(OFFSET('BPC Data'!$F:$F,0,Summary!I$2),'BPC Data'!$E:$E,Summary!$D26,'BPC Data'!$B:$B,Summary!$C26)</f>
        <v>-28859.55</v>
      </c>
      <c r="J26" s="92">
        <f ca="1">SUMIFS(OFFSET('BPC Data'!$F:$F,0,Summary!J$2),'BPC Data'!$E:$E,Summary!$D26,'BPC Data'!$B:$B,Summary!$C26)</f>
        <v>-51571.51</v>
      </c>
      <c r="K26" s="18">
        <f ca="1">SUMIFS(OFFSET('BPC Data'!$F:$F,0,Summary!K$2),'BPC Data'!$E:$E,Summary!$D26,'BPC Data'!$B:$B,Summary!$C26)</f>
        <v>-14352.19</v>
      </c>
      <c r="L26" s="92">
        <f ca="1">SUMIFS(OFFSET('BPC Data'!$F:$F,0,Summary!L$2),'BPC Data'!$E:$E,Summary!$D26,'BPC Data'!$B:$B,Summary!$C26)</f>
        <v>-2908.88</v>
      </c>
      <c r="M26" s="32">
        <f t="shared" ca="1" si="11"/>
        <v>-113543.34000000004</v>
      </c>
      <c r="N26" s="110">
        <f>N23-N24</f>
        <v>-113543.34000000032</v>
      </c>
      <c r="O26" s="106">
        <f t="shared" ca="1" si="4"/>
        <v>-2.7648638933897018E-10</v>
      </c>
    </row>
    <row r="27" spans="1:15" s="16" customFormat="1" x14ac:dyDescent="0.25">
      <c r="A27" s="16">
        <f t="shared" si="9"/>
        <v>2</v>
      </c>
      <c r="B27"/>
      <c r="C27" t="str">
        <f>$F20</f>
        <v>Ashland Healthcare</v>
      </c>
      <c r="D27" s="2" t="str">
        <f t="shared" si="10"/>
        <v>T_MGMT_FEE - Tenant Management Fee - Actual</v>
      </c>
      <c r="E27"/>
      <c r="F27" s="22" t="str">
        <f>_xll.EVDES(D27)</f>
        <v>Tenant Management Fee - Actual</v>
      </c>
      <c r="G27" s="18">
        <f ca="1">SUMIFS(OFFSET('BPC Data'!$F:$F,0,Summary!G$2),'BPC Data'!$E:$E,Summary!$D27,'BPC Data'!$B:$B,Summary!$C27)</f>
        <v>14335.82</v>
      </c>
      <c r="H27" s="92">
        <f ca="1">SUMIFS(OFFSET('BPC Data'!$F:$F,0,Summary!H$2),'BPC Data'!$E:$E,Summary!$D27,'BPC Data'!$B:$B,Summary!$C27)</f>
        <v>14060.41</v>
      </c>
      <c r="I27" s="18">
        <f ca="1">SUMIFS(OFFSET('BPC Data'!$F:$F,0,Summary!I$2),'BPC Data'!$E:$E,Summary!$D27,'BPC Data'!$B:$B,Summary!$C27)</f>
        <v>12505.68</v>
      </c>
      <c r="J27" s="92">
        <f ca="1">SUMIFS(OFFSET('BPC Data'!$F:$F,0,Summary!J$2),'BPC Data'!$E:$E,Summary!$D27,'BPC Data'!$B:$B,Summary!$C27)</f>
        <v>0</v>
      </c>
      <c r="K27" s="18">
        <f ca="1">SUMIFS(OFFSET('BPC Data'!$F:$F,0,Summary!K$2),'BPC Data'!$E:$E,Summary!$D27,'BPC Data'!$B:$B,Summary!$C27)</f>
        <v>0</v>
      </c>
      <c r="L27" s="92">
        <f ca="1">SUMIFS(OFFSET('BPC Data'!$F:$F,0,Summary!L$2),'BPC Data'!$E:$E,Summary!$D27,'BPC Data'!$B:$B,Summary!$C27)</f>
        <v>0</v>
      </c>
      <c r="M27" s="32">
        <f t="shared" ca="1" si="11"/>
        <v>40901.910000000003</v>
      </c>
      <c r="N27" s="110">
        <f>Ashland!O443+Ashland!O422</f>
        <v>40901.910000000003</v>
      </c>
      <c r="O27" s="106">
        <f t="shared" ca="1" si="4"/>
        <v>0</v>
      </c>
    </row>
    <row r="28" spans="1:15" s="16" customFormat="1" x14ac:dyDescent="0.25">
      <c r="A28" s="16">
        <f t="shared" si="9"/>
        <v>2</v>
      </c>
      <c r="B28"/>
      <c r="C28" t="str">
        <f>$F20</f>
        <v>Ashland Healthcare</v>
      </c>
      <c r="D28" s="1" t="str">
        <f t="shared" si="10"/>
        <v>T_EBITDAR - EBITDAR</v>
      </c>
      <c r="E28"/>
      <c r="F28" s="22" t="str">
        <f>_xll.EVDES(D28)</f>
        <v>EBITDAR</v>
      </c>
      <c r="G28" s="18">
        <f ca="1">SUMIFS(OFFSET('BPC Data'!$F:$F,0,Summary!G$2),'BPC Data'!$E:$E,Summary!$D28,'BPC Data'!$B:$B,Summary!$C28)</f>
        <v>-33191.5</v>
      </c>
      <c r="H28" s="92">
        <f ca="1">SUMIFS(OFFSET('BPC Data'!$F:$F,0,Summary!H$2),'BPC Data'!$E:$E,Summary!$D28,'BPC Data'!$B:$B,Summary!$C28)</f>
        <v>-11055.94</v>
      </c>
      <c r="I28" s="18">
        <f ca="1">SUMIFS(OFFSET('BPC Data'!$F:$F,0,Summary!I$2),'BPC Data'!$E:$E,Summary!$D28,'BPC Data'!$B:$B,Summary!$C28)</f>
        <v>-41365.230000000003</v>
      </c>
      <c r="J28" s="92">
        <f ca="1">SUMIFS(OFFSET('BPC Data'!$F:$F,0,Summary!J$2),'BPC Data'!$E:$E,Summary!$D28,'BPC Data'!$B:$B,Summary!$C28)</f>
        <v>-51571.51</v>
      </c>
      <c r="K28" s="18">
        <f ca="1">SUMIFS(OFFSET('BPC Data'!$F:$F,0,Summary!K$2),'BPC Data'!$E:$E,Summary!$D28,'BPC Data'!$B:$B,Summary!$C28)</f>
        <v>-14352.19</v>
      </c>
      <c r="L28" s="92">
        <f ca="1">SUMIFS(OFFSET('BPC Data'!$F:$F,0,Summary!L$2),'BPC Data'!$E:$E,Summary!$D28,'BPC Data'!$B:$B,Summary!$C28)</f>
        <v>-2908.88</v>
      </c>
      <c r="M28" s="32">
        <f t="shared" ca="1" si="11"/>
        <v>-154445.25000000003</v>
      </c>
      <c r="N28" s="110">
        <f>N26-N27</f>
        <v>-154445.25000000032</v>
      </c>
      <c r="O28" s="106">
        <f t="shared" ca="1" si="4"/>
        <v>-2.9103830456733704E-10</v>
      </c>
    </row>
    <row r="29" spans="1:15" s="16" customFormat="1" x14ac:dyDescent="0.25">
      <c r="A29" s="16">
        <f t="shared" si="9"/>
        <v>2</v>
      </c>
      <c r="B29"/>
      <c r="C29" t="str">
        <f>$F20</f>
        <v>Ashland Healthcare</v>
      </c>
      <c r="D29" s="1" t="str">
        <f t="shared" si="10"/>
        <v>T_RENT_EXP - Tenant Rent Expense</v>
      </c>
      <c r="E29"/>
      <c r="F29" s="22" t="str">
        <f>_xll.EVDES(D29)</f>
        <v>Tenant Rent Expense</v>
      </c>
      <c r="G29" s="18">
        <f ca="1">SUMIFS(OFFSET('BPC Data'!$F:$F,0,Summary!G$2),'BPC Data'!$E:$E,Summary!$D29,'BPC Data'!$B:$B,Summary!$C29)</f>
        <v>36355.93</v>
      </c>
      <c r="H29" s="92">
        <f ca="1">SUMIFS(OFFSET('BPC Data'!$F:$F,0,Summary!H$2),'BPC Data'!$E:$E,Summary!$D29,'BPC Data'!$B:$B,Summary!$C29)</f>
        <v>34705.870000000003</v>
      </c>
      <c r="I29" s="18">
        <f ca="1">SUMIFS(OFFSET('BPC Data'!$F:$F,0,Summary!I$2),'BPC Data'!$E:$E,Summary!$D29,'BPC Data'!$B:$B,Summary!$C29)</f>
        <v>38005.99</v>
      </c>
      <c r="J29" s="92">
        <f ca="1">SUMIFS(OFFSET('BPC Data'!$F:$F,0,Summary!J$2),'BPC Data'!$E:$E,Summary!$D29,'BPC Data'!$B:$B,Summary!$C29)</f>
        <v>36355.93</v>
      </c>
      <c r="K29" s="18">
        <f ca="1">SUMIFS(OFFSET('BPC Data'!$F:$F,0,Summary!K$2),'BPC Data'!$E:$E,Summary!$D29,'BPC Data'!$B:$B,Summary!$C29)</f>
        <v>36355.93</v>
      </c>
      <c r="L29" s="92">
        <f ca="1">SUMIFS(OFFSET('BPC Data'!$F:$F,0,Summary!L$2),'BPC Data'!$E:$E,Summary!$D29,'BPC Data'!$B:$B,Summary!$C29)</f>
        <v>36355.93</v>
      </c>
      <c r="M29" s="32">
        <f t="shared" ca="1" si="11"/>
        <v>218135.58</v>
      </c>
      <c r="N29" s="110">
        <f>Ashland!O446</f>
        <v>218135.58</v>
      </c>
      <c r="O29" s="106">
        <f t="shared" ca="1" si="4"/>
        <v>0</v>
      </c>
    </row>
    <row r="30" spans="1:15" s="16" customFormat="1" x14ac:dyDescent="0.25">
      <c r="A30" s="16">
        <f t="shared" si="9"/>
        <v>2</v>
      </c>
      <c r="B30"/>
      <c r="C30"/>
      <c r="D30" s="1" t="str">
        <f t="shared" si="10"/>
        <v>x</v>
      </c>
      <c r="E30"/>
      <c r="F30" s="22" t="s">
        <v>0</v>
      </c>
      <c r="G30" s="11">
        <f t="shared" ref="G30:H30" ca="1" si="12">G28/G29</f>
        <v>-0.91295972899056632</v>
      </c>
      <c r="H30" s="93">
        <f t="shared" ca="1" si="12"/>
        <v>-0.31856109643700042</v>
      </c>
      <c r="I30" s="11">
        <f t="shared" ref="I30:J30" ca="1" si="13">I28/I29</f>
        <v>-1.0883871200302901</v>
      </c>
      <c r="J30" s="93">
        <f t="shared" ca="1" si="13"/>
        <v>-1.4185171442457942</v>
      </c>
      <c r="K30" s="11">
        <f t="shared" ref="K30:L30" ca="1" si="14">K28/K29</f>
        <v>-0.39476888639624952</v>
      </c>
      <c r="L30" s="93">
        <f t="shared" ca="1" si="14"/>
        <v>-8.0011156364312511E-2</v>
      </c>
      <c r="M30" s="32">
        <f t="shared" ca="1" si="11"/>
        <v>-4.2132051324642132</v>
      </c>
      <c r="N30" s="110"/>
      <c r="O30" s="106">
        <f t="shared" ca="1" si="4"/>
        <v>4.2132051324642132</v>
      </c>
    </row>
    <row r="31" spans="1:15" s="16" customFormat="1" x14ac:dyDescent="0.25">
      <c r="A31" s="16">
        <f>IF(AND(D31&lt;&gt;"",C31=""),A30+1,A30)</f>
        <v>3</v>
      </c>
      <c r="B31" s="4"/>
      <c r="C31" s="4"/>
      <c r="D31" s="4" t="str">
        <f t="shared" si="10"/>
        <v>x</v>
      </c>
      <c r="E31" s="4"/>
      <c r="F31" s="21" t="str">
        <f>INDEX(PropertyList!$D:$D,MATCH(Summary!$A31,PropertyList!$C:$C,0))</f>
        <v>Bellefontaine Gardens</v>
      </c>
      <c r="G31" s="10"/>
      <c r="H31" s="91"/>
      <c r="I31" s="10"/>
      <c r="J31" s="91"/>
      <c r="K31" s="10"/>
      <c r="L31" s="91"/>
      <c r="M31" s="32">
        <f t="shared" si="8"/>
        <v>0</v>
      </c>
      <c r="N31" s="110"/>
      <c r="O31" s="106">
        <f t="shared" si="4"/>
        <v>0</v>
      </c>
    </row>
    <row r="32" spans="1:15" s="16" customFormat="1" x14ac:dyDescent="0.25">
      <c r="A32" s="16">
        <f>IF(AND(F32&lt;&gt;"",D32=""),A31+1,A31)</f>
        <v>3</v>
      </c>
      <c r="C32" t="str">
        <f>$F31</f>
        <v>Bellefontaine Gardens</v>
      </c>
      <c r="D32" s="3" t="str">
        <f t="shared" si="10"/>
        <v>PAY_PAT_DAYS - Total Payor Patient Days</v>
      </c>
      <c r="F32" s="22" t="str">
        <f>_xll.EVDES(D32)</f>
        <v>Total Payor Patient Days</v>
      </c>
      <c r="G32" s="18">
        <f ca="1">SUMIFS(OFFSET('BPC Data'!$F:$F,0,Summary!G$2),'BPC Data'!$E:$E,Summary!$D32,'BPC Data'!$B:$B,Summary!$C32)</f>
        <v>1408</v>
      </c>
      <c r="H32" s="92">
        <f ca="1">SUMIFS(OFFSET('BPC Data'!$F:$F,0,Summary!H$2),'BPC Data'!$E:$E,Summary!$D32,'BPC Data'!$B:$B,Summary!$C32)</f>
        <v>1321</v>
      </c>
      <c r="I32" s="18">
        <f ca="1">SUMIFS(OFFSET('BPC Data'!$F:$F,0,Summary!I$2),'BPC Data'!$E:$E,Summary!$D32,'BPC Data'!$B:$B,Summary!$C32)</f>
        <v>1451</v>
      </c>
      <c r="J32" s="92">
        <f ca="1">SUMIFS(OFFSET('BPC Data'!$F:$F,0,Summary!J$2),'BPC Data'!$E:$E,Summary!$D32,'BPC Data'!$B:$B,Summary!$C32)</f>
        <v>24</v>
      </c>
      <c r="K32" s="18">
        <f ca="1">SUMIFS(OFFSET('BPC Data'!$F:$F,0,Summary!K$2),'BPC Data'!$E:$E,Summary!$D32,'BPC Data'!$B:$B,Summary!$C32)</f>
        <v>0</v>
      </c>
      <c r="L32" s="92">
        <f ca="1">SUMIFS(OFFSET('BPC Data'!$F:$F,0,Summary!L$2),'BPC Data'!$E:$E,Summary!$D32,'BPC Data'!$B:$B,Summary!$C32)</f>
        <v>0</v>
      </c>
      <c r="M32" s="32">
        <f ca="1">SUM(G32:L32)</f>
        <v>4204</v>
      </c>
      <c r="N32" s="110">
        <f>Bellefontaine!O23</f>
        <v>4204</v>
      </c>
      <c r="O32" s="106">
        <f t="shared" ca="1" si="4"/>
        <v>0</v>
      </c>
    </row>
    <row r="33" spans="1:15" s="16" customFormat="1" x14ac:dyDescent="0.25">
      <c r="A33" s="16">
        <f t="shared" ref="A33:A41" si="15">IF(AND(F33&lt;&gt;"",D33=""),A32+1,A32)</f>
        <v>3</v>
      </c>
      <c r="C33" t="str">
        <f>$F31</f>
        <v>Bellefontaine Gardens</v>
      </c>
      <c r="D33" s="3" t="str">
        <f t="shared" si="10"/>
        <v>A_BEDS_TOTAL - Total Available Beds</v>
      </c>
      <c r="F33" s="22" t="str">
        <f>_xll.EVDES(D33)</f>
        <v>Total Available Beds</v>
      </c>
      <c r="G33" s="18">
        <f ca="1">SUMIFS(OFFSET('BPC Data'!$F:$F,0,Summary!G$2),'BPC Data'!$E:$E,Summary!$D33,'BPC Data'!$B:$B,Summary!$C33)</f>
        <v>89</v>
      </c>
      <c r="H33" s="92">
        <f ca="1">SUMIFS(OFFSET('BPC Data'!$F:$F,0,Summary!H$2),'BPC Data'!$E:$E,Summary!$D33,'BPC Data'!$B:$B,Summary!$C33)</f>
        <v>89</v>
      </c>
      <c r="I33" s="18">
        <f ca="1">SUMIFS(OFFSET('BPC Data'!$F:$F,0,Summary!I$2),'BPC Data'!$E:$E,Summary!$D33,'BPC Data'!$B:$B,Summary!$C33)</f>
        <v>89</v>
      </c>
      <c r="J33" s="92">
        <f ca="1">SUMIFS(OFFSET('BPC Data'!$F:$F,0,Summary!J$2),'BPC Data'!$E:$E,Summary!$D33,'BPC Data'!$B:$B,Summary!$C33)</f>
        <v>89</v>
      </c>
      <c r="K33" s="18">
        <f ca="1">SUMIFS(OFFSET('BPC Data'!$F:$F,0,Summary!K$2),'BPC Data'!$E:$E,Summary!$D33,'BPC Data'!$B:$B,Summary!$C33)</f>
        <v>89</v>
      </c>
      <c r="L33" s="92">
        <f ca="1">SUMIFS(OFFSET('BPC Data'!$F:$F,0,Summary!L$2),'BPC Data'!$E:$E,Summary!$D33,'BPC Data'!$B:$B,Summary!$C33)</f>
        <v>89</v>
      </c>
      <c r="M33" s="32">
        <f ca="1">SUM(L33)</f>
        <v>89</v>
      </c>
      <c r="N33" s="110"/>
      <c r="O33" s="106"/>
    </row>
    <row r="34" spans="1:15" s="16" customFormat="1" x14ac:dyDescent="0.25">
      <c r="A34" s="16">
        <f t="shared" si="15"/>
        <v>3</v>
      </c>
      <c r="B34"/>
      <c r="C34" t="str">
        <f>$F31</f>
        <v>Bellefontaine Gardens</v>
      </c>
      <c r="D34" s="3" t="str">
        <f t="shared" si="10"/>
        <v>T_REVENUES - Total Tenant Revenues</v>
      </c>
      <c r="E34"/>
      <c r="F34" s="22" t="str">
        <f>_xll.EVDES(D34)</f>
        <v>Total Tenant Revenues</v>
      </c>
      <c r="G34" s="18">
        <f ca="1">SUMIFS(OFFSET('BPC Data'!$F:$F,0,Summary!G$2),'BPC Data'!$E:$E,Summary!$D34,'BPC Data'!$B:$B,Summary!$C34)</f>
        <v>269528.82</v>
      </c>
      <c r="H34" s="92">
        <f ca="1">SUMIFS(OFFSET('BPC Data'!$F:$F,0,Summary!H$2),'BPC Data'!$E:$E,Summary!$D34,'BPC Data'!$B:$B,Summary!$C34)</f>
        <v>253184.13</v>
      </c>
      <c r="I34" s="18">
        <f ca="1">SUMIFS(OFFSET('BPC Data'!$F:$F,0,Summary!I$2),'BPC Data'!$E:$E,Summary!$D34,'BPC Data'!$B:$B,Summary!$C34)</f>
        <v>305841.18</v>
      </c>
      <c r="J34" s="92">
        <f ca="1">SUMIFS(OFFSET('BPC Data'!$F:$F,0,Summary!J$2),'BPC Data'!$E:$E,Summary!$D34,'BPC Data'!$B:$B,Summary!$C34)</f>
        <v>26420.59</v>
      </c>
      <c r="K34" s="18">
        <f ca="1">SUMIFS(OFFSET('BPC Data'!$F:$F,0,Summary!K$2),'BPC Data'!$E:$E,Summary!$D34,'BPC Data'!$B:$B,Summary!$C34)</f>
        <v>12728.95</v>
      </c>
      <c r="L34" s="92">
        <f ca="1">SUMIFS(OFFSET('BPC Data'!$F:$F,0,Summary!L$2),'BPC Data'!$E:$E,Summary!$D34,'BPC Data'!$B:$B,Summary!$C34)</f>
        <v>12958.3</v>
      </c>
      <c r="M34" s="32">
        <f t="shared" ref="M34:M41" ca="1" si="16">SUM(G34:L34)</f>
        <v>880661.97</v>
      </c>
      <c r="N34" s="110">
        <f>Bellefontaine!O150-Bellefontaine!O143-Bellefontaine!O142</f>
        <v>880661.97000000009</v>
      </c>
      <c r="O34" s="106">
        <f t="shared" ca="1" si="4"/>
        <v>0</v>
      </c>
    </row>
    <row r="35" spans="1:15" s="16" customFormat="1" x14ac:dyDescent="0.25">
      <c r="A35" s="16">
        <f t="shared" si="15"/>
        <v>3</v>
      </c>
      <c r="B35"/>
      <c r="C35" t="str">
        <f>$F31</f>
        <v>Bellefontaine Gardens</v>
      </c>
      <c r="D35" s="3" t="str">
        <f t="shared" si="10"/>
        <v>T_OPEX - Tenant Operating Expenses</v>
      </c>
      <c r="E35"/>
      <c r="F35" s="22" t="str">
        <f>_xll.EVDES(D35)</f>
        <v>Tenant Operating Expenses</v>
      </c>
      <c r="G35" s="18">
        <f ca="1">SUMIFS(OFFSET('BPC Data'!$F:$F,0,Summary!G$2),'BPC Data'!$E:$E,Summary!$D35,'BPC Data'!$B:$B,Summary!$C35)</f>
        <v>261974.04</v>
      </c>
      <c r="H35" s="92">
        <f ca="1">SUMIFS(OFFSET('BPC Data'!$F:$F,0,Summary!H$2),'BPC Data'!$E:$E,Summary!$D35,'BPC Data'!$B:$B,Summary!$C35)</f>
        <v>241842.54</v>
      </c>
      <c r="I35" s="18">
        <f ca="1">SUMIFS(OFFSET('BPC Data'!$F:$F,0,Summary!I$2),'BPC Data'!$E:$E,Summary!$D35,'BPC Data'!$B:$B,Summary!$C35)</f>
        <v>285304.55</v>
      </c>
      <c r="J35" s="92">
        <f ca="1">SUMIFS(OFFSET('BPC Data'!$F:$F,0,Summary!J$2),'BPC Data'!$E:$E,Summary!$D35,'BPC Data'!$B:$B,Summary!$C35)</f>
        <v>142783.01</v>
      </c>
      <c r="K35" s="18">
        <f ca="1">SUMIFS(OFFSET('BPC Data'!$F:$F,0,Summary!K$2),'BPC Data'!$E:$E,Summary!$D35,'BPC Data'!$B:$B,Summary!$C35)</f>
        <v>140276.31</v>
      </c>
      <c r="L35" s="92">
        <f ca="1">SUMIFS(OFFSET('BPC Data'!$F:$F,0,Summary!L$2),'BPC Data'!$E:$E,Summary!$D35,'BPC Data'!$B:$B,Summary!$C35)</f>
        <v>38903.94</v>
      </c>
      <c r="M35" s="32">
        <f t="shared" ca="1" si="16"/>
        <v>1111084.3899999999</v>
      </c>
      <c r="N35" s="110">
        <f>Bellefontaine!O455-Bellefontaine!O446-Bellefontaine!O445-Bellefontaine!O444-Bellefontaine!O443-Bellefontaine!O422-Bellefontaine!O414-Bellefontaine!O413-Bellefontaine!O450-Bellefontaine!O449-Bellefontaine!O448+N36</f>
        <v>1111084.3899999999</v>
      </c>
      <c r="O35" s="106">
        <f t="shared" ca="1" si="4"/>
        <v>0</v>
      </c>
    </row>
    <row r="36" spans="1:15" s="16" customFormat="1" x14ac:dyDescent="0.25">
      <c r="A36" s="16">
        <f t="shared" si="15"/>
        <v>3</v>
      </c>
      <c r="B36"/>
      <c r="C36" t="str">
        <f>$F31</f>
        <v>Bellefontaine Gardens</v>
      </c>
      <c r="D36" s="3" t="str">
        <f t="shared" si="10"/>
        <v>T_BAD_DEBT - Tenant Bad Debt Expense</v>
      </c>
      <c r="E36"/>
      <c r="F36" s="22" t="str">
        <f>_xll.EVDES(D36)</f>
        <v>Tenant Bad Debt Expense</v>
      </c>
      <c r="G36" s="18">
        <f ca="1">SUMIFS(OFFSET('BPC Data'!$F:$F,0,Summary!G$2),'BPC Data'!$E:$E,Summary!$D36,'BPC Data'!$B:$B,Summary!$C36)</f>
        <v>10472.129999999999</v>
      </c>
      <c r="H36" s="92">
        <f ca="1">SUMIFS(OFFSET('BPC Data'!$F:$F,0,Summary!H$2),'BPC Data'!$E:$E,Summary!$D36,'BPC Data'!$B:$B,Summary!$C36)</f>
        <v>12327.13</v>
      </c>
      <c r="I36" s="18">
        <f ca="1">SUMIFS(OFFSET('BPC Data'!$F:$F,0,Summary!I$2),'BPC Data'!$E:$E,Summary!$D36,'BPC Data'!$B:$B,Summary!$C36)</f>
        <v>11250.13</v>
      </c>
      <c r="J36" s="92">
        <f ca="1">SUMIFS(OFFSET('BPC Data'!$F:$F,0,Summary!J$2),'BPC Data'!$E:$E,Summary!$D36,'BPC Data'!$B:$B,Summary!$C36)</f>
        <v>10472.129999999999</v>
      </c>
      <c r="K36" s="18">
        <f ca="1">SUMIFS(OFFSET('BPC Data'!$F:$F,0,Summary!K$2),'BPC Data'!$E:$E,Summary!$D36,'BPC Data'!$B:$B,Summary!$C36)</f>
        <v>10472.129999999999</v>
      </c>
      <c r="L36" s="92">
        <f ca="1">SUMIFS(OFFSET('BPC Data'!$F:$F,0,Summary!L$2),'BPC Data'!$E:$E,Summary!$D36,'BPC Data'!$B:$B,Summary!$C36)</f>
        <v>10472.129999999999</v>
      </c>
      <c r="M36" s="32">
        <f t="shared" ca="1" si="16"/>
        <v>65465.779999999992</v>
      </c>
      <c r="N36" s="110">
        <f>-(Bellefontaine!O142+Bellefontaine!O143)</f>
        <v>65465.779999999992</v>
      </c>
      <c r="O36" s="106">
        <f t="shared" ca="1" si="4"/>
        <v>0</v>
      </c>
    </row>
    <row r="37" spans="1:15" s="16" customFormat="1" x14ac:dyDescent="0.25">
      <c r="A37" s="16">
        <f t="shared" si="15"/>
        <v>3</v>
      </c>
      <c r="B37"/>
      <c r="C37" t="str">
        <f>$F31</f>
        <v>Bellefontaine Gardens</v>
      </c>
      <c r="D37" s="2" t="str">
        <f t="shared" si="10"/>
        <v>T_EBITDARM - EBITDARM</v>
      </c>
      <c r="E37"/>
      <c r="F37" s="22" t="str">
        <f>_xll.EVDES(D37)</f>
        <v>EBITDARM</v>
      </c>
      <c r="G37" s="18">
        <f ca="1">SUMIFS(OFFSET('BPC Data'!$F:$F,0,Summary!G$2),'BPC Data'!$E:$E,Summary!$D37,'BPC Data'!$B:$B,Summary!$C37)</f>
        <v>7554.78</v>
      </c>
      <c r="H37" s="92">
        <f ca="1">SUMIFS(OFFSET('BPC Data'!$F:$F,0,Summary!H$2),'BPC Data'!$E:$E,Summary!$D37,'BPC Data'!$B:$B,Summary!$C37)</f>
        <v>11341.5900000001</v>
      </c>
      <c r="I37" s="18">
        <f ca="1">SUMIFS(OFFSET('BPC Data'!$F:$F,0,Summary!I$2),'BPC Data'!$E:$E,Summary!$D37,'BPC Data'!$B:$B,Summary!$C37)</f>
        <v>20536.629999999899</v>
      </c>
      <c r="J37" s="92">
        <f ca="1">SUMIFS(OFFSET('BPC Data'!$F:$F,0,Summary!J$2),'BPC Data'!$E:$E,Summary!$D37,'BPC Data'!$B:$B,Summary!$C37)</f>
        <v>-116362.42</v>
      </c>
      <c r="K37" s="18">
        <f ca="1">SUMIFS(OFFSET('BPC Data'!$F:$F,0,Summary!K$2),'BPC Data'!$E:$E,Summary!$D37,'BPC Data'!$B:$B,Summary!$C37)</f>
        <v>-127547.36</v>
      </c>
      <c r="L37" s="92">
        <f ca="1">SUMIFS(OFFSET('BPC Data'!$F:$F,0,Summary!L$2),'BPC Data'!$E:$E,Summary!$D37,'BPC Data'!$B:$B,Summary!$C37)</f>
        <v>-25945.64</v>
      </c>
      <c r="M37" s="32">
        <f t="shared" ca="1" si="16"/>
        <v>-230422.41999999998</v>
      </c>
      <c r="N37" s="110">
        <f>N34-N35</f>
        <v>-230422.41999999981</v>
      </c>
      <c r="O37" s="106">
        <f t="shared" ca="1" si="4"/>
        <v>0</v>
      </c>
    </row>
    <row r="38" spans="1:15" s="16" customFormat="1" x14ac:dyDescent="0.25">
      <c r="A38" s="16">
        <f t="shared" si="15"/>
        <v>3</v>
      </c>
      <c r="B38"/>
      <c r="C38" t="str">
        <f>$F31</f>
        <v>Bellefontaine Gardens</v>
      </c>
      <c r="D38" s="2" t="str">
        <f t="shared" si="10"/>
        <v>T_MGMT_FEE - Tenant Management Fee - Actual</v>
      </c>
      <c r="E38"/>
      <c r="F38" s="22" t="str">
        <f>_xll.EVDES(D38)</f>
        <v>Tenant Management Fee - Actual</v>
      </c>
      <c r="G38" s="18">
        <f ca="1">SUMIFS(OFFSET('BPC Data'!$F:$F,0,Summary!G$2),'BPC Data'!$E:$E,Summary!$D38,'BPC Data'!$B:$B,Summary!$C38)</f>
        <v>19265.310000000001</v>
      </c>
      <c r="H38" s="92">
        <f ca="1">SUMIFS(OFFSET('BPC Data'!$F:$F,0,Summary!H$2),'BPC Data'!$E:$E,Summary!$D38,'BPC Data'!$B:$B,Summary!$C38)</f>
        <v>17201.54</v>
      </c>
      <c r="I38" s="18">
        <f ca="1">SUMIFS(OFFSET('BPC Data'!$F:$F,0,Summary!I$2),'BPC Data'!$E:$E,Summary!$D38,'BPC Data'!$B:$B,Summary!$C38)</f>
        <v>19612.27</v>
      </c>
      <c r="J38" s="92">
        <f ca="1">SUMIFS(OFFSET('BPC Data'!$F:$F,0,Summary!J$2),'BPC Data'!$E:$E,Summary!$D38,'BPC Data'!$B:$B,Summary!$C38)</f>
        <v>0</v>
      </c>
      <c r="K38" s="18">
        <f ca="1">SUMIFS(OFFSET('BPC Data'!$F:$F,0,Summary!K$2),'BPC Data'!$E:$E,Summary!$D38,'BPC Data'!$B:$B,Summary!$C38)</f>
        <v>0</v>
      </c>
      <c r="L38" s="92">
        <f ca="1">SUMIFS(OFFSET('BPC Data'!$F:$F,0,Summary!L$2),'BPC Data'!$E:$E,Summary!$D38,'BPC Data'!$B:$B,Summary!$C38)</f>
        <v>0</v>
      </c>
      <c r="M38" s="32">
        <f t="shared" ca="1" si="16"/>
        <v>56079.12000000001</v>
      </c>
      <c r="N38" s="110">
        <f>Bellefontaine!O443+Bellefontaine!O422</f>
        <v>56079.12</v>
      </c>
      <c r="O38" s="106">
        <f t="shared" ca="1" si="4"/>
        <v>0</v>
      </c>
    </row>
    <row r="39" spans="1:15" s="16" customFormat="1" x14ac:dyDescent="0.25">
      <c r="A39" s="16">
        <f t="shared" si="15"/>
        <v>3</v>
      </c>
      <c r="B39"/>
      <c r="C39" t="str">
        <f>$F31</f>
        <v>Bellefontaine Gardens</v>
      </c>
      <c r="D39" s="1" t="str">
        <f t="shared" si="10"/>
        <v>T_EBITDAR - EBITDAR</v>
      </c>
      <c r="E39"/>
      <c r="F39" s="22" t="str">
        <f>_xll.EVDES(D39)</f>
        <v>EBITDAR</v>
      </c>
      <c r="G39" s="18">
        <f ca="1">SUMIFS(OFFSET('BPC Data'!$F:$F,0,Summary!G$2),'BPC Data'!$E:$E,Summary!$D39,'BPC Data'!$B:$B,Summary!$C39)</f>
        <v>-11710.53</v>
      </c>
      <c r="H39" s="92">
        <f ca="1">SUMIFS(OFFSET('BPC Data'!$F:$F,0,Summary!H$2),'BPC Data'!$E:$E,Summary!$D39,'BPC Data'!$B:$B,Summary!$C39)</f>
        <v>-5859.9499999999498</v>
      </c>
      <c r="I39" s="18">
        <f ca="1">SUMIFS(OFFSET('BPC Data'!$F:$F,0,Summary!I$2),'BPC Data'!$E:$E,Summary!$D39,'BPC Data'!$B:$B,Summary!$C39)</f>
        <v>924.35999999994601</v>
      </c>
      <c r="J39" s="92">
        <f ca="1">SUMIFS(OFFSET('BPC Data'!$F:$F,0,Summary!J$2),'BPC Data'!$E:$E,Summary!$D39,'BPC Data'!$B:$B,Summary!$C39)</f>
        <v>-116362.42</v>
      </c>
      <c r="K39" s="18">
        <f ca="1">SUMIFS(OFFSET('BPC Data'!$F:$F,0,Summary!K$2),'BPC Data'!$E:$E,Summary!$D39,'BPC Data'!$B:$B,Summary!$C39)</f>
        <v>-127547.36</v>
      </c>
      <c r="L39" s="92">
        <f ca="1">SUMIFS(OFFSET('BPC Data'!$F:$F,0,Summary!L$2),'BPC Data'!$E:$E,Summary!$D39,'BPC Data'!$B:$B,Summary!$C39)</f>
        <v>-25945.64</v>
      </c>
      <c r="M39" s="32">
        <f t="shared" ca="1" si="16"/>
        <v>-286501.54000000004</v>
      </c>
      <c r="N39" s="110">
        <f>N37-N38</f>
        <v>-286501.5399999998</v>
      </c>
      <c r="O39" s="106">
        <f t="shared" ca="1" si="4"/>
        <v>0</v>
      </c>
    </row>
    <row r="40" spans="1:15" s="16" customFormat="1" x14ac:dyDescent="0.25">
      <c r="A40" s="16">
        <f t="shared" si="15"/>
        <v>3</v>
      </c>
      <c r="B40"/>
      <c r="C40" t="str">
        <f>$F31</f>
        <v>Bellefontaine Gardens</v>
      </c>
      <c r="D40" s="1" t="str">
        <f t="shared" si="10"/>
        <v>T_RENT_EXP - Tenant Rent Expense</v>
      </c>
      <c r="E40"/>
      <c r="F40" s="22" t="str">
        <f>_xll.EVDES(D40)</f>
        <v>Tenant Rent Expense</v>
      </c>
      <c r="G40" s="18">
        <f ca="1">SUMIFS(OFFSET('BPC Data'!$F:$F,0,Summary!G$2),'BPC Data'!$E:$E,Summary!$D40,'BPC Data'!$B:$B,Summary!$C40)</f>
        <v>42625.4</v>
      </c>
      <c r="H40" s="92">
        <f ca="1">SUMIFS(OFFSET('BPC Data'!$F:$F,0,Summary!H$2),'BPC Data'!$E:$E,Summary!$D40,'BPC Data'!$B:$B,Summary!$C40)</f>
        <v>42625.4</v>
      </c>
      <c r="I40" s="18">
        <f ca="1">SUMIFS(OFFSET('BPC Data'!$F:$F,0,Summary!I$2),'BPC Data'!$E:$E,Summary!$D40,'BPC Data'!$B:$B,Summary!$C40)</f>
        <v>46678.58</v>
      </c>
      <c r="J40" s="92">
        <f ca="1">SUMIFS(OFFSET('BPC Data'!$F:$F,0,Summary!J$2),'BPC Data'!$E:$E,Summary!$D40,'BPC Data'!$B:$B,Summary!$C40)</f>
        <v>44651.99</v>
      </c>
      <c r="K40" s="18">
        <f ca="1">SUMIFS(OFFSET('BPC Data'!$F:$F,0,Summary!K$2),'BPC Data'!$E:$E,Summary!$D40,'BPC Data'!$B:$B,Summary!$C40)</f>
        <v>44651.99</v>
      </c>
      <c r="L40" s="92">
        <f ca="1">SUMIFS(OFFSET('BPC Data'!$F:$F,0,Summary!L$2),'BPC Data'!$E:$E,Summary!$D40,'BPC Data'!$B:$B,Summary!$C40)</f>
        <v>44651.99</v>
      </c>
      <c r="M40" s="32">
        <f t="shared" ca="1" si="16"/>
        <v>265885.34999999998</v>
      </c>
      <c r="N40" s="110">
        <f>Bellefontaine!O446</f>
        <v>265885.34999999998</v>
      </c>
      <c r="O40" s="106">
        <f t="shared" ca="1" si="4"/>
        <v>0</v>
      </c>
    </row>
    <row r="41" spans="1:15" s="16" customFormat="1" x14ac:dyDescent="0.25">
      <c r="A41" s="16">
        <f t="shared" si="15"/>
        <v>3</v>
      </c>
      <c r="B41"/>
      <c r="C41"/>
      <c r="D41" s="1" t="str">
        <f t="shared" si="10"/>
        <v>x</v>
      </c>
      <c r="E41"/>
      <c r="F41" s="22" t="s">
        <v>0</v>
      </c>
      <c r="G41" s="11">
        <f t="shared" ref="G41:H41" ca="1" si="17">G39/G40</f>
        <v>-0.27473126351893473</v>
      </c>
      <c r="H41" s="93">
        <f t="shared" ca="1" si="17"/>
        <v>-0.13747554275150378</v>
      </c>
      <c r="I41" s="11">
        <f t="shared" ref="I41:J41" ca="1" si="18">I39/I40</f>
        <v>1.9802658949778378E-2</v>
      </c>
      <c r="J41" s="93">
        <f t="shared" ca="1" si="18"/>
        <v>-2.6059850859950475</v>
      </c>
      <c r="K41" s="11">
        <f t="shared" ref="K41:L41" ca="1" si="19">K39/K40</f>
        <v>-2.8564764974640551</v>
      </c>
      <c r="L41" s="93">
        <f t="shared" ca="1" si="19"/>
        <v>-0.58106346436071499</v>
      </c>
      <c r="M41" s="32">
        <f t="shared" ca="1" si="16"/>
        <v>-6.4359291951404769</v>
      </c>
      <c r="N41" s="110"/>
      <c r="O41" s="106">
        <f t="shared" ca="1" si="4"/>
        <v>6.4359291951404769</v>
      </c>
    </row>
    <row r="42" spans="1:15" s="16" customFormat="1" x14ac:dyDescent="0.25">
      <c r="A42" s="16">
        <f>IF(AND(D42&lt;&gt;"",C42=""),A41+1,A41)</f>
        <v>4</v>
      </c>
      <c r="B42" s="4"/>
      <c r="C42" s="4"/>
      <c r="D42" s="4" t="str">
        <f t="shared" si="10"/>
        <v>x</v>
      </c>
      <c r="E42" s="4"/>
      <c r="F42" s="21" t="str">
        <f>INDEX(PropertyList!$D:$D,MATCH(Summary!$A42,PropertyList!$C:$C,0))</f>
        <v>Current  River Nursing Center</v>
      </c>
      <c r="G42" s="10"/>
      <c r="H42" s="91"/>
      <c r="I42" s="10"/>
      <c r="J42" s="91"/>
      <c r="K42" s="10"/>
      <c r="L42" s="91"/>
      <c r="M42" s="32">
        <f t="shared" si="8"/>
        <v>0</v>
      </c>
      <c r="N42" s="110"/>
      <c r="O42" s="106">
        <f t="shared" si="4"/>
        <v>0</v>
      </c>
    </row>
    <row r="43" spans="1:15" s="16" customFormat="1" x14ac:dyDescent="0.25">
      <c r="A43" s="16">
        <f>IF(AND(F43&lt;&gt;"",D43=""),A42+1,A42)</f>
        <v>4</v>
      </c>
      <c r="C43" t="str">
        <f>$F42</f>
        <v>Current  River Nursing Center</v>
      </c>
      <c r="D43" s="3" t="str">
        <f t="shared" si="10"/>
        <v>PAY_PAT_DAYS - Total Payor Patient Days</v>
      </c>
      <c r="F43" s="22" t="str">
        <f>_xll.EVDES(D43)</f>
        <v>Total Payor Patient Days</v>
      </c>
      <c r="G43" s="18">
        <f ca="1">SUMIFS(OFFSET('BPC Data'!$F:$F,0,Summary!G$2),'BPC Data'!$E:$E,Summary!$D43,'BPC Data'!$B:$B,Summary!$C43)</f>
        <v>1455</v>
      </c>
      <c r="H43" s="92">
        <f ca="1">SUMIFS(OFFSET('BPC Data'!$F:$F,0,Summary!H$2),'BPC Data'!$E:$E,Summary!$D43,'BPC Data'!$B:$B,Summary!$C43)</f>
        <v>1322</v>
      </c>
      <c r="I43" s="18">
        <f ca="1">SUMIFS(OFFSET('BPC Data'!$F:$F,0,Summary!I$2),'BPC Data'!$E:$E,Summary!$D43,'BPC Data'!$B:$B,Summary!$C43)</f>
        <v>1357</v>
      </c>
      <c r="J43" s="92">
        <f ca="1">SUMIFS(OFFSET('BPC Data'!$F:$F,0,Summary!J$2),'BPC Data'!$E:$E,Summary!$D43,'BPC Data'!$B:$B,Summary!$C43)</f>
        <v>1144</v>
      </c>
      <c r="K43" s="18">
        <f ca="1">SUMIFS(OFFSET('BPC Data'!$F:$F,0,Summary!K$2),'BPC Data'!$E:$E,Summary!$D43,'BPC Data'!$B:$B,Summary!$C43)</f>
        <v>1157</v>
      </c>
      <c r="L43" s="92">
        <f ca="1">SUMIFS(OFFSET('BPC Data'!$F:$F,0,Summary!L$2),'BPC Data'!$E:$E,Summary!$D43,'BPC Data'!$B:$B,Summary!$C43)</f>
        <v>1117</v>
      </c>
      <c r="M43" s="32">
        <f ca="1">SUM(G43:L43)</f>
        <v>7552</v>
      </c>
      <c r="N43" s="110">
        <f>Current_River!O23</f>
        <v>7552</v>
      </c>
      <c r="O43" s="106">
        <f t="shared" ca="1" si="4"/>
        <v>0</v>
      </c>
    </row>
    <row r="44" spans="1:15" s="16" customFormat="1" x14ac:dyDescent="0.25">
      <c r="A44" s="16">
        <f t="shared" ref="A44:A52" si="20">IF(AND(F44&lt;&gt;"",D44=""),A43+1,A43)</f>
        <v>4</v>
      </c>
      <c r="C44" t="str">
        <f>$F42</f>
        <v>Current  River Nursing Center</v>
      </c>
      <c r="D44" s="3" t="str">
        <f t="shared" si="10"/>
        <v>A_BEDS_TOTAL - Total Available Beds</v>
      </c>
      <c r="F44" s="22" t="str">
        <f>_xll.EVDES(D44)</f>
        <v>Total Available Beds</v>
      </c>
      <c r="G44" s="18">
        <f ca="1">SUMIFS(OFFSET('BPC Data'!$F:$F,0,Summary!G$2),'BPC Data'!$E:$E,Summary!$D44,'BPC Data'!$B:$B,Summary!$C44)</f>
        <v>107</v>
      </c>
      <c r="H44" s="92">
        <f ca="1">SUMIFS(OFFSET('BPC Data'!$F:$F,0,Summary!H$2),'BPC Data'!$E:$E,Summary!$D44,'BPC Data'!$B:$B,Summary!$C44)</f>
        <v>107</v>
      </c>
      <c r="I44" s="18">
        <f ca="1">SUMIFS(OFFSET('BPC Data'!$F:$F,0,Summary!I$2),'BPC Data'!$E:$E,Summary!$D44,'BPC Data'!$B:$B,Summary!$C44)</f>
        <v>107</v>
      </c>
      <c r="J44" s="92">
        <f ca="1">SUMIFS(OFFSET('BPC Data'!$F:$F,0,Summary!J$2),'BPC Data'!$E:$E,Summary!$D44,'BPC Data'!$B:$B,Summary!$C44)</f>
        <v>107</v>
      </c>
      <c r="K44" s="18">
        <f ca="1">SUMIFS(OFFSET('BPC Data'!$F:$F,0,Summary!K$2),'BPC Data'!$E:$E,Summary!$D44,'BPC Data'!$B:$B,Summary!$C44)</f>
        <v>107</v>
      </c>
      <c r="L44" s="92">
        <f ca="1">SUMIFS(OFFSET('BPC Data'!$F:$F,0,Summary!L$2),'BPC Data'!$E:$E,Summary!$D44,'BPC Data'!$B:$B,Summary!$C44)</f>
        <v>107</v>
      </c>
      <c r="M44" s="32">
        <f ca="1">SUM(L44)</f>
        <v>107</v>
      </c>
      <c r="N44" s="110"/>
      <c r="O44" s="106"/>
    </row>
    <row r="45" spans="1:15" s="16" customFormat="1" x14ac:dyDescent="0.25">
      <c r="A45" s="16">
        <f t="shared" si="20"/>
        <v>4</v>
      </c>
      <c r="B45"/>
      <c r="C45" t="str">
        <f>$F42</f>
        <v>Current  River Nursing Center</v>
      </c>
      <c r="D45" s="3" t="str">
        <f t="shared" si="10"/>
        <v>T_REVENUES - Total Tenant Revenues</v>
      </c>
      <c r="E45"/>
      <c r="F45" s="22" t="str">
        <f>_xll.EVDES(D45)</f>
        <v>Total Tenant Revenues</v>
      </c>
      <c r="G45" s="18">
        <f ca="1">SUMIFS(OFFSET('BPC Data'!$F:$F,0,Summary!G$2),'BPC Data'!$E:$E,Summary!$D45,'BPC Data'!$B:$B,Summary!$C45)</f>
        <v>327030.90000000002</v>
      </c>
      <c r="H45" s="92">
        <f ca="1">SUMIFS(OFFSET('BPC Data'!$F:$F,0,Summary!H$2),'BPC Data'!$E:$E,Summary!$D45,'BPC Data'!$B:$B,Summary!$C45)</f>
        <v>298868.07</v>
      </c>
      <c r="I45" s="18">
        <f ca="1">SUMIFS(OFFSET('BPC Data'!$F:$F,0,Summary!I$2),'BPC Data'!$E:$E,Summary!$D45,'BPC Data'!$B:$B,Summary!$C45)</f>
        <v>337379.85</v>
      </c>
      <c r="J45" s="92">
        <f ca="1">SUMIFS(OFFSET('BPC Data'!$F:$F,0,Summary!J$2),'BPC Data'!$E:$E,Summary!$D45,'BPC Data'!$B:$B,Summary!$C45)</f>
        <v>252983.63</v>
      </c>
      <c r="K45" s="18">
        <f ca="1">SUMIFS(OFFSET('BPC Data'!$F:$F,0,Summary!K$2),'BPC Data'!$E:$E,Summary!$D45,'BPC Data'!$B:$B,Summary!$C45)</f>
        <v>259827.76</v>
      </c>
      <c r="L45" s="92">
        <f ca="1">SUMIFS(OFFSET('BPC Data'!$F:$F,0,Summary!L$2),'BPC Data'!$E:$E,Summary!$D45,'BPC Data'!$B:$B,Summary!$C45)</f>
        <v>240486.61</v>
      </c>
      <c r="M45" s="32">
        <f t="shared" ref="M45:M52" ca="1" si="21">SUM(G45:L45)</f>
        <v>1716576.8199999998</v>
      </c>
      <c r="N45" s="110">
        <f>Current_River!O150-Current_River!O143-Current_River!O142</f>
        <v>1716576.8199999998</v>
      </c>
      <c r="O45" s="106">
        <f t="shared" ca="1" si="4"/>
        <v>0</v>
      </c>
    </row>
    <row r="46" spans="1:15" s="16" customFormat="1" x14ac:dyDescent="0.25">
      <c r="A46" s="16">
        <f t="shared" si="20"/>
        <v>4</v>
      </c>
      <c r="B46"/>
      <c r="C46" t="str">
        <f>$F42</f>
        <v>Current  River Nursing Center</v>
      </c>
      <c r="D46" s="3" t="str">
        <f t="shared" si="10"/>
        <v>T_OPEX - Tenant Operating Expenses</v>
      </c>
      <c r="E46"/>
      <c r="F46" s="22" t="str">
        <f>_xll.EVDES(D46)</f>
        <v>Tenant Operating Expenses</v>
      </c>
      <c r="G46" s="18">
        <f ca="1">SUMIFS(OFFSET('BPC Data'!$F:$F,0,Summary!G$2),'BPC Data'!$E:$E,Summary!$D46,'BPC Data'!$B:$B,Summary!$C46)</f>
        <v>290984.03000000003</v>
      </c>
      <c r="H46" s="92">
        <f ca="1">SUMIFS(OFFSET('BPC Data'!$F:$F,0,Summary!H$2),'BPC Data'!$E:$E,Summary!$D46,'BPC Data'!$B:$B,Summary!$C46)</f>
        <v>253519.77</v>
      </c>
      <c r="I46" s="18">
        <f ca="1">SUMIFS(OFFSET('BPC Data'!$F:$F,0,Summary!I$2),'BPC Data'!$E:$E,Summary!$D46,'BPC Data'!$B:$B,Summary!$C46)</f>
        <v>277734.23</v>
      </c>
      <c r="J46" s="92">
        <f ca="1">SUMIFS(OFFSET('BPC Data'!$F:$F,0,Summary!J$2),'BPC Data'!$E:$E,Summary!$D46,'BPC Data'!$B:$B,Summary!$C46)</f>
        <v>234956.28</v>
      </c>
      <c r="K46" s="18">
        <f ca="1">SUMIFS(OFFSET('BPC Data'!$F:$F,0,Summary!K$2),'BPC Data'!$E:$E,Summary!$D46,'BPC Data'!$B:$B,Summary!$C46)</f>
        <v>281056.38</v>
      </c>
      <c r="L46" s="92">
        <f ca="1">SUMIFS(OFFSET('BPC Data'!$F:$F,0,Summary!L$2),'BPC Data'!$E:$E,Summary!$D46,'BPC Data'!$B:$B,Summary!$C46)</f>
        <v>229463</v>
      </c>
      <c r="M46" s="32">
        <f t="shared" ca="1" si="21"/>
        <v>1567713.69</v>
      </c>
      <c r="N46" s="110">
        <f>Current_River!O455-Current_River!O450-Current_River!O449-Current_River!O448-Current_River!O446-Current_River!O445-Current_River!O444-Current_River!O443-Current_River!O437-Current_River!O422-Current_River!O414-Current_River!O413+N47</f>
        <v>1567713.6899999997</v>
      </c>
      <c r="O46" s="106">
        <f t="shared" ca="1" si="4"/>
        <v>0</v>
      </c>
    </row>
    <row r="47" spans="1:15" s="16" customFormat="1" x14ac:dyDescent="0.25">
      <c r="A47" s="16">
        <f t="shared" si="20"/>
        <v>4</v>
      </c>
      <c r="B47"/>
      <c r="C47" t="str">
        <f>$F42</f>
        <v>Current  River Nursing Center</v>
      </c>
      <c r="D47" s="3" t="str">
        <f t="shared" si="10"/>
        <v>T_BAD_DEBT - Tenant Bad Debt Expense</v>
      </c>
      <c r="E47"/>
      <c r="F47" s="22" t="str">
        <f>_xll.EVDES(D47)</f>
        <v>Tenant Bad Debt Expense</v>
      </c>
      <c r="G47" s="18">
        <f ca="1">SUMIFS(OFFSET('BPC Data'!$F:$F,0,Summary!G$2),'BPC Data'!$E:$E,Summary!$D47,'BPC Data'!$B:$B,Summary!$C47)</f>
        <v>19829.650000000001</v>
      </c>
      <c r="H47" s="92">
        <f ca="1">SUMIFS(OFFSET('BPC Data'!$F:$F,0,Summary!H$2),'BPC Data'!$E:$E,Summary!$D47,'BPC Data'!$B:$B,Summary!$C47)</f>
        <v>13337.15</v>
      </c>
      <c r="I47" s="18">
        <f ca="1">SUMIFS(OFFSET('BPC Data'!$F:$F,0,Summary!I$2),'BPC Data'!$E:$E,Summary!$D47,'BPC Data'!$B:$B,Summary!$C47)</f>
        <v>16088.65</v>
      </c>
      <c r="J47" s="92">
        <f ca="1">SUMIFS(OFFSET('BPC Data'!$F:$F,0,Summary!J$2),'BPC Data'!$E:$E,Summary!$D47,'BPC Data'!$B:$B,Summary!$C47)</f>
        <v>14143.65</v>
      </c>
      <c r="K47" s="18">
        <f ca="1">SUMIFS(OFFSET('BPC Data'!$F:$F,0,Summary!K$2),'BPC Data'!$E:$E,Summary!$D47,'BPC Data'!$B:$B,Summary!$C47)</f>
        <v>22118.15</v>
      </c>
      <c r="L47" s="92">
        <f ca="1">SUMIFS(OFFSET('BPC Data'!$F:$F,0,Summary!L$2),'BPC Data'!$E:$E,Summary!$D47,'BPC Data'!$B:$B,Summary!$C47)</f>
        <v>8503.15</v>
      </c>
      <c r="M47" s="32">
        <f t="shared" ca="1" si="21"/>
        <v>94020.4</v>
      </c>
      <c r="N47" s="110">
        <f>-(Current_River!O143+Current_River!O142)</f>
        <v>94020.4</v>
      </c>
      <c r="O47" s="106">
        <f t="shared" ca="1" si="4"/>
        <v>0</v>
      </c>
    </row>
    <row r="48" spans="1:15" s="16" customFormat="1" x14ac:dyDescent="0.25">
      <c r="A48" s="16">
        <f t="shared" si="20"/>
        <v>4</v>
      </c>
      <c r="B48"/>
      <c r="C48" t="str">
        <f>$F42</f>
        <v>Current  River Nursing Center</v>
      </c>
      <c r="D48" s="2" t="str">
        <f t="shared" si="10"/>
        <v>T_EBITDARM - EBITDARM</v>
      </c>
      <c r="E48"/>
      <c r="F48" s="22" t="str">
        <f>_xll.EVDES(D48)</f>
        <v>EBITDARM</v>
      </c>
      <c r="G48" s="18">
        <f ca="1">SUMIFS(OFFSET('BPC Data'!$F:$F,0,Summary!G$2),'BPC Data'!$E:$E,Summary!$D48,'BPC Data'!$B:$B,Summary!$C48)</f>
        <v>36046.870000000097</v>
      </c>
      <c r="H48" s="92">
        <f ca="1">SUMIFS(OFFSET('BPC Data'!$F:$F,0,Summary!H$2),'BPC Data'!$E:$E,Summary!$D48,'BPC Data'!$B:$B,Summary!$C48)</f>
        <v>45348.3</v>
      </c>
      <c r="I48" s="18">
        <f ca="1">SUMIFS(OFFSET('BPC Data'!$F:$F,0,Summary!I$2),'BPC Data'!$E:$E,Summary!$D48,'BPC Data'!$B:$B,Summary!$C48)</f>
        <v>59645.62</v>
      </c>
      <c r="J48" s="92">
        <f ca="1">SUMIFS(OFFSET('BPC Data'!$F:$F,0,Summary!J$2),'BPC Data'!$E:$E,Summary!$D48,'BPC Data'!$B:$B,Summary!$C48)</f>
        <v>18027.349999999999</v>
      </c>
      <c r="K48" s="18">
        <f ca="1">SUMIFS(OFFSET('BPC Data'!$F:$F,0,Summary!K$2),'BPC Data'!$E:$E,Summary!$D48,'BPC Data'!$B:$B,Summary!$C48)</f>
        <v>-21228.619999999901</v>
      </c>
      <c r="L48" s="92">
        <f ca="1">SUMIFS(OFFSET('BPC Data'!$F:$F,0,Summary!L$2),'BPC Data'!$E:$E,Summary!$D48,'BPC Data'!$B:$B,Summary!$C48)</f>
        <v>11023.61</v>
      </c>
      <c r="M48" s="32">
        <f t="shared" ca="1" si="21"/>
        <v>148863.13000000018</v>
      </c>
      <c r="N48" s="110">
        <f>N45-N46</f>
        <v>148863.13000000012</v>
      </c>
      <c r="O48" s="106">
        <f t="shared" ca="1" si="4"/>
        <v>0</v>
      </c>
    </row>
    <row r="49" spans="1:15" s="16" customFormat="1" x14ac:dyDescent="0.25">
      <c r="A49" s="16">
        <f t="shared" si="20"/>
        <v>4</v>
      </c>
      <c r="B49"/>
      <c r="C49" t="str">
        <f>$F42</f>
        <v>Current  River Nursing Center</v>
      </c>
      <c r="D49" s="2" t="str">
        <f t="shared" si="10"/>
        <v>T_MGMT_FEE - Tenant Management Fee - Actual</v>
      </c>
      <c r="E49"/>
      <c r="F49" s="22" t="str">
        <f>_xll.EVDES(D49)</f>
        <v>Tenant Management Fee - Actual</v>
      </c>
      <c r="G49" s="18">
        <f ca="1">SUMIFS(OFFSET('BPC Data'!$F:$F,0,Summary!G$2),'BPC Data'!$E:$E,Summary!$D49,'BPC Data'!$B:$B,Summary!$C49)</f>
        <v>23651.17</v>
      </c>
      <c r="H49" s="92">
        <f ca="1">SUMIFS(OFFSET('BPC Data'!$F:$F,0,Summary!H$2),'BPC Data'!$E:$E,Summary!$D49,'BPC Data'!$B:$B,Summary!$C49)</f>
        <v>21209.45</v>
      </c>
      <c r="I49" s="18">
        <f ca="1">SUMIFS(OFFSET('BPC Data'!$F:$F,0,Summary!I$2),'BPC Data'!$E:$E,Summary!$D49,'BPC Data'!$B:$B,Summary!$C49)</f>
        <v>22534.38</v>
      </c>
      <c r="J49" s="92">
        <f ca="1">SUMIFS(OFFSET('BPC Data'!$F:$F,0,Summary!J$2),'BPC Data'!$E:$E,Summary!$D49,'BPC Data'!$B:$B,Summary!$C49)</f>
        <v>17588.259999999998</v>
      </c>
      <c r="K49" s="18">
        <f ca="1">SUMIFS(OFFSET('BPC Data'!$F:$F,0,Summary!K$2),'BPC Data'!$E:$E,Summary!$D49,'BPC Data'!$B:$B,Summary!$C49)</f>
        <v>17961.72</v>
      </c>
      <c r="L49" s="92">
        <f ca="1">SUMIFS(OFFSET('BPC Data'!$F:$F,0,Summary!L$2),'BPC Data'!$E:$E,Summary!$D49,'BPC Data'!$B:$B,Summary!$C49)</f>
        <v>16512.62</v>
      </c>
      <c r="M49" s="32">
        <f t="shared" ca="1" si="21"/>
        <v>119457.59999999999</v>
      </c>
      <c r="N49" s="110">
        <f>Current_River!O443+Current_River!O422</f>
        <v>119457.60000000001</v>
      </c>
      <c r="O49" s="106">
        <f t="shared" ca="1" si="4"/>
        <v>0</v>
      </c>
    </row>
    <row r="50" spans="1:15" s="16" customFormat="1" x14ac:dyDescent="0.25">
      <c r="A50" s="16">
        <f t="shared" si="20"/>
        <v>4</v>
      </c>
      <c r="B50"/>
      <c r="C50" t="str">
        <f>$F42</f>
        <v>Current  River Nursing Center</v>
      </c>
      <c r="D50" s="1" t="str">
        <f t="shared" si="10"/>
        <v>T_EBITDAR - EBITDAR</v>
      </c>
      <c r="E50"/>
      <c r="F50" s="22" t="str">
        <f>_xll.EVDES(D50)</f>
        <v>EBITDAR</v>
      </c>
      <c r="G50" s="18">
        <f ca="1">SUMIFS(OFFSET('BPC Data'!$F:$F,0,Summary!G$2),'BPC Data'!$E:$E,Summary!$D50,'BPC Data'!$B:$B,Summary!$C50)</f>
        <v>12395.700000000101</v>
      </c>
      <c r="H50" s="92">
        <f ca="1">SUMIFS(OFFSET('BPC Data'!$F:$F,0,Summary!H$2),'BPC Data'!$E:$E,Summary!$D50,'BPC Data'!$B:$B,Summary!$C50)</f>
        <v>24138.85</v>
      </c>
      <c r="I50" s="18">
        <f ca="1">SUMIFS(OFFSET('BPC Data'!$F:$F,0,Summary!I$2),'BPC Data'!$E:$E,Summary!$D50,'BPC Data'!$B:$B,Summary!$C50)</f>
        <v>37111.24</v>
      </c>
      <c r="J50" s="92">
        <f ca="1">SUMIFS(OFFSET('BPC Data'!$F:$F,0,Summary!J$2),'BPC Data'!$E:$E,Summary!$D50,'BPC Data'!$B:$B,Summary!$C50)</f>
        <v>439.09000000000702</v>
      </c>
      <c r="K50" s="18">
        <f ca="1">SUMIFS(OFFSET('BPC Data'!$F:$F,0,Summary!K$2),'BPC Data'!$E:$E,Summary!$D50,'BPC Data'!$B:$B,Summary!$C50)</f>
        <v>-39190.339999999902</v>
      </c>
      <c r="L50" s="92">
        <f ca="1">SUMIFS(OFFSET('BPC Data'!$F:$F,0,Summary!L$2),'BPC Data'!$E:$E,Summary!$D50,'BPC Data'!$B:$B,Summary!$C50)</f>
        <v>-5489.0100000000102</v>
      </c>
      <c r="M50" s="32">
        <f t="shared" ca="1" si="21"/>
        <v>29405.530000000195</v>
      </c>
      <c r="N50" s="110">
        <f>N48-N49</f>
        <v>29405.530000000115</v>
      </c>
      <c r="O50" s="106">
        <f t="shared" ca="1" si="4"/>
        <v>-8.0035533756017685E-11</v>
      </c>
    </row>
    <row r="51" spans="1:15" s="16" customFormat="1" x14ac:dyDescent="0.25">
      <c r="A51" s="16">
        <f t="shared" si="20"/>
        <v>4</v>
      </c>
      <c r="B51"/>
      <c r="C51" t="str">
        <f>$F42</f>
        <v>Current  River Nursing Center</v>
      </c>
      <c r="D51" s="1" t="str">
        <f t="shared" si="10"/>
        <v>T_RENT_EXP - Tenant Rent Expense</v>
      </c>
      <c r="E51"/>
      <c r="F51" s="22" t="str">
        <f>_xll.EVDES(D51)</f>
        <v>Tenant Rent Expense</v>
      </c>
      <c r="G51" s="18">
        <f ca="1">SUMIFS(OFFSET('BPC Data'!$F:$F,0,Summary!G$2),'BPC Data'!$E:$E,Summary!$D51,'BPC Data'!$B:$B,Summary!$C51)</f>
        <v>70799.399999999994</v>
      </c>
      <c r="H51" s="92">
        <f ca="1">SUMIFS(OFFSET('BPC Data'!$F:$F,0,Summary!H$2),'BPC Data'!$E:$E,Summary!$D51,'BPC Data'!$B:$B,Summary!$C51)</f>
        <v>70799.399999999994</v>
      </c>
      <c r="I51" s="18">
        <f ca="1">SUMIFS(OFFSET('BPC Data'!$F:$F,0,Summary!I$2),'BPC Data'!$E:$E,Summary!$D51,'BPC Data'!$B:$B,Summary!$C51)</f>
        <v>77531.600000000006</v>
      </c>
      <c r="J51" s="92">
        <f ca="1">SUMIFS(OFFSET('BPC Data'!$F:$F,0,Summary!J$2),'BPC Data'!$E:$E,Summary!$D51,'BPC Data'!$B:$B,Summary!$C51)</f>
        <v>74165.5</v>
      </c>
      <c r="K51" s="18">
        <f ca="1">SUMIFS(OFFSET('BPC Data'!$F:$F,0,Summary!K$2),'BPC Data'!$E:$E,Summary!$D51,'BPC Data'!$B:$B,Summary!$C51)</f>
        <v>74165.5</v>
      </c>
      <c r="L51" s="92">
        <f ca="1">SUMIFS(OFFSET('BPC Data'!$F:$F,0,Summary!L$2),'BPC Data'!$E:$E,Summary!$D51,'BPC Data'!$B:$B,Summary!$C51)</f>
        <v>74165.5</v>
      </c>
      <c r="M51" s="32">
        <f t="shared" ca="1" si="21"/>
        <v>441626.9</v>
      </c>
      <c r="N51" s="110">
        <f>Current_River!O446</f>
        <v>441626.9</v>
      </c>
      <c r="O51" s="106">
        <f t="shared" ca="1" si="4"/>
        <v>0</v>
      </c>
    </row>
    <row r="52" spans="1:15" s="16" customFormat="1" x14ac:dyDescent="0.25">
      <c r="A52" s="16">
        <f t="shared" si="20"/>
        <v>4</v>
      </c>
      <c r="B52"/>
      <c r="C52"/>
      <c r="D52" s="1" t="str">
        <f t="shared" si="10"/>
        <v>x</v>
      </c>
      <c r="E52"/>
      <c r="F52" s="22" t="s">
        <v>0</v>
      </c>
      <c r="G52" s="11">
        <f t="shared" ref="G52:H52" ca="1" si="22">G50/G51</f>
        <v>0.17508199222027448</v>
      </c>
      <c r="H52" s="93">
        <f t="shared" ca="1" si="22"/>
        <v>0.34094709842173804</v>
      </c>
      <c r="I52" s="11">
        <f t="shared" ref="I52:J52" ca="1" si="23">I50/I51</f>
        <v>0.47865954011009698</v>
      </c>
      <c r="J52" s="93">
        <f t="shared" ca="1" si="23"/>
        <v>5.92040773675101E-3</v>
      </c>
      <c r="K52" s="11">
        <f t="shared" ref="K52:L52" ca="1" si="24">K50/K51</f>
        <v>-0.5284173908353601</v>
      </c>
      <c r="L52" s="93">
        <f t="shared" ca="1" si="24"/>
        <v>-7.4010287802280167E-2</v>
      </c>
      <c r="M52" s="32">
        <f t="shared" ca="1" si="21"/>
        <v>0.39818135985122016</v>
      </c>
      <c r="N52" s="110"/>
      <c r="O52" s="106">
        <f t="shared" ca="1" si="4"/>
        <v>-0.39818135985122016</v>
      </c>
    </row>
    <row r="53" spans="1:15" s="16" customFormat="1" x14ac:dyDescent="0.25">
      <c r="A53" s="16">
        <f>IF(AND(D53&lt;&gt;"",C53=""),A52+1,A52)</f>
        <v>5</v>
      </c>
      <c r="B53" s="4"/>
      <c r="C53" s="4"/>
      <c r="D53" s="4" t="str">
        <f t="shared" si="10"/>
        <v>x</v>
      </c>
      <c r="E53" s="4"/>
      <c r="F53" s="21" t="str">
        <f>INDEX(PropertyList!$D:$D,MATCH(Summary!$A53,PropertyList!$C:$C,0))</f>
        <v>Dixon Nursing &amp; Rehab</v>
      </c>
      <c r="G53" s="10"/>
      <c r="H53" s="91"/>
      <c r="I53" s="10"/>
      <c r="J53" s="91"/>
      <c r="K53" s="10"/>
      <c r="L53" s="91"/>
      <c r="M53" s="32">
        <f t="shared" si="8"/>
        <v>0</v>
      </c>
      <c r="N53" s="110"/>
      <c r="O53" s="106">
        <f t="shared" si="4"/>
        <v>0</v>
      </c>
    </row>
    <row r="54" spans="1:15" s="16" customFormat="1" x14ac:dyDescent="0.25">
      <c r="A54" s="16">
        <f>IF(AND(F54&lt;&gt;"",D54=""),A53+1,A53)</f>
        <v>5</v>
      </c>
      <c r="C54" t="str">
        <f>$F53</f>
        <v>Dixon Nursing &amp; Rehab</v>
      </c>
      <c r="D54" s="3" t="str">
        <f t="shared" si="10"/>
        <v>PAY_PAT_DAYS - Total Payor Patient Days</v>
      </c>
      <c r="F54" s="22" t="str">
        <f>_xll.EVDES(D54)</f>
        <v>Total Payor Patient Days</v>
      </c>
      <c r="G54" s="11">
        <f ca="1">SUMIFS(OFFSET('BPC Data'!$F:$F,0,Summary!G$2),'BPC Data'!$E:$E,Summary!$D54,'BPC Data'!$B:$B,Summary!$C54)</f>
        <v>1124</v>
      </c>
      <c r="H54" s="93">
        <f ca="1">SUMIFS(OFFSET('BPC Data'!$F:$F,0,Summary!H$2),'BPC Data'!$E:$E,Summary!$D54,'BPC Data'!$B:$B,Summary!$C54)</f>
        <v>1059</v>
      </c>
      <c r="I54" s="11">
        <f ca="1">SUMIFS(OFFSET('BPC Data'!$F:$F,0,Summary!I$2),'BPC Data'!$E:$E,Summary!$D54,'BPC Data'!$B:$B,Summary!$C54)</f>
        <v>1237</v>
      </c>
      <c r="J54" s="93">
        <f ca="1">SUMIFS(OFFSET('BPC Data'!$F:$F,0,Summary!J$2),'BPC Data'!$E:$E,Summary!$D54,'BPC Data'!$B:$B,Summary!$C54)</f>
        <v>1344</v>
      </c>
      <c r="K54" s="11">
        <f ca="1">SUMIFS(OFFSET('BPC Data'!$F:$F,0,Summary!K$2),'BPC Data'!$E:$E,Summary!$D54,'BPC Data'!$B:$B,Summary!$C54)</f>
        <v>1327</v>
      </c>
      <c r="L54" s="93">
        <f ca="1">SUMIFS(OFFSET('BPC Data'!$F:$F,0,Summary!L$2),'BPC Data'!$E:$E,Summary!$D54,'BPC Data'!$B:$B,Summary!$C54)</f>
        <v>1278</v>
      </c>
      <c r="M54" s="32">
        <f ca="1">SUM(G54:L54)</f>
        <v>7369</v>
      </c>
      <c r="N54" s="110">
        <f>Dixon!O23</f>
        <v>7369</v>
      </c>
      <c r="O54" s="106">
        <f t="shared" ca="1" si="4"/>
        <v>0</v>
      </c>
    </row>
    <row r="55" spans="1:15" s="16" customFormat="1" x14ac:dyDescent="0.25">
      <c r="A55" s="16">
        <f t="shared" ref="A55:A63" si="25">IF(AND(F55&lt;&gt;"",D55=""),A54+1,A54)</f>
        <v>5</v>
      </c>
      <c r="C55" t="str">
        <f>$F53</f>
        <v>Dixon Nursing &amp; Rehab</v>
      </c>
      <c r="D55" s="3" t="str">
        <f t="shared" si="10"/>
        <v>A_BEDS_TOTAL - Total Available Beds</v>
      </c>
      <c r="F55" s="22" t="str">
        <f>_xll.EVDES(D55)</f>
        <v>Total Available Beds</v>
      </c>
      <c r="G55" s="11">
        <f ca="1">SUMIFS(OFFSET('BPC Data'!$F:$F,0,Summary!G$2),'BPC Data'!$E:$E,Summary!$D55,'BPC Data'!$B:$B,Summary!$C55)</f>
        <v>58</v>
      </c>
      <c r="H55" s="93">
        <f ca="1">SUMIFS(OFFSET('BPC Data'!$F:$F,0,Summary!H$2),'BPC Data'!$E:$E,Summary!$D55,'BPC Data'!$B:$B,Summary!$C55)</f>
        <v>58</v>
      </c>
      <c r="I55" s="11">
        <f ca="1">SUMIFS(OFFSET('BPC Data'!$F:$F,0,Summary!I$2),'BPC Data'!$E:$E,Summary!$D55,'BPC Data'!$B:$B,Summary!$C55)</f>
        <v>58</v>
      </c>
      <c r="J55" s="93">
        <f ca="1">SUMIFS(OFFSET('BPC Data'!$F:$F,0,Summary!J$2),'BPC Data'!$E:$E,Summary!$D55,'BPC Data'!$B:$B,Summary!$C55)</f>
        <v>58</v>
      </c>
      <c r="K55" s="11">
        <f ca="1">SUMIFS(OFFSET('BPC Data'!$F:$F,0,Summary!K$2),'BPC Data'!$E:$E,Summary!$D55,'BPC Data'!$B:$B,Summary!$C55)</f>
        <v>58</v>
      </c>
      <c r="L55" s="93">
        <f ca="1">SUMIFS(OFFSET('BPC Data'!$F:$F,0,Summary!L$2),'BPC Data'!$E:$E,Summary!$D55,'BPC Data'!$B:$B,Summary!$C55)</f>
        <v>58</v>
      </c>
      <c r="M55" s="32">
        <f ca="1">SUM(L55)</f>
        <v>58</v>
      </c>
      <c r="N55" s="110"/>
      <c r="O55" s="106"/>
    </row>
    <row r="56" spans="1:15" s="16" customFormat="1" x14ac:dyDescent="0.25">
      <c r="A56" s="16">
        <f t="shared" si="25"/>
        <v>5</v>
      </c>
      <c r="B56"/>
      <c r="C56" t="str">
        <f>$F53</f>
        <v>Dixon Nursing &amp; Rehab</v>
      </c>
      <c r="D56" s="3" t="str">
        <f t="shared" si="10"/>
        <v>T_REVENUES - Total Tenant Revenues</v>
      </c>
      <c r="E56"/>
      <c r="F56" s="22" t="str">
        <f>_xll.EVDES(D56)</f>
        <v>Total Tenant Revenues</v>
      </c>
      <c r="G56" s="11">
        <f ca="1">SUMIFS(OFFSET('BPC Data'!$F:$F,0,Summary!G$2),'BPC Data'!$E:$E,Summary!$D56,'BPC Data'!$B:$B,Summary!$C56)</f>
        <v>213055.17</v>
      </c>
      <c r="H56" s="93">
        <f ca="1">SUMIFS(OFFSET('BPC Data'!$F:$F,0,Summary!H$2),'BPC Data'!$E:$E,Summary!$D56,'BPC Data'!$B:$B,Summary!$C56)</f>
        <v>222138.5</v>
      </c>
      <c r="I56" s="11">
        <f ca="1">SUMIFS(OFFSET('BPC Data'!$F:$F,0,Summary!I$2),'BPC Data'!$E:$E,Summary!$D56,'BPC Data'!$B:$B,Summary!$C56)</f>
        <v>235484.64</v>
      </c>
      <c r="J56" s="93">
        <f ca="1">SUMIFS(OFFSET('BPC Data'!$F:$F,0,Summary!J$2),'BPC Data'!$E:$E,Summary!$D56,'BPC Data'!$B:$B,Summary!$C56)</f>
        <v>260728.88</v>
      </c>
      <c r="K56" s="11">
        <f ca="1">SUMIFS(OFFSET('BPC Data'!$F:$F,0,Summary!K$2),'BPC Data'!$E:$E,Summary!$D56,'BPC Data'!$B:$B,Summary!$C56)</f>
        <v>261741.84</v>
      </c>
      <c r="L56" s="93">
        <f ca="1">SUMIFS(OFFSET('BPC Data'!$F:$F,0,Summary!L$2),'BPC Data'!$E:$E,Summary!$D56,'BPC Data'!$B:$B,Summary!$C56)</f>
        <v>248812.94</v>
      </c>
      <c r="M56" s="32">
        <f t="shared" ref="M56:M63" ca="1" si="26">SUM(G56:L56)</f>
        <v>1441961.97</v>
      </c>
      <c r="N56" s="110">
        <f>Dixon!O150-Dixon!O142</f>
        <v>1441961.9699999997</v>
      </c>
      <c r="O56" s="106">
        <f t="shared" ca="1" si="4"/>
        <v>0</v>
      </c>
    </row>
    <row r="57" spans="1:15" s="16" customFormat="1" x14ac:dyDescent="0.25">
      <c r="A57" s="16">
        <f t="shared" si="25"/>
        <v>5</v>
      </c>
      <c r="B57"/>
      <c r="C57" t="str">
        <f>$F53</f>
        <v>Dixon Nursing &amp; Rehab</v>
      </c>
      <c r="D57" s="3" t="str">
        <f t="shared" si="10"/>
        <v>T_OPEX - Tenant Operating Expenses</v>
      </c>
      <c r="E57"/>
      <c r="F57" s="22" t="str">
        <f>_xll.EVDES(D57)</f>
        <v>Tenant Operating Expenses</v>
      </c>
      <c r="G57" s="11">
        <f ca="1">SUMIFS(OFFSET('BPC Data'!$F:$F,0,Summary!G$2),'BPC Data'!$E:$E,Summary!$D57,'BPC Data'!$B:$B,Summary!$C57)</f>
        <v>181267.44</v>
      </c>
      <c r="H57" s="93">
        <f ca="1">SUMIFS(OFFSET('BPC Data'!$F:$F,0,Summary!H$2),'BPC Data'!$E:$E,Summary!$D57,'BPC Data'!$B:$B,Summary!$C57)</f>
        <v>173591.74</v>
      </c>
      <c r="I57" s="11">
        <f ca="1">SUMIFS(OFFSET('BPC Data'!$F:$F,0,Summary!I$2),'BPC Data'!$E:$E,Summary!$D57,'BPC Data'!$B:$B,Summary!$C57)</f>
        <v>195029.26</v>
      </c>
      <c r="J57" s="93">
        <f ca="1">SUMIFS(OFFSET('BPC Data'!$F:$F,0,Summary!J$2),'BPC Data'!$E:$E,Summary!$D57,'BPC Data'!$B:$B,Summary!$C57)</f>
        <v>187474.94</v>
      </c>
      <c r="K57" s="11">
        <f ca="1">SUMIFS(OFFSET('BPC Data'!$F:$F,0,Summary!K$2),'BPC Data'!$E:$E,Summary!$D57,'BPC Data'!$B:$B,Summary!$C57)</f>
        <v>220674.92</v>
      </c>
      <c r="L57" s="93">
        <f ca="1">SUMIFS(OFFSET('BPC Data'!$F:$F,0,Summary!L$2),'BPC Data'!$E:$E,Summary!$D57,'BPC Data'!$B:$B,Summary!$C57)</f>
        <v>198507.54</v>
      </c>
      <c r="M57" s="32">
        <f t="shared" ca="1" si="26"/>
        <v>1156545.8399999999</v>
      </c>
      <c r="N57" s="110">
        <f>Dixon!O455-Dixon!O450-Dixon!O449-Dixon!O448-Dixon!O446-Dixon!O445-Dixon!O444-Dixon!O443-Dixon!O438-Dixon!O422-Dixon!O414-Dixon!O413+N58</f>
        <v>1156545.8400000001</v>
      </c>
      <c r="O57" s="106">
        <f t="shared" ca="1" si="4"/>
        <v>0</v>
      </c>
    </row>
    <row r="58" spans="1:15" s="16" customFormat="1" x14ac:dyDescent="0.25">
      <c r="A58" s="16">
        <f t="shared" si="25"/>
        <v>5</v>
      </c>
      <c r="B58"/>
      <c r="C58" t="str">
        <f>$F53</f>
        <v>Dixon Nursing &amp; Rehab</v>
      </c>
      <c r="D58" s="3" t="str">
        <f t="shared" si="10"/>
        <v>T_BAD_DEBT - Tenant Bad Debt Expense</v>
      </c>
      <c r="E58"/>
      <c r="F58" s="22" t="str">
        <f>_xll.EVDES(D58)</f>
        <v>Tenant Bad Debt Expense</v>
      </c>
      <c r="G58" s="11">
        <f ca="1">SUMIFS(OFFSET('BPC Data'!$F:$F,0,Summary!G$2),'BPC Data'!$E:$E,Summary!$D58,'BPC Data'!$B:$B,Summary!$C58)</f>
        <v>293.33</v>
      </c>
      <c r="H58" s="93">
        <f ca="1">SUMIFS(OFFSET('BPC Data'!$F:$F,0,Summary!H$2),'BPC Data'!$E:$E,Summary!$D58,'BPC Data'!$B:$B,Summary!$C58)</f>
        <v>293.33</v>
      </c>
      <c r="I58" s="11">
        <f ca="1">SUMIFS(OFFSET('BPC Data'!$F:$F,0,Summary!I$2),'BPC Data'!$E:$E,Summary!$D58,'BPC Data'!$B:$B,Summary!$C58)</f>
        <v>293.33</v>
      </c>
      <c r="J58" s="93">
        <f ca="1">SUMIFS(OFFSET('BPC Data'!$F:$F,0,Summary!J$2),'BPC Data'!$E:$E,Summary!$D58,'BPC Data'!$B:$B,Summary!$C58)</f>
        <v>293.33</v>
      </c>
      <c r="K58" s="11">
        <f ca="1">SUMIFS(OFFSET('BPC Data'!$F:$F,0,Summary!K$2),'BPC Data'!$E:$E,Summary!$D58,'BPC Data'!$B:$B,Summary!$C58)</f>
        <v>293.33</v>
      </c>
      <c r="L58" s="93">
        <f ca="1">SUMIFS(OFFSET('BPC Data'!$F:$F,0,Summary!L$2),'BPC Data'!$E:$E,Summary!$D58,'BPC Data'!$B:$B,Summary!$C58)</f>
        <v>293.33</v>
      </c>
      <c r="M58" s="32">
        <f t="shared" ca="1" si="26"/>
        <v>1759.9799999999998</v>
      </c>
      <c r="N58" s="110">
        <f>-(Dixon!O142)</f>
        <v>1759.9799999999998</v>
      </c>
      <c r="O58" s="106">
        <f t="shared" ca="1" si="4"/>
        <v>0</v>
      </c>
    </row>
    <row r="59" spans="1:15" s="16" customFormat="1" x14ac:dyDescent="0.25">
      <c r="A59" s="16">
        <f t="shared" si="25"/>
        <v>5</v>
      </c>
      <c r="B59"/>
      <c r="C59" t="str">
        <f>$F53</f>
        <v>Dixon Nursing &amp; Rehab</v>
      </c>
      <c r="D59" s="2" t="str">
        <f t="shared" si="10"/>
        <v>T_EBITDARM - EBITDARM</v>
      </c>
      <c r="E59"/>
      <c r="F59" s="22" t="str">
        <f>_xll.EVDES(D59)</f>
        <v>EBITDARM</v>
      </c>
      <c r="G59" s="11">
        <f ca="1">SUMIFS(OFFSET('BPC Data'!$F:$F,0,Summary!G$2),'BPC Data'!$E:$E,Summary!$D59,'BPC Data'!$B:$B,Summary!$C59)</f>
        <v>31787.73</v>
      </c>
      <c r="H59" s="93">
        <f ca="1">SUMIFS(OFFSET('BPC Data'!$F:$F,0,Summary!H$2),'BPC Data'!$E:$E,Summary!$D59,'BPC Data'!$B:$B,Summary!$C59)</f>
        <v>48546.76</v>
      </c>
      <c r="I59" s="11">
        <f ca="1">SUMIFS(OFFSET('BPC Data'!$F:$F,0,Summary!I$2),'BPC Data'!$E:$E,Summary!$D59,'BPC Data'!$B:$B,Summary!$C59)</f>
        <v>40455.379999999997</v>
      </c>
      <c r="J59" s="93">
        <f ca="1">SUMIFS(OFFSET('BPC Data'!$F:$F,0,Summary!J$2),'BPC Data'!$E:$E,Summary!$D59,'BPC Data'!$B:$B,Summary!$C59)</f>
        <v>73253.94</v>
      </c>
      <c r="K59" s="11">
        <f ca="1">SUMIFS(OFFSET('BPC Data'!$F:$F,0,Summary!K$2),'BPC Data'!$E:$E,Summary!$D59,'BPC Data'!$B:$B,Summary!$C59)</f>
        <v>41066.92</v>
      </c>
      <c r="L59" s="93">
        <f ca="1">SUMIFS(OFFSET('BPC Data'!$F:$F,0,Summary!L$2),'BPC Data'!$E:$E,Summary!$D59,'BPC Data'!$B:$B,Summary!$C59)</f>
        <v>50305.4</v>
      </c>
      <c r="M59" s="32">
        <f t="shared" ca="1" si="26"/>
        <v>285416.13</v>
      </c>
      <c r="N59" s="110">
        <f>N56-N57</f>
        <v>285416.12999999966</v>
      </c>
      <c r="O59" s="106">
        <f t="shared" ca="1" si="4"/>
        <v>0</v>
      </c>
    </row>
    <row r="60" spans="1:15" s="16" customFormat="1" x14ac:dyDescent="0.25">
      <c r="A60" s="16">
        <f t="shared" si="25"/>
        <v>5</v>
      </c>
      <c r="B60"/>
      <c r="C60" t="str">
        <f>$F53</f>
        <v>Dixon Nursing &amp; Rehab</v>
      </c>
      <c r="D60" s="2" t="str">
        <f t="shared" si="10"/>
        <v>T_MGMT_FEE - Tenant Management Fee - Actual</v>
      </c>
      <c r="E60"/>
      <c r="F60" s="22" t="str">
        <f>_xll.EVDES(D60)</f>
        <v>Tenant Management Fee - Actual</v>
      </c>
      <c r="G60" s="11">
        <f ca="1">SUMIFS(OFFSET('BPC Data'!$F:$F,0,Summary!G$2),'BPC Data'!$E:$E,Summary!$D60,'BPC Data'!$B:$B,Summary!$C60)</f>
        <v>15217.29</v>
      </c>
      <c r="H60" s="93">
        <f ca="1">SUMIFS(OFFSET('BPC Data'!$F:$F,0,Summary!H$2),'BPC Data'!$E:$E,Summary!$D60,'BPC Data'!$B:$B,Summary!$C60)</f>
        <v>15423.79</v>
      </c>
      <c r="I60" s="11">
        <f ca="1">SUMIFS(OFFSET('BPC Data'!$F:$F,0,Summary!I$2),'BPC Data'!$E:$E,Summary!$D60,'BPC Data'!$B:$B,Summary!$C60)</f>
        <v>16195.62</v>
      </c>
      <c r="J60" s="93">
        <f ca="1">SUMIFS(OFFSET('BPC Data'!$F:$F,0,Summary!J$2),'BPC Data'!$E:$E,Summary!$D60,'BPC Data'!$B:$B,Summary!$C60)</f>
        <v>17737.77</v>
      </c>
      <c r="K60" s="11">
        <f ca="1">SUMIFS(OFFSET('BPC Data'!$F:$F,0,Summary!K$2),'BPC Data'!$E:$E,Summary!$D60,'BPC Data'!$B:$B,Summary!$C60)</f>
        <v>18751.830000000002</v>
      </c>
      <c r="L60" s="93">
        <f ca="1">SUMIFS(OFFSET('BPC Data'!$F:$F,0,Summary!L$2),'BPC Data'!$E:$E,Summary!$D60,'BPC Data'!$B:$B,Summary!$C60)</f>
        <v>17578.61</v>
      </c>
      <c r="M60" s="32">
        <f t="shared" ca="1" si="26"/>
        <v>100904.91</v>
      </c>
      <c r="N60" s="110">
        <f>Dixon!O443+Dixon!O422</f>
        <v>100904.91</v>
      </c>
      <c r="O60" s="106">
        <f t="shared" ca="1" si="4"/>
        <v>0</v>
      </c>
    </row>
    <row r="61" spans="1:15" s="16" customFormat="1" x14ac:dyDescent="0.25">
      <c r="A61" s="16">
        <f t="shared" si="25"/>
        <v>5</v>
      </c>
      <c r="B61"/>
      <c r="C61" t="str">
        <f>$F53</f>
        <v>Dixon Nursing &amp; Rehab</v>
      </c>
      <c r="D61" s="1" t="str">
        <f t="shared" si="10"/>
        <v>T_EBITDAR - EBITDAR</v>
      </c>
      <c r="E61"/>
      <c r="F61" s="22" t="str">
        <f>_xll.EVDES(D61)</f>
        <v>EBITDAR</v>
      </c>
      <c r="G61" s="11">
        <f ca="1">SUMIFS(OFFSET('BPC Data'!$F:$F,0,Summary!G$2),'BPC Data'!$E:$E,Summary!$D61,'BPC Data'!$B:$B,Summary!$C61)</f>
        <v>16570.439999999999</v>
      </c>
      <c r="H61" s="93">
        <f ca="1">SUMIFS(OFFSET('BPC Data'!$F:$F,0,Summary!H$2),'BPC Data'!$E:$E,Summary!$D61,'BPC Data'!$B:$B,Summary!$C61)</f>
        <v>33122.97</v>
      </c>
      <c r="I61" s="11">
        <f ca="1">SUMIFS(OFFSET('BPC Data'!$F:$F,0,Summary!I$2),'BPC Data'!$E:$E,Summary!$D61,'BPC Data'!$B:$B,Summary!$C61)</f>
        <v>24259.759999999998</v>
      </c>
      <c r="J61" s="93">
        <f ca="1">SUMIFS(OFFSET('BPC Data'!$F:$F,0,Summary!J$2),'BPC Data'!$E:$E,Summary!$D61,'BPC Data'!$B:$B,Summary!$C61)</f>
        <v>55516.17</v>
      </c>
      <c r="K61" s="11">
        <f ca="1">SUMIFS(OFFSET('BPC Data'!$F:$F,0,Summary!K$2),'BPC Data'!$E:$E,Summary!$D61,'BPC Data'!$B:$B,Summary!$C61)</f>
        <v>22315.09</v>
      </c>
      <c r="L61" s="93">
        <f ca="1">SUMIFS(OFFSET('BPC Data'!$F:$F,0,Summary!L$2),'BPC Data'!$E:$E,Summary!$D61,'BPC Data'!$B:$B,Summary!$C61)</f>
        <v>32726.79</v>
      </c>
      <c r="M61" s="32">
        <f t="shared" ca="1" si="26"/>
        <v>184511.22</v>
      </c>
      <c r="N61" s="110">
        <f>N59-N60</f>
        <v>184511.21999999965</v>
      </c>
      <c r="O61" s="106">
        <f t="shared" ca="1" si="4"/>
        <v>-3.4924596548080444E-10</v>
      </c>
    </row>
    <row r="62" spans="1:15" s="16" customFormat="1" x14ac:dyDescent="0.25">
      <c r="A62" s="16">
        <f t="shared" si="25"/>
        <v>5</v>
      </c>
      <c r="B62"/>
      <c r="C62" t="str">
        <f>$F53</f>
        <v>Dixon Nursing &amp; Rehab</v>
      </c>
      <c r="D62" s="1" t="str">
        <f t="shared" si="10"/>
        <v>T_RENT_EXP - Tenant Rent Expense</v>
      </c>
      <c r="E62"/>
      <c r="F62" s="22" t="str">
        <f>_xll.EVDES(D62)</f>
        <v>Tenant Rent Expense</v>
      </c>
      <c r="G62" s="11">
        <f ca="1">SUMIFS(OFFSET('BPC Data'!$F:$F,0,Summary!G$2),'BPC Data'!$E:$E,Summary!$D62,'BPC Data'!$B:$B,Summary!$C62)</f>
        <v>34720.400000000001</v>
      </c>
      <c r="H62" s="93">
        <f ca="1">SUMIFS(OFFSET('BPC Data'!$F:$F,0,Summary!H$2),'BPC Data'!$E:$E,Summary!$D62,'BPC Data'!$B:$B,Summary!$C62)</f>
        <v>35724.400000000001</v>
      </c>
      <c r="I62" s="11">
        <f ca="1">SUMIFS(OFFSET('BPC Data'!$F:$F,0,Summary!I$2),'BPC Data'!$E:$E,Summary!$D62,'BPC Data'!$B:$B,Summary!$C62)</f>
        <v>38021.9</v>
      </c>
      <c r="J62" s="93">
        <f ca="1">SUMIFS(OFFSET('BPC Data'!$F:$F,0,Summary!J$2),'BPC Data'!$E:$E,Summary!$D62,'BPC Data'!$B:$B,Summary!$C62)</f>
        <v>36371.15</v>
      </c>
      <c r="K62" s="11">
        <f ca="1">SUMIFS(OFFSET('BPC Data'!$F:$F,0,Summary!K$2),'BPC Data'!$E:$E,Summary!$D62,'BPC Data'!$B:$B,Summary!$C62)</f>
        <v>36371.15</v>
      </c>
      <c r="L62" s="93">
        <f ca="1">SUMIFS(OFFSET('BPC Data'!$F:$F,0,Summary!L$2),'BPC Data'!$E:$E,Summary!$D62,'BPC Data'!$B:$B,Summary!$C62)</f>
        <v>36371.15</v>
      </c>
      <c r="M62" s="32">
        <f t="shared" ca="1" si="26"/>
        <v>217580.15</v>
      </c>
      <c r="N62" s="110">
        <f>Dixon!O446</f>
        <v>217580.15</v>
      </c>
      <c r="O62" s="106">
        <f t="shared" ca="1" si="4"/>
        <v>0</v>
      </c>
    </row>
    <row r="63" spans="1:15" s="16" customFormat="1" x14ac:dyDescent="0.25">
      <c r="A63" s="16">
        <f t="shared" si="25"/>
        <v>5</v>
      </c>
      <c r="B63"/>
      <c r="C63"/>
      <c r="D63" s="1" t="str">
        <f t="shared" si="10"/>
        <v>x</v>
      </c>
      <c r="E63"/>
      <c r="F63" s="22" t="s">
        <v>0</v>
      </c>
      <c r="G63" s="19">
        <f t="shared" ref="G63:H63" ca="1" si="27">IFERROR(G61/G62,"N/A")</f>
        <v>0.47725371827513502</v>
      </c>
      <c r="H63" s="94">
        <f t="shared" ca="1" si="27"/>
        <v>0.92718058245904755</v>
      </c>
      <c r="I63" s="19">
        <f t="shared" ref="I63:J63" ca="1" si="28">IFERROR(I61/I62,"N/A")</f>
        <v>0.63804702026989701</v>
      </c>
      <c r="J63" s="94">
        <f t="shared" ca="1" si="28"/>
        <v>1.5263792868798483</v>
      </c>
      <c r="K63" s="19">
        <f t="shared" ref="K63:L63" ca="1" si="29">IFERROR(K61/K62,"N/A")</f>
        <v>0.61353820266887349</v>
      </c>
      <c r="L63" s="94">
        <f t="shared" ca="1" si="29"/>
        <v>0.89980080365894399</v>
      </c>
      <c r="M63" s="32">
        <f t="shared" ca="1" si="26"/>
        <v>5.0821996142117456</v>
      </c>
      <c r="N63" s="110"/>
      <c r="O63" s="106">
        <f t="shared" ca="1" si="4"/>
        <v>-5.0821996142117456</v>
      </c>
    </row>
    <row r="64" spans="1:15" s="16" customFormat="1" x14ac:dyDescent="0.25">
      <c r="A64" s="16">
        <f>IF(AND(D64&lt;&gt;"",C64=""),A63+1,A63)</f>
        <v>6</v>
      </c>
      <c r="B64" s="4"/>
      <c r="C64" s="4"/>
      <c r="D64" s="4" t="str">
        <f t="shared" si="10"/>
        <v>x</v>
      </c>
      <c r="E64" s="4"/>
      <c r="F64" s="21" t="str">
        <f>INDEX(PropertyList!$D:$D,MATCH(Summary!$A64,PropertyList!$C:$C,0))</f>
        <v>Forsyth Nursing &amp; Rehab</v>
      </c>
      <c r="G64" s="10"/>
      <c r="H64" s="91"/>
      <c r="I64" s="10"/>
      <c r="J64" s="91"/>
      <c r="K64" s="10"/>
      <c r="L64" s="91"/>
      <c r="M64" s="32">
        <f t="shared" si="8"/>
        <v>0</v>
      </c>
      <c r="N64" s="110"/>
      <c r="O64" s="106">
        <f t="shared" si="4"/>
        <v>0</v>
      </c>
    </row>
    <row r="65" spans="1:15" s="16" customFormat="1" x14ac:dyDescent="0.25">
      <c r="A65" s="16">
        <f>IF(AND(F65&lt;&gt;"",D65=""),A64+1,A64)</f>
        <v>6</v>
      </c>
      <c r="C65" t="str">
        <f>$F64</f>
        <v>Forsyth Nursing &amp; Rehab</v>
      </c>
      <c r="D65" s="3" t="str">
        <f t="shared" si="10"/>
        <v>PAY_PAT_DAYS - Total Payor Patient Days</v>
      </c>
      <c r="F65" s="22" t="str">
        <f>_xll.EVDES(D65)</f>
        <v>Total Payor Patient Days</v>
      </c>
      <c r="G65" s="18">
        <f ca="1">SUMIFS(OFFSET('BPC Data'!$F:$F,0,Summary!G$2),'BPC Data'!$E:$E,Summary!$D65,'BPC Data'!$B:$B,Summary!$C65)</f>
        <v>2468</v>
      </c>
      <c r="H65" s="92">
        <f ca="1">SUMIFS(OFFSET('BPC Data'!$F:$F,0,Summary!H$2),'BPC Data'!$E:$E,Summary!$D65,'BPC Data'!$B:$B,Summary!$C65)</f>
        <v>2234</v>
      </c>
      <c r="I65" s="18">
        <f ca="1">SUMIFS(OFFSET('BPC Data'!$F:$F,0,Summary!I$2),'BPC Data'!$E:$E,Summary!$D65,'BPC Data'!$B:$B,Summary!$C65)</f>
        <v>2497</v>
      </c>
      <c r="J65" s="92">
        <f ca="1">SUMIFS(OFFSET('BPC Data'!$F:$F,0,Summary!J$2),'BPC Data'!$E:$E,Summary!$D65,'BPC Data'!$B:$B,Summary!$C65)</f>
        <v>2490</v>
      </c>
      <c r="K65" s="18">
        <f ca="1">SUMIFS(OFFSET('BPC Data'!$F:$F,0,Summary!K$2),'BPC Data'!$E:$E,Summary!$D65,'BPC Data'!$B:$B,Summary!$C65)</f>
        <v>2596</v>
      </c>
      <c r="L65" s="92">
        <f ca="1">SUMIFS(OFFSET('BPC Data'!$F:$F,0,Summary!L$2),'BPC Data'!$E:$E,Summary!$D65,'BPC Data'!$B:$B,Summary!$C65)</f>
        <v>2443</v>
      </c>
      <c r="M65" s="32">
        <f ca="1">SUM(G65:L65)</f>
        <v>14728</v>
      </c>
      <c r="N65" s="110">
        <f>Forsyth!O23</f>
        <v>14728</v>
      </c>
      <c r="O65" s="106">
        <f t="shared" ca="1" si="4"/>
        <v>0</v>
      </c>
    </row>
    <row r="66" spans="1:15" s="16" customFormat="1" x14ac:dyDescent="0.25">
      <c r="A66" s="16">
        <f t="shared" ref="A66:A74" si="30">IF(AND(F66&lt;&gt;"",D66=""),A65+1,A65)</f>
        <v>6</v>
      </c>
      <c r="C66" t="str">
        <f>$F64</f>
        <v>Forsyth Nursing &amp; Rehab</v>
      </c>
      <c r="D66" s="3" t="str">
        <f t="shared" si="10"/>
        <v>A_BEDS_TOTAL - Total Available Beds</v>
      </c>
      <c r="F66" s="22" t="str">
        <f>_xll.EVDES(D66)</f>
        <v>Total Available Beds</v>
      </c>
      <c r="G66" s="18">
        <f ca="1">SUMIFS(OFFSET('BPC Data'!$F:$F,0,Summary!G$2),'BPC Data'!$E:$E,Summary!$D66,'BPC Data'!$B:$B,Summary!$C66)</f>
        <v>120</v>
      </c>
      <c r="H66" s="92">
        <f ca="1">SUMIFS(OFFSET('BPC Data'!$F:$F,0,Summary!H$2),'BPC Data'!$E:$E,Summary!$D66,'BPC Data'!$B:$B,Summary!$C66)</f>
        <v>120</v>
      </c>
      <c r="I66" s="18">
        <f ca="1">SUMIFS(OFFSET('BPC Data'!$F:$F,0,Summary!I$2),'BPC Data'!$E:$E,Summary!$D66,'BPC Data'!$B:$B,Summary!$C66)</f>
        <v>120</v>
      </c>
      <c r="J66" s="92">
        <f ca="1">SUMIFS(OFFSET('BPC Data'!$F:$F,0,Summary!J$2),'BPC Data'!$E:$E,Summary!$D66,'BPC Data'!$B:$B,Summary!$C66)</f>
        <v>120</v>
      </c>
      <c r="K66" s="18">
        <f ca="1">SUMIFS(OFFSET('BPC Data'!$F:$F,0,Summary!K$2),'BPC Data'!$E:$E,Summary!$D66,'BPC Data'!$B:$B,Summary!$C66)</f>
        <v>120</v>
      </c>
      <c r="L66" s="92">
        <f ca="1">SUMIFS(OFFSET('BPC Data'!$F:$F,0,Summary!L$2),'BPC Data'!$E:$E,Summary!$D66,'BPC Data'!$B:$B,Summary!$C66)</f>
        <v>120</v>
      </c>
      <c r="M66" s="32">
        <f ca="1">SUM(L66)</f>
        <v>120</v>
      </c>
      <c r="N66" s="110"/>
      <c r="O66" s="106"/>
    </row>
    <row r="67" spans="1:15" s="16" customFormat="1" x14ac:dyDescent="0.25">
      <c r="A67" s="16">
        <f t="shared" si="30"/>
        <v>6</v>
      </c>
      <c r="B67"/>
      <c r="C67" t="str">
        <f>$F64</f>
        <v>Forsyth Nursing &amp; Rehab</v>
      </c>
      <c r="D67" s="3" t="str">
        <f t="shared" si="10"/>
        <v>T_REVENUES - Total Tenant Revenues</v>
      </c>
      <c r="E67"/>
      <c r="F67" s="22" t="str">
        <f>_xll.EVDES(D67)</f>
        <v>Total Tenant Revenues</v>
      </c>
      <c r="G67" s="18">
        <f ca="1">SUMIFS(OFFSET('BPC Data'!$F:$F,0,Summary!G$2),'BPC Data'!$E:$E,Summary!$D67,'BPC Data'!$B:$B,Summary!$C67)</f>
        <v>476392.81</v>
      </c>
      <c r="H67" s="92">
        <f ca="1">SUMIFS(OFFSET('BPC Data'!$F:$F,0,Summary!H$2),'BPC Data'!$E:$E,Summary!$D67,'BPC Data'!$B:$B,Summary!$C67)</f>
        <v>425031.55</v>
      </c>
      <c r="I67" s="18">
        <f ca="1">SUMIFS(OFFSET('BPC Data'!$F:$F,0,Summary!I$2),'BPC Data'!$E:$E,Summary!$D67,'BPC Data'!$B:$B,Summary!$C67)</f>
        <v>478121.35</v>
      </c>
      <c r="J67" s="92">
        <f ca="1">SUMIFS(OFFSET('BPC Data'!$F:$F,0,Summary!J$2),'BPC Data'!$E:$E,Summary!$D67,'BPC Data'!$B:$B,Summary!$C67)</f>
        <v>479336.72</v>
      </c>
      <c r="K67" s="18">
        <f ca="1">SUMIFS(OFFSET('BPC Data'!$F:$F,0,Summary!K$2),'BPC Data'!$E:$E,Summary!$D67,'BPC Data'!$B:$B,Summary!$C67)</f>
        <v>514970.28</v>
      </c>
      <c r="L67" s="92">
        <f ca="1">SUMIFS(OFFSET('BPC Data'!$F:$F,0,Summary!L$2),'BPC Data'!$E:$E,Summary!$D67,'BPC Data'!$B:$B,Summary!$C67)</f>
        <v>482400.02</v>
      </c>
      <c r="M67" s="32">
        <f t="shared" ref="M67:M74" ca="1" si="31">SUM(G67:L67)</f>
        <v>2856252.73</v>
      </c>
      <c r="N67" s="110">
        <f>Forsyth!O150-Forsyth!O143-Forsyth!O142</f>
        <v>2856252.73</v>
      </c>
      <c r="O67" s="106">
        <f t="shared" ca="1" si="4"/>
        <v>0</v>
      </c>
    </row>
    <row r="68" spans="1:15" s="16" customFormat="1" x14ac:dyDescent="0.25">
      <c r="A68" s="16">
        <f t="shared" si="30"/>
        <v>6</v>
      </c>
      <c r="B68"/>
      <c r="C68" t="str">
        <f>$F64</f>
        <v>Forsyth Nursing &amp; Rehab</v>
      </c>
      <c r="D68" s="3" t="str">
        <f t="shared" si="10"/>
        <v>T_OPEX - Tenant Operating Expenses</v>
      </c>
      <c r="E68"/>
      <c r="F68" s="22" t="str">
        <f>_xll.EVDES(D68)</f>
        <v>Tenant Operating Expenses</v>
      </c>
      <c r="G68" s="18">
        <f ca="1">SUMIFS(OFFSET('BPC Data'!$F:$F,0,Summary!G$2),'BPC Data'!$E:$E,Summary!$D68,'BPC Data'!$B:$B,Summary!$C68)</f>
        <v>407366.04</v>
      </c>
      <c r="H68" s="92">
        <f ca="1">SUMIFS(OFFSET('BPC Data'!$F:$F,0,Summary!H$2),'BPC Data'!$E:$E,Summary!$D68,'BPC Data'!$B:$B,Summary!$C68)</f>
        <v>365282.57</v>
      </c>
      <c r="I68" s="18">
        <f ca="1">SUMIFS(OFFSET('BPC Data'!$F:$F,0,Summary!I$2),'BPC Data'!$E:$E,Summary!$D68,'BPC Data'!$B:$B,Summary!$C68)</f>
        <v>404679.55</v>
      </c>
      <c r="J68" s="92">
        <f ca="1">SUMIFS(OFFSET('BPC Data'!$F:$F,0,Summary!J$2),'BPC Data'!$E:$E,Summary!$D68,'BPC Data'!$B:$B,Summary!$C68)</f>
        <v>371919.41</v>
      </c>
      <c r="K68" s="18">
        <f ca="1">SUMIFS(OFFSET('BPC Data'!$F:$F,0,Summary!K$2),'BPC Data'!$E:$E,Summary!$D68,'BPC Data'!$B:$B,Summary!$C68)</f>
        <v>412515.13</v>
      </c>
      <c r="L68" s="92">
        <f ca="1">SUMIFS(OFFSET('BPC Data'!$F:$F,0,Summary!L$2),'BPC Data'!$E:$E,Summary!$D68,'BPC Data'!$B:$B,Summary!$C68)</f>
        <v>411788.22</v>
      </c>
      <c r="M68" s="32">
        <f t="shared" ca="1" si="31"/>
        <v>2373550.92</v>
      </c>
      <c r="N68" s="110">
        <f>Forsyth!O455-Forsyth!O450-Forsyth!O449-Forsyth!O448-Forsyth!O446-Forsyth!O445-Forsyth!O444-Forsyth!O443-Forsyth!O438-Forsyth!O422-Forsyth!O414-Forsyth!O413+N69</f>
        <v>2373550.92</v>
      </c>
      <c r="O68" s="106">
        <f t="shared" ca="1" si="4"/>
        <v>0</v>
      </c>
    </row>
    <row r="69" spans="1:15" s="16" customFormat="1" x14ac:dyDescent="0.25">
      <c r="A69" s="16">
        <f t="shared" si="30"/>
        <v>6</v>
      </c>
      <c r="B69"/>
      <c r="C69" t="str">
        <f>$F64</f>
        <v>Forsyth Nursing &amp; Rehab</v>
      </c>
      <c r="D69" s="3" t="str">
        <f t="shared" si="10"/>
        <v>T_BAD_DEBT - Tenant Bad Debt Expense</v>
      </c>
      <c r="E69"/>
      <c r="F69" s="22" t="str">
        <f>_xll.EVDES(D69)</f>
        <v>Tenant Bad Debt Expense</v>
      </c>
      <c r="G69" s="18">
        <f ca="1">SUMIFS(OFFSET('BPC Data'!$F:$F,0,Summary!G$2),'BPC Data'!$E:$E,Summary!$D69,'BPC Data'!$B:$B,Summary!$C69)</f>
        <v>5191.34</v>
      </c>
      <c r="H69" s="92">
        <f ca="1">SUMIFS(OFFSET('BPC Data'!$F:$F,0,Summary!H$2),'BPC Data'!$E:$E,Summary!$D69,'BPC Data'!$B:$B,Summary!$C69)</f>
        <v>3707.34</v>
      </c>
      <c r="I69" s="18">
        <f ca="1">SUMIFS(OFFSET('BPC Data'!$F:$F,0,Summary!I$2),'BPC Data'!$E:$E,Summary!$D69,'BPC Data'!$B:$B,Summary!$C69)</f>
        <v>3707.34</v>
      </c>
      <c r="J69" s="92">
        <f ca="1">SUMIFS(OFFSET('BPC Data'!$F:$F,0,Summary!J$2),'BPC Data'!$E:$E,Summary!$D69,'BPC Data'!$B:$B,Summary!$C69)</f>
        <v>3707.34</v>
      </c>
      <c r="K69" s="18">
        <f ca="1">SUMIFS(OFFSET('BPC Data'!$F:$F,0,Summary!K$2),'BPC Data'!$E:$E,Summary!$D69,'BPC Data'!$B:$B,Summary!$C69)</f>
        <v>5263.34</v>
      </c>
      <c r="L69" s="92">
        <f ca="1">SUMIFS(OFFSET('BPC Data'!$F:$F,0,Summary!L$2),'BPC Data'!$E:$E,Summary!$D69,'BPC Data'!$B:$B,Summary!$C69)</f>
        <v>3707.34</v>
      </c>
      <c r="M69" s="32">
        <f t="shared" ca="1" si="31"/>
        <v>25284.04</v>
      </c>
      <c r="N69" s="110">
        <f>-(Forsyth!O143+Forsyth!O142)</f>
        <v>25284.04</v>
      </c>
      <c r="O69" s="106">
        <f t="shared" ca="1" si="4"/>
        <v>0</v>
      </c>
    </row>
    <row r="70" spans="1:15" s="16" customFormat="1" x14ac:dyDescent="0.25">
      <c r="A70" s="16">
        <f t="shared" si="30"/>
        <v>6</v>
      </c>
      <c r="B70"/>
      <c r="C70" t="str">
        <f>$F64</f>
        <v>Forsyth Nursing &amp; Rehab</v>
      </c>
      <c r="D70" s="2" t="str">
        <f t="shared" si="10"/>
        <v>T_EBITDARM - EBITDARM</v>
      </c>
      <c r="E70"/>
      <c r="F70" s="22" t="str">
        <f>_xll.EVDES(D70)</f>
        <v>EBITDARM</v>
      </c>
      <c r="G70" s="18">
        <f ca="1">SUMIFS(OFFSET('BPC Data'!$F:$F,0,Summary!G$2),'BPC Data'!$E:$E,Summary!$D70,'BPC Data'!$B:$B,Summary!$C70)</f>
        <v>69026.77</v>
      </c>
      <c r="H70" s="92">
        <f ca="1">SUMIFS(OFFSET('BPC Data'!$F:$F,0,Summary!H$2),'BPC Data'!$E:$E,Summary!$D70,'BPC Data'!$B:$B,Summary!$C70)</f>
        <v>59748.980000000098</v>
      </c>
      <c r="I70" s="18">
        <f ca="1">SUMIFS(OFFSET('BPC Data'!$F:$F,0,Summary!I$2),'BPC Data'!$E:$E,Summary!$D70,'BPC Data'!$B:$B,Summary!$C70)</f>
        <v>73441.800000000105</v>
      </c>
      <c r="J70" s="92">
        <f ca="1">SUMIFS(OFFSET('BPC Data'!$F:$F,0,Summary!J$2),'BPC Data'!$E:$E,Summary!$D70,'BPC Data'!$B:$B,Summary!$C70)</f>
        <v>107417.31</v>
      </c>
      <c r="K70" s="18">
        <f ca="1">SUMIFS(OFFSET('BPC Data'!$F:$F,0,Summary!K$2),'BPC Data'!$E:$E,Summary!$D70,'BPC Data'!$B:$B,Summary!$C70)</f>
        <v>102455.15</v>
      </c>
      <c r="L70" s="92">
        <f ca="1">SUMIFS(OFFSET('BPC Data'!$F:$F,0,Summary!L$2),'BPC Data'!$E:$E,Summary!$D70,'BPC Data'!$B:$B,Summary!$C70)</f>
        <v>70611.8</v>
      </c>
      <c r="M70" s="32">
        <f t="shared" ca="1" si="31"/>
        <v>482701.81000000023</v>
      </c>
      <c r="N70" s="110">
        <f>N67-N68</f>
        <v>482701.81000000006</v>
      </c>
      <c r="O70" s="106">
        <f t="shared" ca="1" si="4"/>
        <v>0</v>
      </c>
    </row>
    <row r="71" spans="1:15" s="16" customFormat="1" x14ac:dyDescent="0.25">
      <c r="A71" s="16">
        <f t="shared" si="30"/>
        <v>6</v>
      </c>
      <c r="B71"/>
      <c r="C71" t="str">
        <f>$F64</f>
        <v>Forsyth Nursing &amp; Rehab</v>
      </c>
      <c r="D71" s="2" t="str">
        <f t="shared" si="10"/>
        <v>T_MGMT_FEE - Tenant Management Fee - Actual</v>
      </c>
      <c r="E71"/>
      <c r="F71" s="22" t="str">
        <f>_xll.EVDES(D71)</f>
        <v>Tenant Management Fee - Actual</v>
      </c>
      <c r="G71" s="18">
        <f ca="1">SUMIFS(OFFSET('BPC Data'!$F:$F,0,Summary!G$2),'BPC Data'!$E:$E,Summary!$D71,'BPC Data'!$B:$B,Summary!$C71)</f>
        <v>34334.699999999997</v>
      </c>
      <c r="H71" s="92">
        <f ca="1">SUMIFS(OFFSET('BPC Data'!$F:$F,0,Summary!H$2),'BPC Data'!$E:$E,Summary!$D71,'BPC Data'!$B:$B,Summary!$C71)</f>
        <v>31091.25</v>
      </c>
      <c r="I71" s="18">
        <f ca="1">SUMIFS(OFFSET('BPC Data'!$F:$F,0,Summary!I$2),'BPC Data'!$E:$E,Summary!$D71,'BPC Data'!$B:$B,Summary!$C71)</f>
        <v>34738.81</v>
      </c>
      <c r="J71" s="92">
        <f ca="1">SUMIFS(OFFSET('BPC Data'!$F:$F,0,Summary!J$2),'BPC Data'!$E:$E,Summary!$D71,'BPC Data'!$B:$B,Summary!$C71)</f>
        <v>34400.550000000003</v>
      </c>
      <c r="K71" s="18">
        <f ca="1">SUMIFS(OFFSET('BPC Data'!$F:$F,0,Summary!K$2),'BPC Data'!$E:$E,Summary!$D71,'BPC Data'!$B:$B,Summary!$C71)</f>
        <v>36998.080000000002</v>
      </c>
      <c r="L71" s="92">
        <f ca="1">SUMIFS(OFFSET('BPC Data'!$F:$F,0,Summary!L$2),'BPC Data'!$E:$E,Summary!$D71,'BPC Data'!$B:$B,Summary!$C71)</f>
        <v>34120.959999999999</v>
      </c>
      <c r="M71" s="32">
        <f t="shared" ca="1" si="31"/>
        <v>205684.35</v>
      </c>
      <c r="N71" s="110">
        <f>Forsyth!O443+Forsyth!O422</f>
        <v>205684.34999999998</v>
      </c>
      <c r="O71" s="106">
        <f t="shared" ca="1" si="4"/>
        <v>0</v>
      </c>
    </row>
    <row r="72" spans="1:15" s="16" customFormat="1" x14ac:dyDescent="0.25">
      <c r="A72" s="16">
        <f t="shared" si="30"/>
        <v>6</v>
      </c>
      <c r="B72"/>
      <c r="C72" t="str">
        <f>$F64</f>
        <v>Forsyth Nursing &amp; Rehab</v>
      </c>
      <c r="D72" s="1" t="str">
        <f t="shared" si="10"/>
        <v>T_EBITDAR - EBITDAR</v>
      </c>
      <c r="E72"/>
      <c r="F72" s="22" t="str">
        <f>_xll.EVDES(D72)</f>
        <v>EBITDAR</v>
      </c>
      <c r="G72" s="18">
        <f ca="1">SUMIFS(OFFSET('BPC Data'!$F:$F,0,Summary!G$2),'BPC Data'!$E:$E,Summary!$D72,'BPC Data'!$B:$B,Summary!$C72)</f>
        <v>34692.07</v>
      </c>
      <c r="H72" s="92">
        <f ca="1">SUMIFS(OFFSET('BPC Data'!$F:$F,0,Summary!H$2),'BPC Data'!$E:$E,Summary!$D72,'BPC Data'!$B:$B,Summary!$C72)</f>
        <v>28657.730000000101</v>
      </c>
      <c r="I72" s="18">
        <f ca="1">SUMIFS(OFFSET('BPC Data'!$F:$F,0,Summary!I$2),'BPC Data'!$E:$E,Summary!$D72,'BPC Data'!$B:$B,Summary!$C72)</f>
        <v>38702.9900000001</v>
      </c>
      <c r="J72" s="92">
        <f ca="1">SUMIFS(OFFSET('BPC Data'!$F:$F,0,Summary!J$2),'BPC Data'!$E:$E,Summary!$D72,'BPC Data'!$B:$B,Summary!$C72)</f>
        <v>73016.759999999995</v>
      </c>
      <c r="K72" s="18">
        <f ca="1">SUMIFS(OFFSET('BPC Data'!$F:$F,0,Summary!K$2),'BPC Data'!$E:$E,Summary!$D72,'BPC Data'!$B:$B,Summary!$C72)</f>
        <v>65457.07</v>
      </c>
      <c r="L72" s="92">
        <f ca="1">SUMIFS(OFFSET('BPC Data'!$F:$F,0,Summary!L$2),'BPC Data'!$E:$E,Summary!$D72,'BPC Data'!$B:$B,Summary!$C72)</f>
        <v>36490.839999999997</v>
      </c>
      <c r="M72" s="32">
        <f t="shared" ca="1" si="31"/>
        <v>277017.4600000002</v>
      </c>
      <c r="N72" s="110">
        <f>N70-N71</f>
        <v>277017.46000000008</v>
      </c>
      <c r="O72" s="106">
        <f t="shared" ca="1" si="4"/>
        <v>0</v>
      </c>
    </row>
    <row r="73" spans="1:15" s="16" customFormat="1" x14ac:dyDescent="0.25">
      <c r="A73" s="16">
        <f t="shared" si="30"/>
        <v>6</v>
      </c>
      <c r="B73"/>
      <c r="C73" t="str">
        <f>$F64</f>
        <v>Forsyth Nursing &amp; Rehab</v>
      </c>
      <c r="D73" s="1" t="str">
        <f t="shared" si="10"/>
        <v>T_RENT_EXP - Tenant Rent Expense</v>
      </c>
      <c r="E73"/>
      <c r="F73" s="22" t="str">
        <f>_xll.EVDES(D73)</f>
        <v>Tenant Rent Expense</v>
      </c>
      <c r="G73" s="18">
        <f ca="1">SUMIFS(OFFSET('BPC Data'!$F:$F,0,Summary!G$2),'BPC Data'!$E:$E,Summary!$D73,'BPC Data'!$B:$B,Summary!$C73)</f>
        <v>58874.12</v>
      </c>
      <c r="H73" s="92">
        <f ca="1">SUMIFS(OFFSET('BPC Data'!$F:$F,0,Summary!H$2),'BPC Data'!$E:$E,Summary!$D73,'BPC Data'!$B:$B,Summary!$C73)</f>
        <v>58874.12</v>
      </c>
      <c r="I73" s="18">
        <f ca="1">SUMIFS(OFFSET('BPC Data'!$F:$F,0,Summary!I$2),'BPC Data'!$E:$E,Summary!$D73,'BPC Data'!$B:$B,Summary!$C73)</f>
        <v>64472.36</v>
      </c>
      <c r="J73" s="92">
        <f ca="1">SUMIFS(OFFSET('BPC Data'!$F:$F,0,Summary!J$2),'BPC Data'!$E:$E,Summary!$D73,'BPC Data'!$B:$B,Summary!$C73)</f>
        <v>61673.24</v>
      </c>
      <c r="K73" s="18">
        <f ca="1">SUMIFS(OFFSET('BPC Data'!$F:$F,0,Summary!K$2),'BPC Data'!$E:$E,Summary!$D73,'BPC Data'!$B:$B,Summary!$C73)</f>
        <v>61673.24</v>
      </c>
      <c r="L73" s="92">
        <f ca="1">SUMIFS(OFFSET('BPC Data'!$F:$F,0,Summary!L$2),'BPC Data'!$E:$E,Summary!$D73,'BPC Data'!$B:$B,Summary!$C73)</f>
        <v>61673.24</v>
      </c>
      <c r="M73" s="32">
        <f t="shared" ca="1" si="31"/>
        <v>367240.32</v>
      </c>
      <c r="N73" s="110">
        <f>Forsyth!O446</f>
        <v>367240.32</v>
      </c>
      <c r="O73" s="106">
        <f t="shared" ca="1" si="4"/>
        <v>0</v>
      </c>
    </row>
    <row r="74" spans="1:15" s="16" customFormat="1" x14ac:dyDescent="0.25">
      <c r="A74" s="16">
        <f t="shared" si="30"/>
        <v>6</v>
      </c>
      <c r="B74"/>
      <c r="C74"/>
      <c r="D74" s="1" t="str">
        <f t="shared" si="10"/>
        <v>x</v>
      </c>
      <c r="E74"/>
      <c r="F74" s="22" t="s">
        <v>0</v>
      </c>
      <c r="G74" s="19">
        <f t="shared" ref="G74:H74" ca="1" si="32">IFERROR(G72/G73,"N/A")</f>
        <v>0.58925840420205</v>
      </c>
      <c r="H74" s="94">
        <f t="shared" ca="1" si="32"/>
        <v>0.4867627745433834</v>
      </c>
      <c r="I74" s="19">
        <f t="shared" ref="I74:J74" ca="1" si="33">IFERROR(I72/I73,"N/A")</f>
        <v>0.6003036029703287</v>
      </c>
      <c r="J74" s="94">
        <f t="shared" ca="1" si="33"/>
        <v>1.1839293670966533</v>
      </c>
      <c r="K74" s="19">
        <f t="shared" ref="K74:L74" ca="1" si="34">IFERROR(K72/K73,"N/A")</f>
        <v>1.061352865521578</v>
      </c>
      <c r="L74" s="94">
        <f t="shared" ca="1" si="34"/>
        <v>0.59168028143162255</v>
      </c>
      <c r="M74" s="32">
        <f t="shared" ca="1" si="31"/>
        <v>4.5132872957656156</v>
      </c>
      <c r="N74" s="110"/>
      <c r="O74" s="106">
        <f t="shared" ca="1" si="4"/>
        <v>-4.5132872957656156</v>
      </c>
    </row>
    <row r="75" spans="1:15" s="16" customFormat="1" x14ac:dyDescent="0.25">
      <c r="A75" s="16">
        <f>IF(AND(D75&lt;&gt;"",C75=""),A74+1,A74)</f>
        <v>7</v>
      </c>
      <c r="B75" s="4"/>
      <c r="C75" s="4"/>
      <c r="D75" s="4" t="str">
        <f t="shared" si="10"/>
        <v>x</v>
      </c>
      <c r="E75" s="4"/>
      <c r="F75" s="21" t="str">
        <f>INDEX(PropertyList!$D:$D,MATCH(Summary!$A75,PropertyList!$C:$C,0))</f>
        <v>Glenwood Healthcare</v>
      </c>
      <c r="G75" s="10"/>
      <c r="H75" s="91"/>
      <c r="I75" s="10"/>
      <c r="J75" s="91"/>
      <c r="K75" s="10"/>
      <c r="L75" s="91"/>
      <c r="M75" s="32">
        <f t="shared" ref="M75:M119" si="35">SUM(G75)</f>
        <v>0</v>
      </c>
      <c r="N75" s="110"/>
      <c r="O75" s="106">
        <f t="shared" si="4"/>
        <v>0</v>
      </c>
    </row>
    <row r="76" spans="1:15" s="16" customFormat="1" x14ac:dyDescent="0.25">
      <c r="A76" s="16">
        <f>IF(AND(F76&lt;&gt;"",D76=""),A75+1,A75)</f>
        <v>7</v>
      </c>
      <c r="C76" t="str">
        <f>$F75</f>
        <v>Glenwood Healthcare</v>
      </c>
      <c r="D76" s="3" t="str">
        <f t="shared" si="10"/>
        <v>PAY_PAT_DAYS - Total Payor Patient Days</v>
      </c>
      <c r="F76" s="22" t="str">
        <f>_xll.EVDES(D76)</f>
        <v>Total Payor Patient Days</v>
      </c>
      <c r="G76" s="18">
        <f ca="1">SUMIFS(OFFSET('BPC Data'!$F:$F,0,Summary!G$2),'BPC Data'!$E:$E,Summary!$D76,'BPC Data'!$B:$B,Summary!$C76)</f>
        <v>1540</v>
      </c>
      <c r="H76" s="92">
        <f ca="1">SUMIFS(OFFSET('BPC Data'!$F:$F,0,Summary!H$2),'BPC Data'!$E:$E,Summary!$D76,'BPC Data'!$B:$B,Summary!$C76)</f>
        <v>1360</v>
      </c>
      <c r="I76" s="18">
        <f ca="1">SUMIFS(OFFSET('BPC Data'!$F:$F,0,Summary!I$2),'BPC Data'!$E:$E,Summary!$D76,'BPC Data'!$B:$B,Summary!$C76)</f>
        <v>1507</v>
      </c>
      <c r="J76" s="92">
        <f ca="1">SUMIFS(OFFSET('BPC Data'!$F:$F,0,Summary!J$2),'BPC Data'!$E:$E,Summary!$D76,'BPC Data'!$B:$B,Summary!$C76)</f>
        <v>1419</v>
      </c>
      <c r="K76" s="18">
        <f ca="1">SUMIFS(OFFSET('BPC Data'!$F:$F,0,Summary!K$2),'BPC Data'!$E:$E,Summary!$D76,'BPC Data'!$B:$B,Summary!$C76)</f>
        <v>1462</v>
      </c>
      <c r="L76" s="92">
        <f ca="1">SUMIFS(OFFSET('BPC Data'!$F:$F,0,Summary!L$2),'BPC Data'!$E:$E,Summary!$D76,'BPC Data'!$B:$B,Summary!$C76)</f>
        <v>1425</v>
      </c>
      <c r="M76" s="32">
        <f ca="1">SUM(G76:L76)</f>
        <v>8713</v>
      </c>
      <c r="N76" s="110">
        <f>Glenwood!O23</f>
        <v>8713</v>
      </c>
      <c r="O76" s="106">
        <f t="shared" ref="O76:O139" ca="1" si="36">N76-M76</f>
        <v>0</v>
      </c>
    </row>
    <row r="77" spans="1:15" s="16" customFormat="1" x14ac:dyDescent="0.25">
      <c r="A77" s="16">
        <f t="shared" ref="A77:A85" si="37">IF(AND(F77&lt;&gt;"",D77=""),A76+1,A76)</f>
        <v>7</v>
      </c>
      <c r="C77" t="str">
        <f>$F75</f>
        <v>Glenwood Healthcare</v>
      </c>
      <c r="D77" s="3" t="str">
        <f t="shared" si="10"/>
        <v>A_BEDS_TOTAL - Total Available Beds</v>
      </c>
      <c r="F77" s="22" t="str">
        <f>_xll.EVDES(D77)</f>
        <v>Total Available Beds</v>
      </c>
      <c r="G77" s="18">
        <f ca="1">SUMIFS(OFFSET('BPC Data'!$F:$F,0,Summary!G$2),'BPC Data'!$E:$E,Summary!$D77,'BPC Data'!$B:$B,Summary!$C77)</f>
        <v>60</v>
      </c>
      <c r="H77" s="92">
        <f ca="1">SUMIFS(OFFSET('BPC Data'!$F:$F,0,Summary!H$2),'BPC Data'!$E:$E,Summary!$D77,'BPC Data'!$B:$B,Summary!$C77)</f>
        <v>60</v>
      </c>
      <c r="I77" s="18">
        <f ca="1">SUMIFS(OFFSET('BPC Data'!$F:$F,0,Summary!I$2),'BPC Data'!$E:$E,Summary!$D77,'BPC Data'!$B:$B,Summary!$C77)</f>
        <v>60</v>
      </c>
      <c r="J77" s="92">
        <f ca="1">SUMIFS(OFFSET('BPC Data'!$F:$F,0,Summary!J$2),'BPC Data'!$E:$E,Summary!$D77,'BPC Data'!$B:$B,Summary!$C77)</f>
        <v>60</v>
      </c>
      <c r="K77" s="18">
        <f ca="1">SUMIFS(OFFSET('BPC Data'!$F:$F,0,Summary!K$2),'BPC Data'!$E:$E,Summary!$D77,'BPC Data'!$B:$B,Summary!$C77)</f>
        <v>60</v>
      </c>
      <c r="L77" s="92">
        <f ca="1">SUMIFS(OFFSET('BPC Data'!$F:$F,0,Summary!L$2),'BPC Data'!$E:$E,Summary!$D77,'BPC Data'!$B:$B,Summary!$C77)</f>
        <v>60</v>
      </c>
      <c r="M77" s="32">
        <f ca="1">SUM(L77)</f>
        <v>60</v>
      </c>
      <c r="N77" s="110"/>
      <c r="O77" s="106"/>
    </row>
    <row r="78" spans="1:15" s="16" customFormat="1" x14ac:dyDescent="0.25">
      <c r="A78" s="16">
        <f t="shared" si="37"/>
        <v>7</v>
      </c>
      <c r="B78"/>
      <c r="C78" t="str">
        <f>$F75</f>
        <v>Glenwood Healthcare</v>
      </c>
      <c r="D78" s="3" t="str">
        <f t="shared" si="10"/>
        <v>T_REVENUES - Total Tenant Revenues</v>
      </c>
      <c r="E78"/>
      <c r="F78" s="22" t="str">
        <f>_xll.EVDES(D78)</f>
        <v>Total Tenant Revenues</v>
      </c>
      <c r="G78" s="18">
        <f ca="1">SUMIFS(OFFSET('BPC Data'!$F:$F,0,Summary!G$2),'BPC Data'!$E:$E,Summary!$D78,'BPC Data'!$B:$B,Summary!$C78)</f>
        <v>282242.31</v>
      </c>
      <c r="H78" s="92">
        <f ca="1">SUMIFS(OFFSET('BPC Data'!$F:$F,0,Summary!H$2),'BPC Data'!$E:$E,Summary!$D78,'BPC Data'!$B:$B,Summary!$C78)</f>
        <v>266213.63</v>
      </c>
      <c r="I78" s="18">
        <f ca="1">SUMIFS(OFFSET('BPC Data'!$F:$F,0,Summary!I$2),'BPC Data'!$E:$E,Summary!$D78,'BPC Data'!$B:$B,Summary!$C78)</f>
        <v>295175.96000000002</v>
      </c>
      <c r="J78" s="92">
        <f ca="1">SUMIFS(OFFSET('BPC Data'!$F:$F,0,Summary!J$2),'BPC Data'!$E:$E,Summary!$D78,'BPC Data'!$B:$B,Summary!$C78)</f>
        <v>262697.76</v>
      </c>
      <c r="K78" s="18">
        <f ca="1">SUMIFS(OFFSET('BPC Data'!$F:$F,0,Summary!K$2),'BPC Data'!$E:$E,Summary!$D78,'BPC Data'!$B:$B,Summary!$C78)</f>
        <v>273037.36</v>
      </c>
      <c r="L78" s="92">
        <f ca="1">SUMIFS(OFFSET('BPC Data'!$F:$F,0,Summary!L$2),'BPC Data'!$E:$E,Summary!$D78,'BPC Data'!$B:$B,Summary!$C78)</f>
        <v>265442.15999999997</v>
      </c>
      <c r="M78" s="32">
        <f t="shared" ref="M78:M85" ca="1" si="38">SUM(G78:L78)</f>
        <v>1644809.18</v>
      </c>
      <c r="N78" s="110">
        <f>Glenwood!O150-Glenwood!O143-Glenwood!O142</f>
        <v>1644809.1800000002</v>
      </c>
      <c r="O78" s="106">
        <f t="shared" ca="1" si="36"/>
        <v>0</v>
      </c>
    </row>
    <row r="79" spans="1:15" s="16" customFormat="1" x14ac:dyDescent="0.25">
      <c r="A79" s="16">
        <f t="shared" si="37"/>
        <v>7</v>
      </c>
      <c r="B79"/>
      <c r="C79" t="str">
        <f>$F75</f>
        <v>Glenwood Healthcare</v>
      </c>
      <c r="D79" s="3" t="str">
        <f t="shared" si="10"/>
        <v>T_OPEX - Tenant Operating Expenses</v>
      </c>
      <c r="E79"/>
      <c r="F79" s="22" t="str">
        <f>_xll.EVDES(D79)</f>
        <v>Tenant Operating Expenses</v>
      </c>
      <c r="G79" s="18">
        <f ca="1">SUMIFS(OFFSET('BPC Data'!$F:$F,0,Summary!G$2),'BPC Data'!$E:$E,Summary!$D79,'BPC Data'!$B:$B,Summary!$C79)</f>
        <v>235642</v>
      </c>
      <c r="H79" s="92">
        <f ca="1">SUMIFS(OFFSET('BPC Data'!$F:$F,0,Summary!H$2),'BPC Data'!$E:$E,Summary!$D79,'BPC Data'!$B:$B,Summary!$C79)</f>
        <v>221678.38</v>
      </c>
      <c r="I79" s="18">
        <f ca="1">SUMIFS(OFFSET('BPC Data'!$F:$F,0,Summary!I$2),'BPC Data'!$E:$E,Summary!$D79,'BPC Data'!$B:$B,Summary!$C79)</f>
        <v>258920.34</v>
      </c>
      <c r="J79" s="92">
        <f ca="1">SUMIFS(OFFSET('BPC Data'!$F:$F,0,Summary!J$2),'BPC Data'!$E:$E,Summary!$D79,'BPC Data'!$B:$B,Summary!$C79)</f>
        <v>226320.29</v>
      </c>
      <c r="K79" s="18">
        <f ca="1">SUMIFS(OFFSET('BPC Data'!$F:$F,0,Summary!K$2),'BPC Data'!$E:$E,Summary!$D79,'BPC Data'!$B:$B,Summary!$C79)</f>
        <v>230023.22</v>
      </c>
      <c r="L79" s="92">
        <f ca="1">SUMIFS(OFFSET('BPC Data'!$F:$F,0,Summary!L$2),'BPC Data'!$E:$E,Summary!$D79,'BPC Data'!$B:$B,Summary!$C79)</f>
        <v>243890</v>
      </c>
      <c r="M79" s="32">
        <f t="shared" ca="1" si="38"/>
        <v>1416474.23</v>
      </c>
      <c r="N79" s="110">
        <f>Glenwood!O455-Glenwood!O450-Glenwood!O449-Glenwood!O448-Glenwood!O446-Glenwood!O445-Glenwood!O444-Glenwood!O443-Glenwood!O438-Glenwood!O422-Glenwood!O413-Glenwood!O414+N80</f>
        <v>1416474.2299999997</v>
      </c>
      <c r="O79" s="106">
        <f ca="1">N79-M79</f>
        <v>0</v>
      </c>
    </row>
    <row r="80" spans="1:15" s="16" customFormat="1" x14ac:dyDescent="0.25">
      <c r="A80" s="16">
        <f t="shared" si="37"/>
        <v>7</v>
      </c>
      <c r="B80"/>
      <c r="C80" t="str">
        <f>$F75</f>
        <v>Glenwood Healthcare</v>
      </c>
      <c r="D80" s="3" t="str">
        <f t="shared" si="10"/>
        <v>T_BAD_DEBT - Tenant Bad Debt Expense</v>
      </c>
      <c r="E80"/>
      <c r="F80" s="22" t="str">
        <f>_xll.EVDES(D80)</f>
        <v>Tenant Bad Debt Expense</v>
      </c>
      <c r="G80" s="18">
        <f ca="1">SUMIFS(OFFSET('BPC Data'!$F:$F,0,Summary!G$2),'BPC Data'!$E:$E,Summary!$D80,'BPC Data'!$B:$B,Summary!$C80)</f>
        <v>7358.99</v>
      </c>
      <c r="H80" s="92">
        <f ca="1">SUMIFS(OFFSET('BPC Data'!$F:$F,0,Summary!H$2),'BPC Data'!$E:$E,Summary!$D80,'BPC Data'!$B:$B,Summary!$C80)</f>
        <v>7358.99</v>
      </c>
      <c r="I80" s="18">
        <f ca="1">SUMIFS(OFFSET('BPC Data'!$F:$F,0,Summary!I$2),'BPC Data'!$E:$E,Summary!$D80,'BPC Data'!$B:$B,Summary!$C80)</f>
        <v>22330.84</v>
      </c>
      <c r="J80" s="92">
        <f ca="1">SUMIFS(OFFSET('BPC Data'!$F:$F,0,Summary!J$2),'BPC Data'!$E:$E,Summary!$D80,'BPC Data'!$B:$B,Summary!$C80)</f>
        <v>7358.99</v>
      </c>
      <c r="K80" s="18">
        <f ca="1">SUMIFS(OFFSET('BPC Data'!$F:$F,0,Summary!K$2),'BPC Data'!$E:$E,Summary!$D80,'BPC Data'!$B:$B,Summary!$C80)</f>
        <v>7358.99</v>
      </c>
      <c r="L80" s="92">
        <f ca="1">SUMIFS(OFFSET('BPC Data'!$F:$F,0,Summary!L$2),'BPC Data'!$E:$E,Summary!$D80,'BPC Data'!$B:$B,Summary!$C80)</f>
        <v>7358.99</v>
      </c>
      <c r="M80" s="32">
        <f t="shared" ca="1" si="38"/>
        <v>59125.789999999994</v>
      </c>
      <c r="N80" s="110">
        <f>-(Glenwood!O143+Glenwood!O142)</f>
        <v>59125.789999999994</v>
      </c>
      <c r="O80" s="106">
        <f ca="1">N80-M80</f>
        <v>0</v>
      </c>
    </row>
    <row r="81" spans="1:15" s="16" customFormat="1" x14ac:dyDescent="0.25">
      <c r="A81" s="16">
        <f t="shared" si="37"/>
        <v>7</v>
      </c>
      <c r="B81"/>
      <c r="C81" t="str">
        <f>$F75</f>
        <v>Glenwood Healthcare</v>
      </c>
      <c r="D81" s="2" t="str">
        <f t="shared" si="10"/>
        <v>T_EBITDARM - EBITDARM</v>
      </c>
      <c r="E81"/>
      <c r="F81" s="22" t="str">
        <f>_xll.EVDES(D81)</f>
        <v>EBITDARM</v>
      </c>
      <c r="G81" s="18">
        <f ca="1">SUMIFS(OFFSET('BPC Data'!$F:$F,0,Summary!G$2),'BPC Data'!$E:$E,Summary!$D81,'BPC Data'!$B:$B,Summary!$C81)</f>
        <v>46600.31</v>
      </c>
      <c r="H81" s="92">
        <f ca="1">SUMIFS(OFFSET('BPC Data'!$F:$F,0,Summary!H$2),'BPC Data'!$E:$E,Summary!$D81,'BPC Data'!$B:$B,Summary!$C81)</f>
        <v>44535.25</v>
      </c>
      <c r="I81" s="18">
        <f ca="1">SUMIFS(OFFSET('BPC Data'!$F:$F,0,Summary!I$2),'BPC Data'!$E:$E,Summary!$D81,'BPC Data'!$B:$B,Summary!$C81)</f>
        <v>36255.619999999901</v>
      </c>
      <c r="J81" s="92">
        <f ca="1">SUMIFS(OFFSET('BPC Data'!$F:$F,0,Summary!J$2),'BPC Data'!$E:$E,Summary!$D81,'BPC Data'!$B:$B,Summary!$C81)</f>
        <v>36377.47</v>
      </c>
      <c r="K81" s="18">
        <f ca="1">SUMIFS(OFFSET('BPC Data'!$F:$F,0,Summary!K$2),'BPC Data'!$E:$E,Summary!$D81,'BPC Data'!$B:$B,Summary!$C81)</f>
        <v>43014.14</v>
      </c>
      <c r="L81" s="92">
        <f ca="1">SUMIFS(OFFSET('BPC Data'!$F:$F,0,Summary!L$2),'BPC Data'!$E:$E,Summary!$D81,'BPC Data'!$B:$B,Summary!$C81)</f>
        <v>21552.16</v>
      </c>
      <c r="M81" s="32">
        <f t="shared" ca="1" si="38"/>
        <v>228334.94999999992</v>
      </c>
      <c r="N81" s="110">
        <f>N78-N79</f>
        <v>228334.95000000042</v>
      </c>
      <c r="O81" s="106">
        <f ca="1">N81-M81</f>
        <v>4.9476511776447296E-10</v>
      </c>
    </row>
    <row r="82" spans="1:15" s="16" customFormat="1" x14ac:dyDescent="0.25">
      <c r="A82" s="16">
        <f t="shared" si="37"/>
        <v>7</v>
      </c>
      <c r="B82"/>
      <c r="C82" t="str">
        <f>$F75</f>
        <v>Glenwood Healthcare</v>
      </c>
      <c r="D82" s="2" t="str">
        <f t="shared" si="10"/>
        <v>T_MGMT_FEE - Tenant Management Fee - Actual</v>
      </c>
      <c r="E82"/>
      <c r="F82" s="22" t="str">
        <f>_xll.EVDES(D82)</f>
        <v>Tenant Management Fee - Actual</v>
      </c>
      <c r="G82" s="18">
        <f ca="1">SUMIFS(OFFSET('BPC Data'!$F:$F,0,Summary!G$2),'BPC Data'!$E:$E,Summary!$D82,'BPC Data'!$B:$B,Summary!$C82)</f>
        <v>20837.02</v>
      </c>
      <c r="H82" s="92">
        <f ca="1">SUMIFS(OFFSET('BPC Data'!$F:$F,0,Summary!H$2),'BPC Data'!$E:$E,Summary!$D82,'BPC Data'!$B:$B,Summary!$C82)</f>
        <v>18612.2</v>
      </c>
      <c r="I82" s="18">
        <f ca="1">SUMIFS(OFFSET('BPC Data'!$F:$F,0,Summary!I$2),'BPC Data'!$E:$E,Summary!$D82,'BPC Data'!$B:$B,Summary!$C82)</f>
        <v>20845.599999999999</v>
      </c>
      <c r="J82" s="92">
        <f ca="1">SUMIFS(OFFSET('BPC Data'!$F:$F,0,Summary!J$2),'BPC Data'!$E:$E,Summary!$D82,'BPC Data'!$B:$B,Summary!$C82)</f>
        <v>18831.900000000001</v>
      </c>
      <c r="K82" s="18">
        <f ca="1">SUMIFS(OFFSET('BPC Data'!$F:$F,0,Summary!K$2),'BPC Data'!$E:$E,Summary!$D82,'BPC Data'!$B:$B,Summary!$C82)</f>
        <v>19129.169999999998</v>
      </c>
      <c r="L82" s="92">
        <f ca="1">SUMIFS(OFFSET('BPC Data'!$F:$F,0,Summary!L$2),'BPC Data'!$E:$E,Summary!$D82,'BPC Data'!$B:$B,Summary!$C82)</f>
        <v>19264.18</v>
      </c>
      <c r="M82" s="32">
        <f t="shared" ca="1" si="38"/>
        <v>117520.07</v>
      </c>
      <c r="N82" s="110">
        <f>Glenwood!O443+Glenwood!O422</f>
        <v>117520.07</v>
      </c>
      <c r="O82" s="106">
        <f t="shared" ca="1" si="36"/>
        <v>0</v>
      </c>
    </row>
    <row r="83" spans="1:15" s="16" customFormat="1" x14ac:dyDescent="0.25">
      <c r="A83" s="16">
        <f t="shared" si="37"/>
        <v>7</v>
      </c>
      <c r="B83"/>
      <c r="C83" t="str">
        <f>$F75</f>
        <v>Glenwood Healthcare</v>
      </c>
      <c r="D83" s="1" t="str">
        <f t="shared" si="10"/>
        <v>T_EBITDAR - EBITDAR</v>
      </c>
      <c r="E83"/>
      <c r="F83" s="22" t="str">
        <f>_xll.EVDES(D83)</f>
        <v>EBITDAR</v>
      </c>
      <c r="G83" s="18">
        <f ca="1">SUMIFS(OFFSET('BPC Data'!$F:$F,0,Summary!G$2),'BPC Data'!$E:$E,Summary!$D83,'BPC Data'!$B:$B,Summary!$C83)</f>
        <v>25763.29</v>
      </c>
      <c r="H83" s="92">
        <f ca="1">SUMIFS(OFFSET('BPC Data'!$F:$F,0,Summary!H$2),'BPC Data'!$E:$E,Summary!$D83,'BPC Data'!$B:$B,Summary!$C83)</f>
        <v>25923.05</v>
      </c>
      <c r="I83" s="18">
        <f ca="1">SUMIFS(OFFSET('BPC Data'!$F:$F,0,Summary!I$2),'BPC Data'!$E:$E,Summary!$D83,'BPC Data'!$B:$B,Summary!$C83)</f>
        <v>15410.0199999999</v>
      </c>
      <c r="J83" s="92">
        <f ca="1">SUMIFS(OFFSET('BPC Data'!$F:$F,0,Summary!J$2),'BPC Data'!$E:$E,Summary!$D83,'BPC Data'!$B:$B,Summary!$C83)</f>
        <v>17545.57</v>
      </c>
      <c r="K83" s="18">
        <f ca="1">SUMIFS(OFFSET('BPC Data'!$F:$F,0,Summary!K$2),'BPC Data'!$E:$E,Summary!$D83,'BPC Data'!$B:$B,Summary!$C83)</f>
        <v>23884.97</v>
      </c>
      <c r="L83" s="92">
        <f ca="1">SUMIFS(OFFSET('BPC Data'!$F:$F,0,Summary!L$2),'BPC Data'!$E:$E,Summary!$D83,'BPC Data'!$B:$B,Summary!$C83)</f>
        <v>2287.97999999998</v>
      </c>
      <c r="M83" s="32">
        <f t="shared" ca="1" si="38"/>
        <v>110814.87999999989</v>
      </c>
      <c r="N83" s="110">
        <f>N81-N82</f>
        <v>110814.88000000041</v>
      </c>
      <c r="O83" s="106">
        <f t="shared" ca="1" si="36"/>
        <v>5.2386894822120667E-10</v>
      </c>
    </row>
    <row r="84" spans="1:15" s="16" customFormat="1" x14ac:dyDescent="0.25">
      <c r="A84" s="16">
        <f t="shared" si="37"/>
        <v>7</v>
      </c>
      <c r="B84"/>
      <c r="C84" t="str">
        <f>$F75</f>
        <v>Glenwood Healthcare</v>
      </c>
      <c r="D84" s="1" t="str">
        <f t="shared" si="10"/>
        <v>T_RENT_EXP - Tenant Rent Expense</v>
      </c>
      <c r="E84"/>
      <c r="F84" s="22" t="str">
        <f>_xll.EVDES(D84)</f>
        <v>Tenant Rent Expense</v>
      </c>
      <c r="G84" s="18">
        <f ca="1">SUMIFS(OFFSET('BPC Data'!$F:$F,0,Summary!G$2),'BPC Data'!$E:$E,Summary!$D84,'BPC Data'!$B:$B,Summary!$C84)</f>
        <v>35399.97</v>
      </c>
      <c r="H84" s="92">
        <f ca="1">SUMIFS(OFFSET('BPC Data'!$F:$F,0,Summary!H$2),'BPC Data'!$E:$E,Summary!$D84,'BPC Data'!$B:$B,Summary!$C84)</f>
        <v>35399.97</v>
      </c>
      <c r="I84" s="18">
        <f ca="1">SUMIFS(OFFSET('BPC Data'!$F:$F,0,Summary!I$2),'BPC Data'!$E:$E,Summary!$D84,'BPC Data'!$B:$B,Summary!$C84)</f>
        <v>38766.089999999997</v>
      </c>
      <c r="J84" s="92">
        <f ca="1">SUMIFS(OFFSET('BPC Data'!$F:$F,0,Summary!J$2),'BPC Data'!$E:$E,Summary!$D84,'BPC Data'!$B:$B,Summary!$C84)</f>
        <v>37083.03</v>
      </c>
      <c r="K84" s="18">
        <f ca="1">SUMIFS(OFFSET('BPC Data'!$F:$F,0,Summary!K$2),'BPC Data'!$E:$E,Summary!$D84,'BPC Data'!$B:$B,Summary!$C84)</f>
        <v>37083.03</v>
      </c>
      <c r="L84" s="92">
        <f ca="1">SUMIFS(OFFSET('BPC Data'!$F:$F,0,Summary!L$2),'BPC Data'!$E:$E,Summary!$D84,'BPC Data'!$B:$B,Summary!$C84)</f>
        <v>37083.03</v>
      </c>
      <c r="M84" s="32">
        <f t="shared" ca="1" si="38"/>
        <v>220815.12</v>
      </c>
      <c r="N84" s="110">
        <f>Glenwood!O446</f>
        <v>220815.12</v>
      </c>
      <c r="O84" s="106">
        <f t="shared" ca="1" si="36"/>
        <v>0</v>
      </c>
    </row>
    <row r="85" spans="1:15" s="16" customFormat="1" x14ac:dyDescent="0.25">
      <c r="A85" s="16">
        <f t="shared" si="37"/>
        <v>7</v>
      </c>
      <c r="B85"/>
      <c r="C85"/>
      <c r="D85" s="1" t="str">
        <f t="shared" si="10"/>
        <v>x</v>
      </c>
      <c r="E85"/>
      <c r="F85" s="22" t="s">
        <v>0</v>
      </c>
      <c r="G85" s="11">
        <f t="shared" ref="G85:H85" ca="1" si="39">G83/G84</f>
        <v>0.72777717043263035</v>
      </c>
      <c r="H85" s="93">
        <f t="shared" ca="1" si="39"/>
        <v>0.73229016860748752</v>
      </c>
      <c r="I85" s="11">
        <f t="shared" ref="I85:J85" ca="1" si="40">I83/I84</f>
        <v>0.39751287787857642</v>
      </c>
      <c r="J85" s="93">
        <f t="shared" ca="1" si="40"/>
        <v>0.47314283649421313</v>
      </c>
      <c r="K85" s="11">
        <f t="shared" ref="K85:L85" ca="1" si="41">K83/K84</f>
        <v>0.64409434719870517</v>
      </c>
      <c r="L85" s="93">
        <f t="shared" ca="1" si="41"/>
        <v>6.1698841761311844E-2</v>
      </c>
      <c r="M85" s="32">
        <f t="shared" ca="1" si="38"/>
        <v>3.0365162423729246</v>
      </c>
      <c r="N85" s="110"/>
      <c r="O85" s="106"/>
    </row>
    <row r="86" spans="1:15" s="16" customFormat="1" x14ac:dyDescent="0.25">
      <c r="A86" s="16">
        <f>IF(AND(D86&lt;&gt;"",C86=""),A85+1,A85)</f>
        <v>8</v>
      </c>
      <c r="B86" s="4"/>
      <c r="C86" s="4"/>
      <c r="D86" s="4" t="str">
        <f t="shared" ref="D86:D149" si="42">$D75</f>
        <v>x</v>
      </c>
      <c r="E86" s="4"/>
      <c r="F86" s="21" t="str">
        <f>INDEX(PropertyList!$D:$D,MATCH(Summary!$A86,PropertyList!$C:$C,0))</f>
        <v>Silex Community Care</v>
      </c>
      <c r="G86" s="10"/>
      <c r="H86" s="91"/>
      <c r="I86" s="10"/>
      <c r="J86" s="91"/>
      <c r="K86" s="10"/>
      <c r="L86" s="91"/>
      <c r="M86" s="32">
        <f t="shared" si="35"/>
        <v>0</v>
      </c>
      <c r="N86" s="110"/>
      <c r="O86" s="106">
        <f t="shared" si="36"/>
        <v>0</v>
      </c>
    </row>
    <row r="87" spans="1:15" s="16" customFormat="1" x14ac:dyDescent="0.25">
      <c r="A87" s="16">
        <f>IF(AND(F87&lt;&gt;"",D87=""),A86+1,A86)</f>
        <v>8</v>
      </c>
      <c r="C87" t="str">
        <f>$F86</f>
        <v>Silex Community Care</v>
      </c>
      <c r="D87" s="3" t="str">
        <f t="shared" si="42"/>
        <v>PAY_PAT_DAYS - Total Payor Patient Days</v>
      </c>
      <c r="F87" s="22" t="str">
        <f>_xll.EVDES(D87)</f>
        <v>Total Payor Patient Days</v>
      </c>
      <c r="G87" s="18">
        <f ca="1">SUMIFS(OFFSET('BPC Data'!$F:$F,0,Summary!G$2),'BPC Data'!$E:$E,Summary!$D87,'BPC Data'!$B:$B,Summary!$C87)</f>
        <v>1688</v>
      </c>
      <c r="H87" s="92">
        <f ca="1">SUMIFS(OFFSET('BPC Data'!$F:$F,0,Summary!H$2),'BPC Data'!$E:$E,Summary!$D87,'BPC Data'!$B:$B,Summary!$C87)</f>
        <v>1525</v>
      </c>
      <c r="I87" s="18">
        <f ca="1">SUMIFS(OFFSET('BPC Data'!$F:$F,0,Summary!I$2),'BPC Data'!$E:$E,Summary!$D87,'BPC Data'!$B:$B,Summary!$C87)</f>
        <v>1643</v>
      </c>
      <c r="J87" s="92">
        <f ca="1">SUMIFS(OFFSET('BPC Data'!$F:$F,0,Summary!J$2),'BPC Data'!$E:$E,Summary!$D87,'BPC Data'!$B:$B,Summary!$C87)</f>
        <v>1575</v>
      </c>
      <c r="K87" s="18">
        <f ca="1">SUMIFS(OFFSET('BPC Data'!$F:$F,0,Summary!K$2),'BPC Data'!$E:$E,Summary!$D87,'BPC Data'!$B:$B,Summary!$C87)</f>
        <v>1592</v>
      </c>
      <c r="L87" s="92">
        <f ca="1">SUMIFS(OFFSET('BPC Data'!$F:$F,0,Summary!L$2),'BPC Data'!$E:$E,Summary!$D87,'BPC Data'!$B:$B,Summary!$C87)</f>
        <v>1507</v>
      </c>
      <c r="M87" s="32">
        <f ca="1">SUM(G87:L87)</f>
        <v>9530</v>
      </c>
      <c r="N87" s="110">
        <f>Silex!O23</f>
        <v>9530</v>
      </c>
      <c r="O87" s="106">
        <f t="shared" ca="1" si="36"/>
        <v>0</v>
      </c>
    </row>
    <row r="88" spans="1:15" s="16" customFormat="1" x14ac:dyDescent="0.25">
      <c r="A88" s="16">
        <f t="shared" ref="A88:A96" si="43">IF(AND(F88&lt;&gt;"",D88=""),A87+1,A87)</f>
        <v>8</v>
      </c>
      <c r="C88" t="str">
        <f>$F86</f>
        <v>Silex Community Care</v>
      </c>
      <c r="D88" s="3" t="str">
        <f t="shared" si="42"/>
        <v>A_BEDS_TOTAL - Total Available Beds</v>
      </c>
      <c r="F88" s="22" t="str">
        <f>_xll.EVDES(D88)</f>
        <v>Total Available Beds</v>
      </c>
      <c r="G88" s="18">
        <f ca="1">SUMIFS(OFFSET('BPC Data'!$F:$F,0,Summary!G$2),'BPC Data'!$E:$E,Summary!$D88,'BPC Data'!$B:$B,Summary!$C88)</f>
        <v>60</v>
      </c>
      <c r="H88" s="92">
        <f ca="1">SUMIFS(OFFSET('BPC Data'!$F:$F,0,Summary!H$2),'BPC Data'!$E:$E,Summary!$D88,'BPC Data'!$B:$B,Summary!$C88)</f>
        <v>60</v>
      </c>
      <c r="I88" s="18">
        <f ca="1">SUMIFS(OFFSET('BPC Data'!$F:$F,0,Summary!I$2),'BPC Data'!$E:$E,Summary!$D88,'BPC Data'!$B:$B,Summary!$C88)</f>
        <v>60</v>
      </c>
      <c r="J88" s="92">
        <f ca="1">SUMIFS(OFFSET('BPC Data'!$F:$F,0,Summary!J$2),'BPC Data'!$E:$E,Summary!$D88,'BPC Data'!$B:$B,Summary!$C88)</f>
        <v>60</v>
      </c>
      <c r="K88" s="18">
        <f ca="1">SUMIFS(OFFSET('BPC Data'!$F:$F,0,Summary!K$2),'BPC Data'!$E:$E,Summary!$D88,'BPC Data'!$B:$B,Summary!$C88)</f>
        <v>60</v>
      </c>
      <c r="L88" s="92">
        <f ca="1">SUMIFS(OFFSET('BPC Data'!$F:$F,0,Summary!L$2),'BPC Data'!$E:$E,Summary!$D88,'BPC Data'!$B:$B,Summary!$C88)</f>
        <v>60</v>
      </c>
      <c r="M88" s="32">
        <f ca="1">SUM(L88)</f>
        <v>60</v>
      </c>
      <c r="N88" s="110"/>
      <c r="O88" s="106"/>
    </row>
    <row r="89" spans="1:15" s="16" customFormat="1" x14ac:dyDescent="0.25">
      <c r="A89" s="16">
        <f t="shared" si="43"/>
        <v>8</v>
      </c>
      <c r="B89"/>
      <c r="C89" t="str">
        <f>$F86</f>
        <v>Silex Community Care</v>
      </c>
      <c r="D89" s="3" t="str">
        <f t="shared" si="42"/>
        <v>T_REVENUES - Total Tenant Revenues</v>
      </c>
      <c r="E89"/>
      <c r="F89" s="22" t="str">
        <f>_xll.EVDES(D89)</f>
        <v>Total Tenant Revenues</v>
      </c>
      <c r="G89" s="18">
        <f ca="1">SUMIFS(OFFSET('BPC Data'!$F:$F,0,Summary!G$2),'BPC Data'!$E:$E,Summary!$D89,'BPC Data'!$B:$B,Summary!$C89)</f>
        <v>296157.46000000002</v>
      </c>
      <c r="H89" s="92">
        <f ca="1">SUMIFS(OFFSET('BPC Data'!$F:$F,0,Summary!H$2),'BPC Data'!$E:$E,Summary!$D89,'BPC Data'!$B:$B,Summary!$C89)</f>
        <v>267110.28000000003</v>
      </c>
      <c r="I89" s="18">
        <f ca="1">SUMIFS(OFFSET('BPC Data'!$F:$F,0,Summary!I$2),'BPC Data'!$E:$E,Summary!$D89,'BPC Data'!$B:$B,Summary!$C89)</f>
        <v>286003.67</v>
      </c>
      <c r="J89" s="92">
        <f ca="1">SUMIFS(OFFSET('BPC Data'!$F:$F,0,Summary!J$2),'BPC Data'!$E:$E,Summary!$D89,'BPC Data'!$B:$B,Summary!$C89)</f>
        <v>278156.24</v>
      </c>
      <c r="K89" s="18">
        <f ca="1">SUMIFS(OFFSET('BPC Data'!$F:$F,0,Summary!K$2),'BPC Data'!$E:$E,Summary!$D89,'BPC Data'!$B:$B,Summary!$C89)</f>
        <v>279712.11</v>
      </c>
      <c r="L89" s="92">
        <f ca="1">SUMIFS(OFFSET('BPC Data'!$F:$F,0,Summary!L$2),'BPC Data'!$E:$E,Summary!$D89,'BPC Data'!$B:$B,Summary!$C89)</f>
        <v>267172.65000000002</v>
      </c>
      <c r="M89" s="32">
        <f t="shared" ref="M89:M96" ca="1" si="44">SUM(G89:L89)</f>
        <v>1674312.4099999997</v>
      </c>
      <c r="N89" s="110">
        <f>Silex!O150-Silex!O142</f>
        <v>1674312.4100000004</v>
      </c>
      <c r="O89" s="106">
        <f t="shared" ca="1" si="36"/>
        <v>0</v>
      </c>
    </row>
    <row r="90" spans="1:15" s="16" customFormat="1" x14ac:dyDescent="0.25">
      <c r="A90" s="16">
        <f t="shared" si="43"/>
        <v>8</v>
      </c>
      <c r="B90"/>
      <c r="C90" t="str">
        <f>$F86</f>
        <v>Silex Community Care</v>
      </c>
      <c r="D90" s="3" t="str">
        <f t="shared" si="42"/>
        <v>T_OPEX - Tenant Operating Expenses</v>
      </c>
      <c r="E90"/>
      <c r="F90" s="22" t="str">
        <f>_xll.EVDES(D90)</f>
        <v>Tenant Operating Expenses</v>
      </c>
      <c r="G90" s="18">
        <f ca="1">SUMIFS(OFFSET('BPC Data'!$F:$F,0,Summary!G$2),'BPC Data'!$E:$E,Summary!$D90,'BPC Data'!$B:$B,Summary!$C90)</f>
        <v>225217.76</v>
      </c>
      <c r="H90" s="92">
        <f ca="1">SUMIFS(OFFSET('BPC Data'!$F:$F,0,Summary!H$2),'BPC Data'!$E:$E,Summary!$D90,'BPC Data'!$B:$B,Summary!$C90)</f>
        <v>199886.48</v>
      </c>
      <c r="I90" s="18">
        <f ca="1">SUMIFS(OFFSET('BPC Data'!$F:$F,0,Summary!I$2),'BPC Data'!$E:$E,Summary!$D90,'BPC Data'!$B:$B,Summary!$C90)</f>
        <v>217508.01</v>
      </c>
      <c r="J90" s="92">
        <f ca="1">SUMIFS(OFFSET('BPC Data'!$F:$F,0,Summary!J$2),'BPC Data'!$E:$E,Summary!$D90,'BPC Data'!$B:$B,Summary!$C90)</f>
        <v>210233.86</v>
      </c>
      <c r="K90" s="18">
        <f ca="1">SUMIFS(OFFSET('BPC Data'!$F:$F,0,Summary!K$2),'BPC Data'!$E:$E,Summary!$D90,'BPC Data'!$B:$B,Summary!$C90)</f>
        <v>212500.64</v>
      </c>
      <c r="L90" s="92">
        <f ca="1">SUMIFS(OFFSET('BPC Data'!$F:$F,0,Summary!L$2),'BPC Data'!$E:$E,Summary!$D90,'BPC Data'!$B:$B,Summary!$C90)</f>
        <v>240130.99</v>
      </c>
      <c r="M90" s="32">
        <f t="shared" ca="1" si="44"/>
        <v>1305477.74</v>
      </c>
      <c r="N90" s="110">
        <f>Silex!O455-Silex!O450-Silex!O449-Silex!O448-Silex!O446-Silex!O445-Silex!O444-Silex!O443-Silex!O438-Silex!O422-Silex!O414-Silex!O413+N91</f>
        <v>1305477.7399999995</v>
      </c>
      <c r="O90" s="106">
        <f t="shared" ca="1" si="36"/>
        <v>0</v>
      </c>
    </row>
    <row r="91" spans="1:15" s="16" customFormat="1" x14ac:dyDescent="0.25">
      <c r="A91" s="16">
        <f t="shared" si="43"/>
        <v>8</v>
      </c>
      <c r="B91"/>
      <c r="C91" t="str">
        <f>$F86</f>
        <v>Silex Community Care</v>
      </c>
      <c r="D91" s="3" t="str">
        <f t="shared" si="42"/>
        <v>T_BAD_DEBT - Tenant Bad Debt Expense</v>
      </c>
      <c r="E91"/>
      <c r="F91" s="22" t="str">
        <f>_xll.EVDES(D91)</f>
        <v>Tenant Bad Debt Expense</v>
      </c>
      <c r="G91" s="18">
        <f ca="1">SUMIFS(OFFSET('BPC Data'!$F:$F,0,Summary!G$2),'BPC Data'!$E:$E,Summary!$D91,'BPC Data'!$B:$B,Summary!$C91)</f>
        <v>37.03</v>
      </c>
      <c r="H91" s="92">
        <f ca="1">SUMIFS(OFFSET('BPC Data'!$F:$F,0,Summary!H$2),'BPC Data'!$E:$E,Summary!$D91,'BPC Data'!$B:$B,Summary!$C91)</f>
        <v>37.03</v>
      </c>
      <c r="I91" s="18">
        <f ca="1">SUMIFS(OFFSET('BPC Data'!$F:$F,0,Summary!I$2),'BPC Data'!$E:$E,Summary!$D91,'BPC Data'!$B:$B,Summary!$C91)</f>
        <v>37.03</v>
      </c>
      <c r="J91" s="92">
        <f ca="1">SUMIFS(OFFSET('BPC Data'!$F:$F,0,Summary!J$2),'BPC Data'!$E:$E,Summary!$D91,'BPC Data'!$B:$B,Summary!$C91)</f>
        <v>37.03</v>
      </c>
      <c r="K91" s="18">
        <f ca="1">SUMIFS(OFFSET('BPC Data'!$F:$F,0,Summary!K$2),'BPC Data'!$E:$E,Summary!$D91,'BPC Data'!$B:$B,Summary!$C91)</f>
        <v>37.03</v>
      </c>
      <c r="L91" s="92">
        <f ca="1">SUMIFS(OFFSET('BPC Data'!$F:$F,0,Summary!L$2),'BPC Data'!$E:$E,Summary!$D91,'BPC Data'!$B:$B,Summary!$C91)</f>
        <v>37.03</v>
      </c>
      <c r="M91" s="32">
        <f t="shared" ca="1" si="44"/>
        <v>222.18</v>
      </c>
      <c r="N91" s="110">
        <f>-Silex!O142</f>
        <v>222.18</v>
      </c>
      <c r="O91" s="106">
        <f t="shared" ca="1" si="36"/>
        <v>0</v>
      </c>
    </row>
    <row r="92" spans="1:15" s="16" customFormat="1" x14ac:dyDescent="0.25">
      <c r="A92" s="16">
        <f t="shared" si="43"/>
        <v>8</v>
      </c>
      <c r="B92"/>
      <c r="C92" t="str">
        <f>$F86</f>
        <v>Silex Community Care</v>
      </c>
      <c r="D92" s="2" t="str">
        <f t="shared" si="42"/>
        <v>T_EBITDARM - EBITDARM</v>
      </c>
      <c r="E92"/>
      <c r="F92" s="22" t="str">
        <f>_xll.EVDES(D92)</f>
        <v>EBITDARM</v>
      </c>
      <c r="G92" s="18">
        <f ca="1">SUMIFS(OFFSET('BPC Data'!$F:$F,0,Summary!G$2),'BPC Data'!$E:$E,Summary!$D92,'BPC Data'!$B:$B,Summary!$C92)</f>
        <v>70939.7</v>
      </c>
      <c r="H92" s="92">
        <f ca="1">SUMIFS(OFFSET('BPC Data'!$F:$F,0,Summary!H$2),'BPC Data'!$E:$E,Summary!$D92,'BPC Data'!$B:$B,Summary!$C92)</f>
        <v>67223.8</v>
      </c>
      <c r="I92" s="18">
        <f ca="1">SUMIFS(OFFSET('BPC Data'!$F:$F,0,Summary!I$2),'BPC Data'!$E:$E,Summary!$D92,'BPC Data'!$B:$B,Summary!$C92)</f>
        <v>68495.66</v>
      </c>
      <c r="J92" s="92">
        <f ca="1">SUMIFS(OFFSET('BPC Data'!$F:$F,0,Summary!J$2),'BPC Data'!$E:$E,Summary!$D92,'BPC Data'!$B:$B,Summary!$C92)</f>
        <v>67922.38</v>
      </c>
      <c r="K92" s="18">
        <f ca="1">SUMIFS(OFFSET('BPC Data'!$F:$F,0,Summary!K$2),'BPC Data'!$E:$E,Summary!$D92,'BPC Data'!$B:$B,Summary!$C92)</f>
        <v>67211.47</v>
      </c>
      <c r="L92" s="92">
        <f ca="1">SUMIFS(OFFSET('BPC Data'!$F:$F,0,Summary!L$2),'BPC Data'!$E:$E,Summary!$D92,'BPC Data'!$B:$B,Summary!$C92)</f>
        <v>27041.66</v>
      </c>
      <c r="M92" s="32">
        <f t="shared" ca="1" si="44"/>
        <v>368834.67</v>
      </c>
      <c r="N92" s="110">
        <f>N89-N90</f>
        <v>368834.67000000086</v>
      </c>
      <c r="O92" s="106">
        <f t="shared" ca="1" si="36"/>
        <v>8.7311491370201111E-10</v>
      </c>
    </row>
    <row r="93" spans="1:15" s="16" customFormat="1" x14ac:dyDescent="0.25">
      <c r="A93" s="16">
        <f t="shared" si="43"/>
        <v>8</v>
      </c>
      <c r="B93"/>
      <c r="C93" t="str">
        <f>$F86</f>
        <v>Silex Community Care</v>
      </c>
      <c r="D93" s="2" t="str">
        <f t="shared" si="42"/>
        <v>T_MGMT_FEE - Tenant Management Fee - Actual</v>
      </c>
      <c r="E93"/>
      <c r="F93" s="22" t="str">
        <f>_xll.EVDES(D93)</f>
        <v>Tenant Management Fee - Actual</v>
      </c>
      <c r="G93" s="18">
        <f ca="1">SUMIFS(OFFSET('BPC Data'!$F:$F,0,Summary!G$2),'BPC Data'!$E:$E,Summary!$D93,'BPC Data'!$B:$B,Summary!$C93)</f>
        <v>20787.61</v>
      </c>
      <c r="H93" s="92">
        <f ca="1">SUMIFS(OFFSET('BPC Data'!$F:$F,0,Summary!H$2),'BPC Data'!$E:$E,Summary!$D93,'BPC Data'!$B:$B,Summary!$C93)</f>
        <v>18944.919999999998</v>
      </c>
      <c r="I93" s="18">
        <f ca="1">SUMIFS(OFFSET('BPC Data'!$F:$F,0,Summary!I$2),'BPC Data'!$E:$E,Summary!$D93,'BPC Data'!$B:$B,Summary!$C93)</f>
        <v>20323.419999999998</v>
      </c>
      <c r="J93" s="92">
        <f ca="1">SUMIFS(OFFSET('BPC Data'!$F:$F,0,Summary!J$2),'BPC Data'!$E:$E,Summary!$D93,'BPC Data'!$B:$B,Summary!$C93)</f>
        <v>19609.25</v>
      </c>
      <c r="K93" s="18">
        <f ca="1">SUMIFS(OFFSET('BPC Data'!$F:$F,0,Summary!K$2),'BPC Data'!$E:$E,Summary!$D93,'BPC Data'!$B:$B,Summary!$C93)</f>
        <v>19746.32</v>
      </c>
      <c r="L93" s="92">
        <f ca="1">SUMIFS(OFFSET('BPC Data'!$F:$F,0,Summary!L$2),'BPC Data'!$E:$E,Summary!$D93,'BPC Data'!$B:$B,Summary!$C93)</f>
        <v>18901.72</v>
      </c>
      <c r="M93" s="32">
        <f t="shared" ca="1" si="44"/>
        <v>118313.23999999999</v>
      </c>
      <c r="N93" s="110">
        <f>Silex!O443+Silex!O422</f>
        <v>118313.23999999999</v>
      </c>
      <c r="O93" s="106">
        <f t="shared" ca="1" si="36"/>
        <v>0</v>
      </c>
    </row>
    <row r="94" spans="1:15" s="16" customFormat="1" x14ac:dyDescent="0.25">
      <c r="A94" s="16">
        <f t="shared" si="43"/>
        <v>8</v>
      </c>
      <c r="B94"/>
      <c r="C94" t="str">
        <f>$F86</f>
        <v>Silex Community Care</v>
      </c>
      <c r="D94" s="1" t="str">
        <f t="shared" si="42"/>
        <v>T_EBITDAR - EBITDAR</v>
      </c>
      <c r="E94"/>
      <c r="F94" s="22" t="str">
        <f>_xll.EVDES(D94)</f>
        <v>EBITDAR</v>
      </c>
      <c r="G94" s="18">
        <f ca="1">SUMIFS(OFFSET('BPC Data'!$F:$F,0,Summary!G$2),'BPC Data'!$E:$E,Summary!$D94,'BPC Data'!$B:$B,Summary!$C94)</f>
        <v>50152.09</v>
      </c>
      <c r="H94" s="92">
        <f ca="1">SUMIFS(OFFSET('BPC Data'!$F:$F,0,Summary!H$2),'BPC Data'!$E:$E,Summary!$D94,'BPC Data'!$B:$B,Summary!$C94)</f>
        <v>48278.879999999997</v>
      </c>
      <c r="I94" s="18">
        <f ca="1">SUMIFS(OFFSET('BPC Data'!$F:$F,0,Summary!I$2),'BPC Data'!$E:$E,Summary!$D94,'BPC Data'!$B:$B,Summary!$C94)</f>
        <v>48172.24</v>
      </c>
      <c r="J94" s="92">
        <f ca="1">SUMIFS(OFFSET('BPC Data'!$F:$F,0,Summary!J$2),'BPC Data'!$E:$E,Summary!$D94,'BPC Data'!$B:$B,Summary!$C94)</f>
        <v>48313.13</v>
      </c>
      <c r="K94" s="18">
        <f ca="1">SUMIFS(OFFSET('BPC Data'!$F:$F,0,Summary!K$2),'BPC Data'!$E:$E,Summary!$D94,'BPC Data'!$B:$B,Summary!$C94)</f>
        <v>47465.15</v>
      </c>
      <c r="L94" s="92">
        <f ca="1">SUMIFS(OFFSET('BPC Data'!$F:$F,0,Summary!L$2),'BPC Data'!$E:$E,Summary!$D94,'BPC Data'!$B:$B,Summary!$C94)</f>
        <v>8139.9400000000296</v>
      </c>
      <c r="M94" s="32">
        <f t="shared" ca="1" si="44"/>
        <v>250521.43000000002</v>
      </c>
      <c r="N94" s="110">
        <f>N92-N93</f>
        <v>250521.43000000087</v>
      </c>
      <c r="O94" s="106">
        <f t="shared" ca="1" si="36"/>
        <v>8.440110832452774E-10</v>
      </c>
    </row>
    <row r="95" spans="1:15" s="16" customFormat="1" x14ac:dyDescent="0.25">
      <c r="A95" s="16">
        <f t="shared" si="43"/>
        <v>8</v>
      </c>
      <c r="B95"/>
      <c r="C95" t="str">
        <f>$F86</f>
        <v>Silex Community Care</v>
      </c>
      <c r="D95" s="1" t="str">
        <f t="shared" si="42"/>
        <v>T_RENT_EXP - Tenant Rent Expense</v>
      </c>
      <c r="E95"/>
      <c r="F95" s="22" t="str">
        <f>_xll.EVDES(D95)</f>
        <v>Tenant Rent Expense</v>
      </c>
      <c r="G95" s="18">
        <f ca="1">SUMIFS(OFFSET('BPC Data'!$F:$F,0,Summary!G$2),'BPC Data'!$E:$E,Summary!$D95,'BPC Data'!$B:$B,Summary!$C95)</f>
        <v>35399.97</v>
      </c>
      <c r="H95" s="92">
        <f ca="1">SUMIFS(OFFSET('BPC Data'!$F:$F,0,Summary!H$2),'BPC Data'!$E:$E,Summary!$D95,'BPC Data'!$B:$B,Summary!$C95)</f>
        <v>35399.97</v>
      </c>
      <c r="I95" s="18">
        <f ca="1">SUMIFS(OFFSET('BPC Data'!$F:$F,0,Summary!I$2),'BPC Data'!$E:$E,Summary!$D95,'BPC Data'!$B:$B,Summary!$C95)</f>
        <v>38766.089999999997</v>
      </c>
      <c r="J95" s="92">
        <f ca="1">SUMIFS(OFFSET('BPC Data'!$F:$F,0,Summary!J$2),'BPC Data'!$E:$E,Summary!$D95,'BPC Data'!$B:$B,Summary!$C95)</f>
        <v>37083.03</v>
      </c>
      <c r="K95" s="18">
        <f ca="1">SUMIFS(OFFSET('BPC Data'!$F:$F,0,Summary!K$2),'BPC Data'!$E:$E,Summary!$D95,'BPC Data'!$B:$B,Summary!$C95)</f>
        <v>37083.03</v>
      </c>
      <c r="L95" s="92">
        <f ca="1">SUMIFS(OFFSET('BPC Data'!$F:$F,0,Summary!L$2),'BPC Data'!$E:$E,Summary!$D95,'BPC Data'!$B:$B,Summary!$C95)</f>
        <v>37083.03</v>
      </c>
      <c r="M95" s="32">
        <f t="shared" ca="1" si="44"/>
        <v>220815.12</v>
      </c>
      <c r="N95" s="110">
        <f>Silex!O446</f>
        <v>220815.12</v>
      </c>
      <c r="O95" s="106">
        <f t="shared" ca="1" si="36"/>
        <v>0</v>
      </c>
    </row>
    <row r="96" spans="1:15" s="16" customFormat="1" x14ac:dyDescent="0.25">
      <c r="A96" s="16">
        <f t="shared" si="43"/>
        <v>8</v>
      </c>
      <c r="B96"/>
      <c r="C96"/>
      <c r="D96" s="1" t="str">
        <f t="shared" si="42"/>
        <v>x</v>
      </c>
      <c r="E96"/>
      <c r="F96" s="22" t="s">
        <v>0</v>
      </c>
      <c r="G96" s="11">
        <f t="shared" ref="G96:H96" ca="1" si="45">G94/G95</f>
        <v>1.4167269068307118</v>
      </c>
      <c r="H96" s="93">
        <f t="shared" ca="1" si="45"/>
        <v>1.3638113252638349</v>
      </c>
      <c r="I96" s="11">
        <f t="shared" ref="I96:J96" ca="1" si="46">I94/I95</f>
        <v>1.2426386050282605</v>
      </c>
      <c r="J96" s="93">
        <f t="shared" ca="1" si="46"/>
        <v>1.3028366344389872</v>
      </c>
      <c r="K96" s="11">
        <f t="shared" ref="K96:L96" ca="1" si="47">K94/K95</f>
        <v>1.2799695709870527</v>
      </c>
      <c r="L96" s="93">
        <f t="shared" ca="1" si="47"/>
        <v>0.21950579550808091</v>
      </c>
      <c r="M96" s="32">
        <f t="shared" ca="1" si="44"/>
        <v>6.825488838056927</v>
      </c>
      <c r="N96" s="110"/>
      <c r="O96" s="106"/>
    </row>
    <row r="97" spans="1:15" s="16" customFormat="1" x14ac:dyDescent="0.25">
      <c r="A97" s="16">
        <f>IF(AND(D97&lt;&gt;"",C97=""),A96+1,A96)</f>
        <v>9</v>
      </c>
      <c r="B97" s="4"/>
      <c r="C97" s="4"/>
      <c r="D97" s="4" t="str">
        <f t="shared" si="42"/>
        <v>x</v>
      </c>
      <c r="E97" s="4"/>
      <c r="F97" s="21" t="str">
        <f>INDEX(PropertyList!$D:$D,MATCH(Summary!$A97,PropertyList!$C:$C,0))</f>
        <v>South Hampton Place</v>
      </c>
      <c r="G97" s="10"/>
      <c r="H97" s="91"/>
      <c r="I97" s="10"/>
      <c r="J97" s="91"/>
      <c r="K97" s="10"/>
      <c r="L97" s="91"/>
      <c r="M97" s="32">
        <f t="shared" si="35"/>
        <v>0</v>
      </c>
      <c r="N97" s="110"/>
      <c r="O97" s="106">
        <f t="shared" si="36"/>
        <v>0</v>
      </c>
    </row>
    <row r="98" spans="1:15" s="16" customFormat="1" x14ac:dyDescent="0.25">
      <c r="A98" s="16">
        <f>IF(AND(F98&lt;&gt;"",D98=""),A97+1,A97)</f>
        <v>9</v>
      </c>
      <c r="C98" t="str">
        <f>$F97</f>
        <v>South Hampton Place</v>
      </c>
      <c r="D98" s="3" t="str">
        <f t="shared" si="42"/>
        <v>PAY_PAT_DAYS - Total Payor Patient Days</v>
      </c>
      <c r="F98" s="22" t="str">
        <f>_xll.EVDES(D98)</f>
        <v>Total Payor Patient Days</v>
      </c>
      <c r="G98" s="18">
        <f ca="1">SUMIFS(OFFSET('BPC Data'!$F:$F,0,Summary!G$2),'BPC Data'!$E:$E,Summary!$D98,'BPC Data'!$B:$B,Summary!$C98)</f>
        <v>1549</v>
      </c>
      <c r="H98" s="92">
        <f ca="1">SUMIFS(OFFSET('BPC Data'!$F:$F,0,Summary!H$2),'BPC Data'!$E:$E,Summary!$D98,'BPC Data'!$B:$B,Summary!$C98)</f>
        <v>1339</v>
      </c>
      <c r="I98" s="18">
        <f ca="1">SUMIFS(OFFSET('BPC Data'!$F:$F,0,Summary!I$2),'BPC Data'!$E:$E,Summary!$D98,'BPC Data'!$B:$B,Summary!$C98)</f>
        <v>1567</v>
      </c>
      <c r="J98" s="92">
        <f ca="1">SUMIFS(OFFSET('BPC Data'!$F:$F,0,Summary!J$2),'BPC Data'!$E:$E,Summary!$D98,'BPC Data'!$B:$B,Summary!$C98)</f>
        <v>1740</v>
      </c>
      <c r="K98" s="18">
        <f ca="1">SUMIFS(OFFSET('BPC Data'!$F:$F,0,Summary!K$2),'BPC Data'!$E:$E,Summary!$D98,'BPC Data'!$B:$B,Summary!$C98)</f>
        <v>1748</v>
      </c>
      <c r="L98" s="92">
        <f ca="1">SUMIFS(OFFSET('BPC Data'!$F:$F,0,Summary!L$2),'BPC Data'!$E:$E,Summary!$D98,'BPC Data'!$B:$B,Summary!$C98)</f>
        <v>1817</v>
      </c>
      <c r="M98" s="32">
        <f ca="1">SUM(G98:L98)</f>
        <v>9760</v>
      </c>
      <c r="N98" s="110">
        <f>S_Hampton!O23</f>
        <v>9760</v>
      </c>
      <c r="O98" s="106">
        <f t="shared" ca="1" si="36"/>
        <v>0</v>
      </c>
    </row>
    <row r="99" spans="1:15" s="16" customFormat="1" x14ac:dyDescent="0.25">
      <c r="A99" s="16">
        <f t="shared" ref="A99:A107" si="48">IF(AND(F99&lt;&gt;"",D99=""),A98+1,A98)</f>
        <v>9</v>
      </c>
      <c r="C99" t="str">
        <f>$F97</f>
        <v>South Hampton Place</v>
      </c>
      <c r="D99" s="3" t="str">
        <f t="shared" si="42"/>
        <v>A_BEDS_TOTAL - Total Available Beds</v>
      </c>
      <c r="F99" s="22" t="str">
        <f>_xll.EVDES(D99)</f>
        <v>Total Available Beds</v>
      </c>
      <c r="G99" s="18">
        <f ca="1">SUMIFS(OFFSET('BPC Data'!$F:$F,0,Summary!G$2),'BPC Data'!$E:$E,Summary!$D99,'BPC Data'!$B:$B,Summary!$C99)</f>
        <v>98</v>
      </c>
      <c r="H99" s="92">
        <f ca="1">SUMIFS(OFFSET('BPC Data'!$F:$F,0,Summary!H$2),'BPC Data'!$E:$E,Summary!$D99,'BPC Data'!$B:$B,Summary!$C99)</f>
        <v>98</v>
      </c>
      <c r="I99" s="18">
        <f ca="1">SUMIFS(OFFSET('BPC Data'!$F:$F,0,Summary!I$2),'BPC Data'!$E:$E,Summary!$D99,'BPC Data'!$B:$B,Summary!$C99)</f>
        <v>98</v>
      </c>
      <c r="J99" s="92">
        <f ca="1">SUMIFS(OFFSET('BPC Data'!$F:$F,0,Summary!J$2),'BPC Data'!$E:$E,Summary!$D99,'BPC Data'!$B:$B,Summary!$C99)</f>
        <v>98</v>
      </c>
      <c r="K99" s="18">
        <f ca="1">SUMIFS(OFFSET('BPC Data'!$F:$F,0,Summary!K$2),'BPC Data'!$E:$E,Summary!$D99,'BPC Data'!$B:$B,Summary!$C99)</f>
        <v>98</v>
      </c>
      <c r="L99" s="92">
        <f ca="1">SUMIFS(OFFSET('BPC Data'!$F:$F,0,Summary!L$2),'BPC Data'!$E:$E,Summary!$D99,'BPC Data'!$B:$B,Summary!$C99)</f>
        <v>98</v>
      </c>
      <c r="M99" s="32">
        <f ca="1">SUM(L99)</f>
        <v>98</v>
      </c>
      <c r="N99" s="110"/>
      <c r="O99" s="106"/>
    </row>
    <row r="100" spans="1:15" s="16" customFormat="1" x14ac:dyDescent="0.25">
      <c r="A100" s="16">
        <f t="shared" si="48"/>
        <v>9</v>
      </c>
      <c r="B100"/>
      <c r="C100" t="str">
        <f>$F97</f>
        <v>South Hampton Place</v>
      </c>
      <c r="D100" s="3" t="str">
        <f t="shared" si="42"/>
        <v>T_REVENUES - Total Tenant Revenues</v>
      </c>
      <c r="E100"/>
      <c r="F100" s="22" t="str">
        <f>_xll.EVDES(D100)</f>
        <v>Total Tenant Revenues</v>
      </c>
      <c r="G100" s="18">
        <f ca="1">SUMIFS(OFFSET('BPC Data'!$F:$F,0,Summary!G$2),'BPC Data'!$E:$E,Summary!$D100,'BPC Data'!$B:$B,Summary!$C100)</f>
        <v>379331.7</v>
      </c>
      <c r="H100" s="92">
        <f ca="1">SUMIFS(OFFSET('BPC Data'!$F:$F,0,Summary!H$2),'BPC Data'!$E:$E,Summary!$D100,'BPC Data'!$B:$B,Summary!$C100)</f>
        <v>314007.74</v>
      </c>
      <c r="I100" s="18">
        <f ca="1">SUMIFS(OFFSET('BPC Data'!$F:$F,0,Summary!I$2),'BPC Data'!$E:$E,Summary!$D100,'BPC Data'!$B:$B,Summary!$C100)</f>
        <v>394562.62</v>
      </c>
      <c r="J100" s="92">
        <f ca="1">SUMIFS(OFFSET('BPC Data'!$F:$F,0,Summary!J$2),'BPC Data'!$E:$E,Summary!$D100,'BPC Data'!$B:$B,Summary!$C100)</f>
        <v>412922.75</v>
      </c>
      <c r="K100" s="18">
        <f ca="1">SUMIFS(OFFSET('BPC Data'!$F:$F,0,Summary!K$2),'BPC Data'!$E:$E,Summary!$D100,'BPC Data'!$B:$B,Summary!$C100)</f>
        <v>424551.45</v>
      </c>
      <c r="L100" s="92">
        <f ca="1">SUMIFS(OFFSET('BPC Data'!$F:$F,0,Summary!L$2),'BPC Data'!$E:$E,Summary!$D100,'BPC Data'!$B:$B,Summary!$C100)</f>
        <v>481023.46</v>
      </c>
      <c r="M100" s="32">
        <f t="shared" ref="M100:M107" ca="1" si="49">SUM(G100:L100)</f>
        <v>2406399.7200000002</v>
      </c>
      <c r="N100" s="110">
        <f>S_Hampton!O150-S_Hampton!O143-S_Hampton!O142</f>
        <v>2406399.7200000002</v>
      </c>
      <c r="O100" s="106">
        <f t="shared" ca="1" si="36"/>
        <v>0</v>
      </c>
    </row>
    <row r="101" spans="1:15" s="16" customFormat="1" x14ac:dyDescent="0.25">
      <c r="A101" s="16">
        <f t="shared" si="48"/>
        <v>9</v>
      </c>
      <c r="B101"/>
      <c r="C101" t="str">
        <f>$F97</f>
        <v>South Hampton Place</v>
      </c>
      <c r="D101" s="3" t="str">
        <f t="shared" si="42"/>
        <v>T_OPEX - Tenant Operating Expenses</v>
      </c>
      <c r="E101"/>
      <c r="F101" s="22" t="str">
        <f>_xll.EVDES(D101)</f>
        <v>Tenant Operating Expenses</v>
      </c>
      <c r="G101" s="18">
        <f ca="1">SUMIFS(OFFSET('BPC Data'!$F:$F,0,Summary!G$2),'BPC Data'!$E:$E,Summary!$D101,'BPC Data'!$B:$B,Summary!$C101)</f>
        <v>354258.15</v>
      </c>
      <c r="H101" s="92">
        <f ca="1">SUMIFS(OFFSET('BPC Data'!$F:$F,0,Summary!H$2),'BPC Data'!$E:$E,Summary!$D101,'BPC Data'!$B:$B,Summary!$C101)</f>
        <v>318931.77</v>
      </c>
      <c r="I101" s="18">
        <f ca="1">SUMIFS(OFFSET('BPC Data'!$F:$F,0,Summary!I$2),'BPC Data'!$E:$E,Summary!$D101,'BPC Data'!$B:$B,Summary!$C101)</f>
        <v>365819.02</v>
      </c>
      <c r="J101" s="92">
        <f ca="1">SUMIFS(OFFSET('BPC Data'!$F:$F,0,Summary!J$2),'BPC Data'!$E:$E,Summary!$D101,'BPC Data'!$B:$B,Summary!$C101)</f>
        <v>370884.95</v>
      </c>
      <c r="K101" s="18">
        <f ca="1">SUMIFS(OFFSET('BPC Data'!$F:$F,0,Summary!K$2),'BPC Data'!$E:$E,Summary!$D101,'BPC Data'!$B:$B,Summary!$C101)</f>
        <v>461263.38</v>
      </c>
      <c r="L101" s="92">
        <f ca="1">SUMIFS(OFFSET('BPC Data'!$F:$F,0,Summary!L$2),'BPC Data'!$E:$E,Summary!$D101,'BPC Data'!$B:$B,Summary!$C101)</f>
        <v>385241.77</v>
      </c>
      <c r="M101" s="32">
        <f t="shared" ca="1" si="49"/>
        <v>2256399.04</v>
      </c>
      <c r="N101" s="110">
        <f>S_Hampton!O455-S_Hampton!O450-S_Hampton!O449-S_Hampton!O448-S_Hampton!O446-S_Hampton!O445-S_Hampton!O444-S_Hampton!O443-S_Hampton!O438-S_Hampton!O422-S_Hampton!O413-S_Hampton!O414+N102</f>
        <v>2256399.04</v>
      </c>
      <c r="O101" s="106">
        <f t="shared" ca="1" si="36"/>
        <v>0</v>
      </c>
    </row>
    <row r="102" spans="1:15" s="16" customFormat="1" x14ac:dyDescent="0.25">
      <c r="A102" s="16">
        <f t="shared" si="48"/>
        <v>9</v>
      </c>
      <c r="B102"/>
      <c r="C102" t="str">
        <f>$F97</f>
        <v>South Hampton Place</v>
      </c>
      <c r="D102" s="3" t="str">
        <f t="shared" si="42"/>
        <v>T_BAD_DEBT - Tenant Bad Debt Expense</v>
      </c>
      <c r="E102"/>
      <c r="F102" s="22" t="str">
        <f>_xll.EVDES(D102)</f>
        <v>Tenant Bad Debt Expense</v>
      </c>
      <c r="G102" s="18">
        <f ca="1">SUMIFS(OFFSET('BPC Data'!$F:$F,0,Summary!G$2),'BPC Data'!$E:$E,Summary!$D102,'BPC Data'!$B:$B,Summary!$C102)</f>
        <v>17668.759999999998</v>
      </c>
      <c r="H102" s="92">
        <f ca="1">SUMIFS(OFFSET('BPC Data'!$F:$F,0,Summary!H$2),'BPC Data'!$E:$E,Summary!$D102,'BPC Data'!$B:$B,Summary!$C102)</f>
        <v>13402.26</v>
      </c>
      <c r="I102" s="18">
        <f ca="1">SUMIFS(OFFSET('BPC Data'!$F:$F,0,Summary!I$2),'BPC Data'!$E:$E,Summary!$D102,'BPC Data'!$B:$B,Summary!$C102)</f>
        <v>19716.259999999998</v>
      </c>
      <c r="J102" s="92">
        <f ca="1">SUMIFS(OFFSET('BPC Data'!$F:$F,0,Summary!J$2),'BPC Data'!$E:$E,Summary!$D102,'BPC Data'!$B:$B,Summary!$C102)</f>
        <v>9985.76</v>
      </c>
      <c r="K102" s="18">
        <f ca="1">SUMIFS(OFFSET('BPC Data'!$F:$F,0,Summary!K$2),'BPC Data'!$E:$E,Summary!$D102,'BPC Data'!$B:$B,Summary!$C102)</f>
        <v>18166.39</v>
      </c>
      <c r="L102" s="92">
        <f ca="1">SUMIFS(OFFSET('BPC Data'!$F:$F,0,Summary!L$2),'BPC Data'!$E:$E,Summary!$D102,'BPC Data'!$B:$B,Summary!$C102)</f>
        <v>27669.26</v>
      </c>
      <c r="M102" s="32">
        <f t="shared" ca="1" si="49"/>
        <v>106608.68999999999</v>
      </c>
      <c r="N102" s="110">
        <f>-(S_Hampton!O143+S_Hampton!O142)</f>
        <v>106608.69</v>
      </c>
      <c r="O102" s="106">
        <f t="shared" ca="1" si="36"/>
        <v>0</v>
      </c>
    </row>
    <row r="103" spans="1:15" s="16" customFormat="1" x14ac:dyDescent="0.25">
      <c r="A103" s="16">
        <f t="shared" si="48"/>
        <v>9</v>
      </c>
      <c r="B103"/>
      <c r="C103" t="str">
        <f>$F97</f>
        <v>South Hampton Place</v>
      </c>
      <c r="D103" s="2" t="str">
        <f t="shared" si="42"/>
        <v>T_EBITDARM - EBITDARM</v>
      </c>
      <c r="E103"/>
      <c r="F103" s="22" t="str">
        <f>_xll.EVDES(D103)</f>
        <v>EBITDARM</v>
      </c>
      <c r="G103" s="18">
        <f ca="1">SUMIFS(OFFSET('BPC Data'!$F:$F,0,Summary!G$2),'BPC Data'!$E:$E,Summary!$D103,'BPC Data'!$B:$B,Summary!$C103)</f>
        <v>25073.55</v>
      </c>
      <c r="H103" s="92">
        <f ca="1">SUMIFS(OFFSET('BPC Data'!$F:$F,0,Summary!H$2),'BPC Data'!$E:$E,Summary!$D103,'BPC Data'!$B:$B,Summary!$C103)</f>
        <v>-4924.0299999999697</v>
      </c>
      <c r="I103" s="18">
        <f ca="1">SUMIFS(OFFSET('BPC Data'!$F:$F,0,Summary!I$2),'BPC Data'!$E:$E,Summary!$D103,'BPC Data'!$B:$B,Summary!$C103)</f>
        <v>28743.6000000001</v>
      </c>
      <c r="J103" s="92">
        <f ca="1">SUMIFS(OFFSET('BPC Data'!$F:$F,0,Summary!J$2),'BPC Data'!$E:$E,Summary!$D103,'BPC Data'!$B:$B,Summary!$C103)</f>
        <v>42037.8</v>
      </c>
      <c r="K103" s="18">
        <f ca="1">SUMIFS(OFFSET('BPC Data'!$F:$F,0,Summary!K$2),'BPC Data'!$E:$E,Summary!$D103,'BPC Data'!$B:$B,Summary!$C103)</f>
        <v>-36711.93</v>
      </c>
      <c r="L103" s="92">
        <f ca="1">SUMIFS(OFFSET('BPC Data'!$F:$F,0,Summary!L$2),'BPC Data'!$E:$E,Summary!$D103,'BPC Data'!$B:$B,Summary!$C103)</f>
        <v>95781.69</v>
      </c>
      <c r="M103" s="32">
        <f t="shared" ca="1" si="49"/>
        <v>150000.68000000014</v>
      </c>
      <c r="N103" s="110">
        <f>N100-N101</f>
        <v>150000.68000000017</v>
      </c>
      <c r="O103" s="106">
        <f t="shared" ca="1" si="36"/>
        <v>0</v>
      </c>
    </row>
    <row r="104" spans="1:15" s="16" customFormat="1" x14ac:dyDescent="0.25">
      <c r="A104" s="16">
        <f t="shared" si="48"/>
        <v>9</v>
      </c>
      <c r="B104"/>
      <c r="C104" t="str">
        <f>$F97</f>
        <v>South Hampton Place</v>
      </c>
      <c r="D104" s="2" t="str">
        <f t="shared" si="42"/>
        <v>T_MGMT_FEE - Tenant Management Fee - Actual</v>
      </c>
      <c r="E104"/>
      <c r="F104" s="22" t="str">
        <f>_xll.EVDES(D104)</f>
        <v>Tenant Management Fee - Actual</v>
      </c>
      <c r="G104" s="18">
        <f ca="1">SUMIFS(OFFSET('BPC Data'!$F:$F,0,Summary!G$2),'BPC Data'!$E:$E,Summary!$D104,'BPC Data'!$B:$B,Summary!$C104)</f>
        <v>25330.85</v>
      </c>
      <c r="H104" s="92">
        <f ca="1">SUMIFS(OFFSET('BPC Data'!$F:$F,0,Summary!H$2),'BPC Data'!$E:$E,Summary!$D104,'BPC Data'!$B:$B,Summary!$C104)</f>
        <v>21223.040000000001</v>
      </c>
      <c r="I104" s="18">
        <f ca="1">SUMIFS(OFFSET('BPC Data'!$F:$F,0,Summary!I$2),'BPC Data'!$E:$E,Summary!$D104,'BPC Data'!$B:$B,Summary!$C104)</f>
        <v>27046.23</v>
      </c>
      <c r="J104" s="92">
        <f ca="1">SUMIFS(OFFSET('BPC Data'!$F:$F,0,Summary!J$2),'BPC Data'!$E:$E,Summary!$D104,'BPC Data'!$B:$B,Summary!$C104)</f>
        <v>28667.39</v>
      </c>
      <c r="K104" s="18">
        <f ca="1">SUMIFS(OFFSET('BPC Data'!$F:$F,0,Summary!K$2),'BPC Data'!$E:$E,Summary!$D104,'BPC Data'!$B:$B,Summary!$C104)</f>
        <v>28166.48</v>
      </c>
      <c r="L104" s="92">
        <f ca="1">SUMIFS(OFFSET('BPC Data'!$F:$F,0,Summary!L$2),'BPC Data'!$E:$E,Summary!$D104,'BPC Data'!$B:$B,Summary!$C104)</f>
        <v>32994.239999999998</v>
      </c>
      <c r="M104" s="32">
        <f t="shared" ca="1" si="49"/>
        <v>163428.22999999998</v>
      </c>
      <c r="N104" s="110">
        <f>S_Hampton!O443+S_Hampton!O422</f>
        <v>163428.23000000001</v>
      </c>
      <c r="O104" s="106">
        <f t="shared" ca="1" si="36"/>
        <v>0</v>
      </c>
    </row>
    <row r="105" spans="1:15" s="16" customFormat="1" x14ac:dyDescent="0.25">
      <c r="A105" s="16">
        <f t="shared" si="48"/>
        <v>9</v>
      </c>
      <c r="B105"/>
      <c r="C105" t="str">
        <f>$F97</f>
        <v>South Hampton Place</v>
      </c>
      <c r="D105" s="1" t="str">
        <f t="shared" si="42"/>
        <v>T_EBITDAR - EBITDAR</v>
      </c>
      <c r="E105"/>
      <c r="F105" s="22" t="str">
        <f>_xll.EVDES(D105)</f>
        <v>EBITDAR</v>
      </c>
      <c r="G105" s="18">
        <f ca="1">SUMIFS(OFFSET('BPC Data'!$F:$F,0,Summary!G$2),'BPC Data'!$E:$E,Summary!$D105,'BPC Data'!$B:$B,Summary!$C105)</f>
        <v>-257.29999999995198</v>
      </c>
      <c r="H105" s="92">
        <f ca="1">SUMIFS(OFFSET('BPC Data'!$F:$F,0,Summary!H$2),'BPC Data'!$E:$E,Summary!$D105,'BPC Data'!$B:$B,Summary!$C105)</f>
        <v>-26147.07</v>
      </c>
      <c r="I105" s="18">
        <f ca="1">SUMIFS(OFFSET('BPC Data'!$F:$F,0,Summary!I$2),'BPC Data'!$E:$E,Summary!$D105,'BPC Data'!$B:$B,Summary!$C105)</f>
        <v>1697.3700000000899</v>
      </c>
      <c r="J105" s="92">
        <f ca="1">SUMIFS(OFFSET('BPC Data'!$F:$F,0,Summary!J$2),'BPC Data'!$E:$E,Summary!$D105,'BPC Data'!$B:$B,Summary!$C105)</f>
        <v>13370.41</v>
      </c>
      <c r="K105" s="18">
        <f ca="1">SUMIFS(OFFSET('BPC Data'!$F:$F,0,Summary!K$2),'BPC Data'!$E:$E,Summary!$D105,'BPC Data'!$B:$B,Summary!$C105)</f>
        <v>-64878.41</v>
      </c>
      <c r="L105" s="92">
        <f ca="1">SUMIFS(OFFSET('BPC Data'!$F:$F,0,Summary!L$2),'BPC Data'!$E:$E,Summary!$D105,'BPC Data'!$B:$B,Summary!$C105)</f>
        <v>62787.45</v>
      </c>
      <c r="M105" s="32">
        <f t="shared" ca="1" si="49"/>
        <v>-13427.549999999872</v>
      </c>
      <c r="N105" s="110">
        <f>N103-N104</f>
        <v>-13427.549999999843</v>
      </c>
      <c r="O105" s="106">
        <f t="shared" ca="1" si="36"/>
        <v>2.9103830456733704E-11</v>
      </c>
    </row>
    <row r="106" spans="1:15" s="16" customFormat="1" x14ac:dyDescent="0.25">
      <c r="A106" s="16">
        <f t="shared" si="48"/>
        <v>9</v>
      </c>
      <c r="B106"/>
      <c r="C106" t="str">
        <f>$F97</f>
        <v>South Hampton Place</v>
      </c>
      <c r="D106" s="1" t="str">
        <f t="shared" si="42"/>
        <v>T_RENT_EXP - Tenant Rent Expense</v>
      </c>
      <c r="E106"/>
      <c r="F106" s="22" t="str">
        <f>_xll.EVDES(D106)</f>
        <v>Tenant Rent Expense</v>
      </c>
      <c r="G106" s="18">
        <f ca="1">SUMIFS(OFFSET('BPC Data'!$F:$F,0,Summary!G$2),'BPC Data'!$E:$E,Summary!$D106,'BPC Data'!$B:$B,Summary!$C106)</f>
        <v>53114.73</v>
      </c>
      <c r="H106" s="92">
        <f ca="1">SUMIFS(OFFSET('BPC Data'!$F:$F,0,Summary!H$2),'BPC Data'!$E:$E,Summary!$D106,'BPC Data'!$B:$B,Summary!$C106)</f>
        <v>50704.05</v>
      </c>
      <c r="I106" s="18">
        <f ca="1">SUMIFS(OFFSET('BPC Data'!$F:$F,0,Summary!I$2),'BPC Data'!$E:$E,Summary!$D106,'BPC Data'!$B:$B,Summary!$C106)</f>
        <v>55525.41</v>
      </c>
      <c r="J106" s="92">
        <f ca="1">SUMIFS(OFFSET('BPC Data'!$F:$F,0,Summary!J$2),'BPC Data'!$E:$E,Summary!$D106,'BPC Data'!$B:$B,Summary!$C106)</f>
        <v>53114.73</v>
      </c>
      <c r="K106" s="18">
        <f ca="1">SUMIFS(OFFSET('BPC Data'!$F:$F,0,Summary!K$2),'BPC Data'!$E:$E,Summary!$D106,'BPC Data'!$B:$B,Summary!$C106)</f>
        <v>53114.73</v>
      </c>
      <c r="L106" s="92">
        <f ca="1">SUMIFS(OFFSET('BPC Data'!$F:$F,0,Summary!L$2),'BPC Data'!$E:$E,Summary!$D106,'BPC Data'!$B:$B,Summary!$C106)</f>
        <v>53114.73</v>
      </c>
      <c r="M106" s="32">
        <f t="shared" ca="1" si="49"/>
        <v>318688.38</v>
      </c>
      <c r="N106" s="110">
        <f>S_Hampton!O446</f>
        <v>318688.38</v>
      </c>
      <c r="O106" s="106">
        <f t="shared" ca="1" si="36"/>
        <v>0</v>
      </c>
    </row>
    <row r="107" spans="1:15" s="16" customFormat="1" x14ac:dyDescent="0.25">
      <c r="A107" s="16">
        <f t="shared" si="48"/>
        <v>9</v>
      </c>
      <c r="B107"/>
      <c r="C107"/>
      <c r="D107" s="1" t="str">
        <f t="shared" si="42"/>
        <v>x</v>
      </c>
      <c r="E107"/>
      <c r="F107" s="22" t="s">
        <v>0</v>
      </c>
      <c r="G107" s="11">
        <f t="shared" ref="G107:H107" ca="1" si="50">G105/G106</f>
        <v>-4.8442305929061857E-3</v>
      </c>
      <c r="H107" s="93">
        <f t="shared" ca="1" si="50"/>
        <v>-0.51568010839370815</v>
      </c>
      <c r="I107" s="11">
        <f t="shared" ref="I107:J107" ca="1" si="51">I105/I106</f>
        <v>3.0569247485071966E-2</v>
      </c>
      <c r="J107" s="93">
        <f t="shared" ca="1" si="51"/>
        <v>0.2517269691477298</v>
      </c>
      <c r="K107" s="11">
        <f t="shared" ref="K107:L107" ca="1" si="52">K105/K106</f>
        <v>-1.2214767918428655</v>
      </c>
      <c r="L107" s="93">
        <f t="shared" ca="1" si="52"/>
        <v>1.1821099344758035</v>
      </c>
      <c r="M107" s="32">
        <f t="shared" ca="1" si="49"/>
        <v>-0.27759497972087455</v>
      </c>
      <c r="N107" s="110"/>
      <c r="O107" s="106"/>
    </row>
    <row r="108" spans="1:15" s="16" customFormat="1" x14ac:dyDescent="0.25">
      <c r="A108" s="16">
        <f>IF(AND(D108&lt;&gt;"",C108=""),A107+1,A107)</f>
        <v>10</v>
      </c>
      <c r="B108" s="4"/>
      <c r="C108" s="4"/>
      <c r="D108" s="4" t="str">
        <f t="shared" si="42"/>
        <v>x</v>
      </c>
      <c r="E108" s="4"/>
      <c r="F108" s="21" t="str">
        <f>INDEX(PropertyList!$D:$D,MATCH(Summary!$A108,PropertyList!$C:$C,0))</f>
        <v>Strafford Care Center</v>
      </c>
      <c r="G108" s="10"/>
      <c r="H108" s="91"/>
      <c r="I108" s="10"/>
      <c r="J108" s="91"/>
      <c r="K108" s="10"/>
      <c r="L108" s="91"/>
      <c r="M108" s="32">
        <f t="shared" si="35"/>
        <v>0</v>
      </c>
      <c r="N108" s="110"/>
      <c r="O108" s="106">
        <f t="shared" si="36"/>
        <v>0</v>
      </c>
    </row>
    <row r="109" spans="1:15" s="16" customFormat="1" x14ac:dyDescent="0.25">
      <c r="A109" s="16">
        <f>IF(AND(F109&lt;&gt;"",D109=""),A108+1,A108)</f>
        <v>10</v>
      </c>
      <c r="C109" t="str">
        <f>$F108</f>
        <v>Strafford Care Center</v>
      </c>
      <c r="D109" s="3" t="str">
        <f t="shared" si="42"/>
        <v>PAY_PAT_DAYS - Total Payor Patient Days</v>
      </c>
      <c r="F109" s="22" t="str">
        <f>_xll.EVDES(D109)</f>
        <v>Total Payor Patient Days</v>
      </c>
      <c r="G109" s="18">
        <f ca="1">SUMIFS(OFFSET('BPC Data'!$F:$F,0,Summary!G$2),'BPC Data'!$E:$E,Summary!$D109,'BPC Data'!$B:$B,Summary!$C109)</f>
        <v>1787</v>
      </c>
      <c r="H109" s="92">
        <f ca="1">SUMIFS(OFFSET('BPC Data'!$F:$F,0,Summary!H$2),'BPC Data'!$E:$E,Summary!$D109,'BPC Data'!$B:$B,Summary!$C109)</f>
        <v>1601</v>
      </c>
      <c r="I109" s="18">
        <f ca="1">SUMIFS(OFFSET('BPC Data'!$F:$F,0,Summary!I$2),'BPC Data'!$E:$E,Summary!$D109,'BPC Data'!$B:$B,Summary!$C109)</f>
        <v>1861</v>
      </c>
      <c r="J109" s="92">
        <f ca="1">SUMIFS(OFFSET('BPC Data'!$F:$F,0,Summary!J$2),'BPC Data'!$E:$E,Summary!$D109,'BPC Data'!$B:$B,Summary!$C109)</f>
        <v>1992</v>
      </c>
      <c r="K109" s="18">
        <f ca="1">SUMIFS(OFFSET('BPC Data'!$F:$F,0,Summary!K$2),'BPC Data'!$E:$E,Summary!$D109,'BPC Data'!$B:$B,Summary!$C109)</f>
        <v>2095</v>
      </c>
      <c r="L109" s="92">
        <f ca="1">SUMIFS(OFFSET('BPC Data'!$F:$F,0,Summary!L$2),'BPC Data'!$E:$E,Summary!$D109,'BPC Data'!$B:$B,Summary!$C109)</f>
        <v>2009</v>
      </c>
      <c r="M109" s="32">
        <f ca="1">SUM(G109:L109)</f>
        <v>11345</v>
      </c>
      <c r="N109" s="110">
        <f>Strafford!O23</f>
        <v>11345</v>
      </c>
      <c r="O109" s="106">
        <f t="shared" ca="1" si="36"/>
        <v>0</v>
      </c>
    </row>
    <row r="110" spans="1:15" s="16" customFormat="1" x14ac:dyDescent="0.25">
      <c r="A110" s="16">
        <f t="shared" ref="A110:A118" si="53">IF(AND(F110&lt;&gt;"",D110=""),A109+1,A109)</f>
        <v>10</v>
      </c>
      <c r="C110" t="str">
        <f>$F108</f>
        <v>Strafford Care Center</v>
      </c>
      <c r="D110" s="3" t="str">
        <f t="shared" si="42"/>
        <v>A_BEDS_TOTAL - Total Available Beds</v>
      </c>
      <c r="F110" s="22" t="str">
        <f>_xll.EVDES(D110)</f>
        <v>Total Available Beds</v>
      </c>
      <c r="G110" s="18">
        <f ca="1">SUMIFS(OFFSET('BPC Data'!$F:$F,0,Summary!G$2),'BPC Data'!$E:$E,Summary!$D110,'BPC Data'!$B:$B,Summary!$C110)</f>
        <v>78</v>
      </c>
      <c r="H110" s="92">
        <f ca="1">SUMIFS(OFFSET('BPC Data'!$F:$F,0,Summary!H$2),'BPC Data'!$E:$E,Summary!$D110,'BPC Data'!$B:$B,Summary!$C110)</f>
        <v>78</v>
      </c>
      <c r="I110" s="18">
        <f ca="1">SUMIFS(OFFSET('BPC Data'!$F:$F,0,Summary!I$2),'BPC Data'!$E:$E,Summary!$D110,'BPC Data'!$B:$B,Summary!$C110)</f>
        <v>78</v>
      </c>
      <c r="J110" s="92">
        <f ca="1">SUMIFS(OFFSET('BPC Data'!$F:$F,0,Summary!J$2),'BPC Data'!$E:$E,Summary!$D110,'BPC Data'!$B:$B,Summary!$C110)</f>
        <v>78</v>
      </c>
      <c r="K110" s="18">
        <f ca="1">SUMIFS(OFFSET('BPC Data'!$F:$F,0,Summary!K$2),'BPC Data'!$E:$E,Summary!$D110,'BPC Data'!$B:$B,Summary!$C110)</f>
        <v>78</v>
      </c>
      <c r="L110" s="92">
        <f ca="1">SUMIFS(OFFSET('BPC Data'!$F:$F,0,Summary!L$2),'BPC Data'!$E:$E,Summary!$D110,'BPC Data'!$B:$B,Summary!$C110)</f>
        <v>78</v>
      </c>
      <c r="M110" s="32">
        <f ca="1">SUM(L110)</f>
        <v>78</v>
      </c>
      <c r="N110" s="110"/>
      <c r="O110" s="106"/>
    </row>
    <row r="111" spans="1:15" s="16" customFormat="1" x14ac:dyDescent="0.25">
      <c r="A111" s="16">
        <f t="shared" si="53"/>
        <v>10</v>
      </c>
      <c r="B111"/>
      <c r="C111" t="str">
        <f>$F108</f>
        <v>Strafford Care Center</v>
      </c>
      <c r="D111" s="3" t="str">
        <f t="shared" si="42"/>
        <v>T_REVENUES - Total Tenant Revenues</v>
      </c>
      <c r="E111"/>
      <c r="F111" s="22" t="str">
        <f>_xll.EVDES(D111)</f>
        <v>Total Tenant Revenues</v>
      </c>
      <c r="G111" s="18">
        <f ca="1">SUMIFS(OFFSET('BPC Data'!$F:$F,0,Summary!G$2),'BPC Data'!$E:$E,Summary!$D111,'BPC Data'!$B:$B,Summary!$C111)</f>
        <v>351700.97</v>
      </c>
      <c r="H111" s="92">
        <f ca="1">SUMIFS(OFFSET('BPC Data'!$F:$F,0,Summary!H$2),'BPC Data'!$E:$E,Summary!$D111,'BPC Data'!$B:$B,Summary!$C111)</f>
        <v>319198.14</v>
      </c>
      <c r="I111" s="18">
        <f ca="1">SUMIFS(OFFSET('BPC Data'!$F:$F,0,Summary!I$2),'BPC Data'!$E:$E,Summary!$D111,'BPC Data'!$B:$B,Summary!$C111)</f>
        <v>348126.1</v>
      </c>
      <c r="J111" s="92">
        <f ca="1">SUMIFS(OFFSET('BPC Data'!$F:$F,0,Summary!J$2),'BPC Data'!$E:$E,Summary!$D111,'BPC Data'!$B:$B,Summary!$C111)</f>
        <v>412746.8</v>
      </c>
      <c r="K111" s="18">
        <f ca="1">SUMIFS(OFFSET('BPC Data'!$F:$F,0,Summary!K$2),'BPC Data'!$E:$E,Summary!$D111,'BPC Data'!$B:$B,Summary!$C111)</f>
        <v>433962.86</v>
      </c>
      <c r="L111" s="92">
        <f ca="1">SUMIFS(OFFSET('BPC Data'!$F:$F,0,Summary!L$2),'BPC Data'!$E:$E,Summary!$D111,'BPC Data'!$B:$B,Summary!$C111)</f>
        <v>410594.04</v>
      </c>
      <c r="M111" s="32">
        <f t="shared" ref="M111:M118" ca="1" si="54">SUM(G111:L111)</f>
        <v>2276328.91</v>
      </c>
      <c r="N111" s="110">
        <f>Strafford!O150-Strafford!O142</f>
        <v>2276328.9100000006</v>
      </c>
      <c r="O111" s="106">
        <f t="shared" ca="1" si="36"/>
        <v>0</v>
      </c>
    </row>
    <row r="112" spans="1:15" s="16" customFormat="1" x14ac:dyDescent="0.25">
      <c r="A112" s="16">
        <f t="shared" si="53"/>
        <v>10</v>
      </c>
      <c r="B112"/>
      <c r="C112" t="str">
        <f>$F108</f>
        <v>Strafford Care Center</v>
      </c>
      <c r="D112" s="3" t="str">
        <f t="shared" si="42"/>
        <v>T_OPEX - Tenant Operating Expenses</v>
      </c>
      <c r="E112"/>
      <c r="F112" s="22" t="str">
        <f>_xll.EVDES(D112)</f>
        <v>Tenant Operating Expenses</v>
      </c>
      <c r="G112" s="18">
        <f ca="1">SUMIFS(OFFSET('BPC Data'!$F:$F,0,Summary!G$2),'BPC Data'!$E:$E,Summary!$D112,'BPC Data'!$B:$B,Summary!$C112)</f>
        <v>312893.3</v>
      </c>
      <c r="H112" s="92">
        <f ca="1">SUMIFS(OFFSET('BPC Data'!$F:$F,0,Summary!H$2),'BPC Data'!$E:$E,Summary!$D112,'BPC Data'!$B:$B,Summary!$C112)</f>
        <v>297830.33</v>
      </c>
      <c r="I112" s="18">
        <f ca="1">SUMIFS(OFFSET('BPC Data'!$F:$F,0,Summary!I$2),'BPC Data'!$E:$E,Summary!$D112,'BPC Data'!$B:$B,Summary!$C112)</f>
        <v>335011.5</v>
      </c>
      <c r="J112" s="92">
        <f ca="1">SUMIFS(OFFSET('BPC Data'!$F:$F,0,Summary!J$2),'BPC Data'!$E:$E,Summary!$D112,'BPC Data'!$B:$B,Summary!$C112)</f>
        <v>336912.15</v>
      </c>
      <c r="K112" s="18">
        <f ca="1">SUMIFS(OFFSET('BPC Data'!$F:$F,0,Summary!K$2),'BPC Data'!$E:$E,Summary!$D112,'BPC Data'!$B:$B,Summary!$C112)</f>
        <v>388322.49</v>
      </c>
      <c r="L112" s="92">
        <f ca="1">SUMIFS(OFFSET('BPC Data'!$F:$F,0,Summary!L$2),'BPC Data'!$E:$E,Summary!$D112,'BPC Data'!$B:$B,Summary!$C112)</f>
        <v>374940.47</v>
      </c>
      <c r="M112" s="32">
        <f t="shared" ca="1" si="54"/>
        <v>2045910.24</v>
      </c>
      <c r="N112" s="110">
        <f>Strafford!O455-Strafford!O450-Strafford!O449-Strafford!O448-Strafford!O446-Strafford!O444-Strafford!O445-Strafford!O443-Strafford!O422-Strafford!O414-Strafford!O413+N113</f>
        <v>2045910.2399999998</v>
      </c>
      <c r="O112" s="106">
        <f t="shared" ca="1" si="36"/>
        <v>0</v>
      </c>
    </row>
    <row r="113" spans="1:17" s="16" customFormat="1" x14ac:dyDescent="0.25">
      <c r="A113" s="16">
        <f t="shared" si="53"/>
        <v>10</v>
      </c>
      <c r="B113"/>
      <c r="C113" t="str">
        <f>$F108</f>
        <v>Strafford Care Center</v>
      </c>
      <c r="D113" s="3" t="str">
        <f t="shared" si="42"/>
        <v>T_BAD_DEBT - Tenant Bad Debt Expense</v>
      </c>
      <c r="E113"/>
      <c r="F113" s="22" t="str">
        <f>_xll.EVDES(D113)</f>
        <v>Tenant Bad Debt Expense</v>
      </c>
      <c r="G113" s="18">
        <f ca="1">SUMIFS(OFFSET('BPC Data'!$F:$F,0,Summary!G$2),'BPC Data'!$E:$E,Summary!$D113,'BPC Data'!$B:$B,Summary!$C113)</f>
        <v>2367.58</v>
      </c>
      <c r="H113" s="92">
        <f ca="1">SUMIFS(OFFSET('BPC Data'!$F:$F,0,Summary!H$2),'BPC Data'!$E:$E,Summary!$D113,'BPC Data'!$B:$B,Summary!$C113)</f>
        <v>2367.58</v>
      </c>
      <c r="I113" s="18">
        <f ca="1">SUMIFS(OFFSET('BPC Data'!$F:$F,0,Summary!I$2),'BPC Data'!$E:$E,Summary!$D113,'BPC Data'!$B:$B,Summary!$C113)</f>
        <v>2367.58</v>
      </c>
      <c r="J113" s="92">
        <f ca="1">SUMIFS(OFFSET('BPC Data'!$F:$F,0,Summary!J$2),'BPC Data'!$E:$E,Summary!$D113,'BPC Data'!$B:$B,Summary!$C113)</f>
        <v>2367.58</v>
      </c>
      <c r="K113" s="18">
        <f ca="1">SUMIFS(OFFSET('BPC Data'!$F:$F,0,Summary!K$2),'BPC Data'!$E:$E,Summary!$D113,'BPC Data'!$B:$B,Summary!$C113)</f>
        <v>2367.58</v>
      </c>
      <c r="L113" s="92">
        <f ca="1">SUMIFS(OFFSET('BPC Data'!$F:$F,0,Summary!L$2),'BPC Data'!$E:$E,Summary!$D113,'BPC Data'!$B:$B,Summary!$C113)</f>
        <v>2367.58</v>
      </c>
      <c r="M113" s="32">
        <f t="shared" ca="1" si="54"/>
        <v>14205.48</v>
      </c>
      <c r="N113" s="110">
        <f>-(Strafford!O142)</f>
        <v>14205.48</v>
      </c>
      <c r="O113" s="106">
        <f t="shared" ca="1" si="36"/>
        <v>0</v>
      </c>
      <c r="P113" s="105" t="str">
        <f>Strafford!A455&amp;"-"&amp;Strafford!A450&amp;"-"&amp;Strafford!A449&amp;"-"&amp;Strafford!A448&amp;"-"&amp;Strafford!A446&amp;"-"&amp;Strafford!A444&amp;"-"&amp;Strafford!A445&amp;"-"&amp;Strafford!A443&amp;"-"&amp;Strafford!A422&amp;"-"&amp;Strafford!A414&amp;"-"</f>
        <v xml:space="preserve">     Total Expenses-8125 INTEREST EQUIPMENT-8120 INTEREST REAL ESTATE-8115 INTEREST-8030 FACILITY LEASE EXPENSE-8010 AMORTIZATION-8020 DEPRECIATION-8000 CONSULTING &amp; ADMINISTRATIVE SERVICES-7625 DATA PROCESSING-7570 INTEREST PAID ON VEHICLE-</v>
      </c>
    </row>
    <row r="114" spans="1:17" s="16" customFormat="1" x14ac:dyDescent="0.25">
      <c r="A114" s="16">
        <f t="shared" si="53"/>
        <v>10</v>
      </c>
      <c r="B114"/>
      <c r="C114" t="str">
        <f>$F108</f>
        <v>Strafford Care Center</v>
      </c>
      <c r="D114" s="2" t="str">
        <f t="shared" si="42"/>
        <v>T_EBITDARM - EBITDARM</v>
      </c>
      <c r="E114"/>
      <c r="F114" s="22" t="str">
        <f>_xll.EVDES(D114)</f>
        <v>EBITDARM</v>
      </c>
      <c r="G114" s="18">
        <f ca="1">SUMIFS(OFFSET('BPC Data'!$F:$F,0,Summary!G$2),'BPC Data'!$E:$E,Summary!$D114,'BPC Data'!$B:$B,Summary!$C114)</f>
        <v>38807.67</v>
      </c>
      <c r="H114" s="92">
        <f ca="1">SUMIFS(OFFSET('BPC Data'!$F:$F,0,Summary!H$2),'BPC Data'!$E:$E,Summary!$D114,'BPC Data'!$B:$B,Summary!$C114)</f>
        <v>21367.8100000001</v>
      </c>
      <c r="I114" s="18">
        <f ca="1">SUMIFS(OFFSET('BPC Data'!$F:$F,0,Summary!I$2),'BPC Data'!$E:$E,Summary!$D114,'BPC Data'!$B:$B,Summary!$C114)</f>
        <v>13114.6</v>
      </c>
      <c r="J114" s="92">
        <f ca="1">SUMIFS(OFFSET('BPC Data'!$F:$F,0,Summary!J$2),'BPC Data'!$E:$E,Summary!$D114,'BPC Data'!$B:$B,Summary!$C114)</f>
        <v>75834.650000000096</v>
      </c>
      <c r="K114" s="18">
        <f ca="1">SUMIFS(OFFSET('BPC Data'!$F:$F,0,Summary!K$2),'BPC Data'!$E:$E,Summary!$D114,'BPC Data'!$B:$B,Summary!$C114)</f>
        <v>45640.370000000097</v>
      </c>
      <c r="L114" s="92">
        <f ca="1">SUMIFS(OFFSET('BPC Data'!$F:$F,0,Summary!L$2),'BPC Data'!$E:$E,Summary!$D114,'BPC Data'!$B:$B,Summary!$C114)</f>
        <v>35653.57</v>
      </c>
      <c r="M114" s="32">
        <f t="shared" ca="1" si="54"/>
        <v>230418.67000000033</v>
      </c>
      <c r="N114" s="110">
        <f>N111-N112</f>
        <v>230418.67000000086</v>
      </c>
      <c r="O114" s="106">
        <f t="shared" ca="1" si="36"/>
        <v>5.2386894822120667E-10</v>
      </c>
      <c r="P114" s="16" t="str">
        <f>Strafford!A413</f>
        <v>7565 VEHICLE DEPRECIATION</v>
      </c>
      <c r="Q114" s="16" t="str">
        <f>Glenwood!A142</f>
        <v>4060 BAD DEBTS</v>
      </c>
    </row>
    <row r="115" spans="1:17" s="16" customFormat="1" x14ac:dyDescent="0.25">
      <c r="A115" s="16">
        <f t="shared" si="53"/>
        <v>10</v>
      </c>
      <c r="B115"/>
      <c r="C115" t="str">
        <f>$F108</f>
        <v>Strafford Care Center</v>
      </c>
      <c r="D115" s="2" t="str">
        <f t="shared" si="42"/>
        <v>T_MGMT_FEE - Tenant Management Fee - Actual</v>
      </c>
      <c r="E115"/>
      <c r="F115" s="22" t="str">
        <f>_xll.EVDES(D115)</f>
        <v>Tenant Management Fee - Actual</v>
      </c>
      <c r="G115" s="18">
        <f ca="1">SUMIFS(OFFSET('BPC Data'!$F:$F,0,Summary!G$2),'BPC Data'!$E:$E,Summary!$D115,'BPC Data'!$B:$B,Summary!$C115)</f>
        <v>24941.66</v>
      </c>
      <c r="H115" s="92">
        <f ca="1">SUMIFS(OFFSET('BPC Data'!$F:$F,0,Summary!H$2),'BPC Data'!$E:$E,Summary!$D115,'BPC Data'!$B:$B,Summary!$C115)</f>
        <v>22378.86</v>
      </c>
      <c r="I115" s="18">
        <f ca="1">SUMIFS(OFFSET('BPC Data'!$F:$F,0,Summary!I$2),'BPC Data'!$E:$E,Summary!$D115,'BPC Data'!$B:$B,Summary!$C115)</f>
        <v>25847.89</v>
      </c>
      <c r="J115" s="92">
        <f ca="1">SUMIFS(OFFSET('BPC Data'!$F:$F,0,Summary!J$2),'BPC Data'!$E:$E,Summary!$D115,'BPC Data'!$B:$B,Summary!$C115)</f>
        <v>28932.560000000001</v>
      </c>
      <c r="K115" s="18">
        <f ca="1">SUMIFS(OFFSET('BPC Data'!$F:$F,0,Summary!K$2),'BPC Data'!$E:$E,Summary!$D115,'BPC Data'!$B:$B,Summary!$C115)</f>
        <v>31123.98</v>
      </c>
      <c r="L115" s="92">
        <f ca="1">SUMIFS(OFFSET('BPC Data'!$F:$F,0,Summary!L$2),'BPC Data'!$E:$E,Summary!$D115,'BPC Data'!$B:$B,Summary!$C115)</f>
        <v>29087.38</v>
      </c>
      <c r="M115" s="32">
        <f t="shared" ca="1" si="54"/>
        <v>162312.33000000002</v>
      </c>
      <c r="N115" s="110">
        <f>Strafford!O443+Strafford!O422</f>
        <v>162312.33000000002</v>
      </c>
      <c r="O115" s="106">
        <f t="shared" ca="1" si="36"/>
        <v>0</v>
      </c>
      <c r="P115" s="16" t="str">
        <f>Glenwood!A143</f>
        <v>4064 BAD DEBT PASS THRU</v>
      </c>
    </row>
    <row r="116" spans="1:17" s="16" customFormat="1" x14ac:dyDescent="0.25">
      <c r="A116" s="16">
        <f t="shared" si="53"/>
        <v>10</v>
      </c>
      <c r="B116"/>
      <c r="C116" t="str">
        <f>$F108</f>
        <v>Strafford Care Center</v>
      </c>
      <c r="D116" s="1" t="str">
        <f t="shared" si="42"/>
        <v>T_EBITDAR - EBITDAR</v>
      </c>
      <c r="E116"/>
      <c r="F116" s="22" t="str">
        <f>_xll.EVDES(D116)</f>
        <v>EBITDAR</v>
      </c>
      <c r="G116" s="18">
        <f ca="1">SUMIFS(OFFSET('BPC Data'!$F:$F,0,Summary!G$2),'BPC Data'!$E:$E,Summary!$D116,'BPC Data'!$B:$B,Summary!$C116)</f>
        <v>13866.01</v>
      </c>
      <c r="H116" s="92">
        <f ca="1">SUMIFS(OFFSET('BPC Data'!$F:$F,0,Summary!H$2),'BPC Data'!$E:$E,Summary!$D116,'BPC Data'!$B:$B,Summary!$C116)</f>
        <v>-1011.04999999994</v>
      </c>
      <c r="I116" s="18">
        <f ca="1">SUMIFS(OFFSET('BPC Data'!$F:$F,0,Summary!I$2),'BPC Data'!$E:$E,Summary!$D116,'BPC Data'!$B:$B,Summary!$C116)</f>
        <v>-12733.29</v>
      </c>
      <c r="J116" s="92">
        <f ca="1">SUMIFS(OFFSET('BPC Data'!$F:$F,0,Summary!J$2),'BPC Data'!$E:$E,Summary!$D116,'BPC Data'!$B:$B,Summary!$C116)</f>
        <v>46902.090000000098</v>
      </c>
      <c r="K116" s="18">
        <f ca="1">SUMIFS(OFFSET('BPC Data'!$F:$F,0,Summary!K$2),'BPC Data'!$E:$E,Summary!$D116,'BPC Data'!$B:$B,Summary!$C116)</f>
        <v>14516.390000000099</v>
      </c>
      <c r="L116" s="92">
        <f ca="1">SUMIFS(OFFSET('BPC Data'!$F:$F,0,Summary!L$2),'BPC Data'!$E:$E,Summary!$D116,'BPC Data'!$B:$B,Summary!$C116)</f>
        <v>6566.19</v>
      </c>
      <c r="M116" s="32">
        <f t="shared" ca="1" si="54"/>
        <v>68106.340000000258</v>
      </c>
      <c r="N116" s="110">
        <f>N114-N115</f>
        <v>68106.340000000841</v>
      </c>
      <c r="O116" s="106">
        <f t="shared" ca="1" si="36"/>
        <v>5.8207660913467407E-10</v>
      </c>
      <c r="P116" s="16" t="s">
        <v>518</v>
      </c>
    </row>
    <row r="117" spans="1:17" s="16" customFormat="1" x14ac:dyDescent="0.25">
      <c r="A117" s="16">
        <f t="shared" si="53"/>
        <v>10</v>
      </c>
      <c r="B117"/>
      <c r="C117" t="str">
        <f>$F108</f>
        <v>Strafford Care Center</v>
      </c>
      <c r="D117" s="1" t="str">
        <f t="shared" si="42"/>
        <v>T_RENT_EXP - Tenant Rent Expense</v>
      </c>
      <c r="E117"/>
      <c r="F117" s="22" t="str">
        <f>_xll.EVDES(D117)</f>
        <v>Tenant Rent Expense</v>
      </c>
      <c r="G117" s="18">
        <f ca="1">SUMIFS(OFFSET('BPC Data'!$F:$F,0,Summary!G$2),'BPC Data'!$E:$E,Summary!$D117,'BPC Data'!$B:$B,Summary!$C117)</f>
        <v>44147.53</v>
      </c>
      <c r="H117" s="92">
        <f ca="1">SUMIFS(OFFSET('BPC Data'!$F:$F,0,Summary!H$2),'BPC Data'!$E:$E,Summary!$D117,'BPC Data'!$B:$B,Summary!$C117)</f>
        <v>44147.53</v>
      </c>
      <c r="I117" s="18">
        <f ca="1">SUMIFS(OFFSET('BPC Data'!$F:$F,0,Summary!I$2),'BPC Data'!$E:$E,Summary!$D117,'BPC Data'!$B:$B,Summary!$C117)</f>
        <v>48345.45</v>
      </c>
      <c r="J117" s="92">
        <f ca="1">SUMIFS(OFFSET('BPC Data'!$F:$F,0,Summary!J$2),'BPC Data'!$E:$E,Summary!$D117,'BPC Data'!$B:$B,Summary!$C117)</f>
        <v>46246.49</v>
      </c>
      <c r="K117" s="18">
        <f ca="1">SUMIFS(OFFSET('BPC Data'!$F:$F,0,Summary!K$2),'BPC Data'!$E:$E,Summary!$D117,'BPC Data'!$B:$B,Summary!$C117)</f>
        <v>46246.49</v>
      </c>
      <c r="L117" s="92">
        <f ca="1">SUMIFS(OFFSET('BPC Data'!$F:$F,0,Summary!L$2),'BPC Data'!$E:$E,Summary!$D117,'BPC Data'!$B:$B,Summary!$C117)</f>
        <v>46246.49</v>
      </c>
      <c r="M117" s="32">
        <f t="shared" ca="1" si="54"/>
        <v>275379.98</v>
      </c>
      <c r="N117" s="110">
        <f>Strafford!O446</f>
        <v>275379.98</v>
      </c>
      <c r="O117" s="106">
        <f t="shared" ca="1" si="36"/>
        <v>0</v>
      </c>
    </row>
    <row r="118" spans="1:17" s="16" customFormat="1" x14ac:dyDescent="0.25">
      <c r="A118" s="16">
        <f t="shared" si="53"/>
        <v>10</v>
      </c>
      <c r="B118"/>
      <c r="C118"/>
      <c r="D118" s="1" t="str">
        <f t="shared" si="42"/>
        <v>x</v>
      </c>
      <c r="E118"/>
      <c r="F118" s="22" t="s">
        <v>0</v>
      </c>
      <c r="G118" s="19">
        <f t="shared" ref="G118:H118" ca="1" si="55">IFERROR(G116/G117,"N/A")</f>
        <v>0.31408348326622126</v>
      </c>
      <c r="H118" s="94">
        <f t="shared" ca="1" si="55"/>
        <v>-2.2901620996688604E-2</v>
      </c>
      <c r="I118" s="19">
        <f t="shared" ref="I118:J118" ca="1" si="56">IFERROR(I116/I117,"N/A")</f>
        <v>-0.26338135232995041</v>
      </c>
      <c r="J118" s="94">
        <f t="shared" ca="1" si="56"/>
        <v>1.0141762109946095</v>
      </c>
      <c r="K118" s="19">
        <f t="shared" ref="K118:L118" ca="1" si="57">IFERROR(K116/K117,"N/A")</f>
        <v>0.31389171372789804</v>
      </c>
      <c r="L118" s="94">
        <f t="shared" ca="1" si="57"/>
        <v>0.14198245099249693</v>
      </c>
      <c r="M118" s="32">
        <f t="shared" ca="1" si="54"/>
        <v>1.4978508856545869</v>
      </c>
      <c r="N118" s="110"/>
      <c r="O118" s="106">
        <f t="shared" ca="1" si="36"/>
        <v>-1.4978508856545869</v>
      </c>
    </row>
    <row r="119" spans="1:17" s="16" customFormat="1" x14ac:dyDescent="0.25">
      <c r="A119" s="16">
        <f>IF(AND(D119&lt;&gt;"",C119=""),A118+1,A118)</f>
        <v>11</v>
      </c>
      <c r="B119" s="4"/>
      <c r="C119" s="4"/>
      <c r="D119" s="4" t="str">
        <f t="shared" si="42"/>
        <v>x</v>
      </c>
      <c r="E119" s="4"/>
      <c r="F119" s="21" t="str">
        <f>INDEX(PropertyList!$D:$D,MATCH(Summary!$A119,PropertyList!$C:$C,0))</f>
        <v>Windsor Healthcare &amp; Rehab</v>
      </c>
      <c r="G119" s="10"/>
      <c r="H119" s="91"/>
      <c r="I119" s="10"/>
      <c r="J119" s="91"/>
      <c r="K119" s="10"/>
      <c r="L119" s="91"/>
      <c r="M119" s="32">
        <f t="shared" si="35"/>
        <v>0</v>
      </c>
      <c r="N119" s="110"/>
      <c r="O119" s="106">
        <f t="shared" si="36"/>
        <v>0</v>
      </c>
    </row>
    <row r="120" spans="1:17" s="16" customFormat="1" x14ac:dyDescent="0.25">
      <c r="A120" s="16">
        <f>IF(AND(F120&lt;&gt;"",D120=""),A119+1,A119)</f>
        <v>11</v>
      </c>
      <c r="C120" t="str">
        <f>$F119</f>
        <v>Windsor Healthcare &amp; Rehab</v>
      </c>
      <c r="D120" s="3" t="str">
        <f t="shared" si="42"/>
        <v>PAY_PAT_DAYS - Total Payor Patient Days</v>
      </c>
      <c r="F120" s="22" t="str">
        <f>_xll.EVDES(D120)</f>
        <v>Total Payor Patient Days</v>
      </c>
      <c r="G120" s="18">
        <f ca="1">SUMIFS(OFFSET('BPC Data'!$F:$F,0,Summary!G$2),'BPC Data'!$E:$E,Summary!$D120,'BPC Data'!$B:$B,Summary!$C120)</f>
        <v>1278</v>
      </c>
      <c r="H120" s="92">
        <f ca="1">SUMIFS(OFFSET('BPC Data'!$F:$F,0,Summary!H$2),'BPC Data'!$E:$E,Summary!$D120,'BPC Data'!$B:$B,Summary!$C120)</f>
        <v>1073</v>
      </c>
      <c r="I120" s="18">
        <f ca="1">SUMIFS(OFFSET('BPC Data'!$F:$F,0,Summary!I$2),'BPC Data'!$E:$E,Summary!$D120,'BPC Data'!$B:$B,Summary!$C120)</f>
        <v>1211</v>
      </c>
      <c r="J120" s="92">
        <f ca="1">SUMIFS(OFFSET('BPC Data'!$F:$F,0,Summary!J$2),'BPC Data'!$E:$E,Summary!$D120,'BPC Data'!$B:$B,Summary!$C120)</f>
        <v>1149</v>
      </c>
      <c r="K120" s="18">
        <f ca="1">SUMIFS(OFFSET('BPC Data'!$F:$F,0,Summary!K$2),'BPC Data'!$E:$E,Summary!$D120,'BPC Data'!$B:$B,Summary!$C120)</f>
        <v>1160</v>
      </c>
      <c r="L120" s="92">
        <f ca="1">SUMIFS(OFFSET('BPC Data'!$F:$F,0,Summary!L$2),'BPC Data'!$E:$E,Summary!$D120,'BPC Data'!$B:$B,Summary!$C120)</f>
        <v>1195</v>
      </c>
      <c r="M120" s="32">
        <f ca="1">SUM(G120:L120)</f>
        <v>7066</v>
      </c>
      <c r="N120" s="110">
        <f>Windsor!O23</f>
        <v>7066</v>
      </c>
      <c r="O120" s="106">
        <f t="shared" ca="1" si="36"/>
        <v>0</v>
      </c>
    </row>
    <row r="121" spans="1:17" s="16" customFormat="1" x14ac:dyDescent="0.25">
      <c r="A121" s="16">
        <f t="shared" ref="A121:A129" si="58">IF(AND(F121&lt;&gt;"",D121=""),A120+1,A120)</f>
        <v>11</v>
      </c>
      <c r="C121" t="str">
        <f>$F119</f>
        <v>Windsor Healthcare &amp; Rehab</v>
      </c>
      <c r="D121" s="3" t="str">
        <f t="shared" si="42"/>
        <v>A_BEDS_TOTAL - Total Available Beds</v>
      </c>
      <c r="F121" s="22" t="str">
        <f>_xll.EVDES(D121)</f>
        <v>Total Available Beds</v>
      </c>
      <c r="G121" s="18">
        <f ca="1">SUMIFS(OFFSET('BPC Data'!$F:$F,0,Summary!G$2),'BPC Data'!$E:$E,Summary!$D121,'BPC Data'!$B:$B,Summary!$C121)</f>
        <v>58</v>
      </c>
      <c r="H121" s="92">
        <f ca="1">SUMIFS(OFFSET('BPC Data'!$F:$F,0,Summary!H$2),'BPC Data'!$E:$E,Summary!$D121,'BPC Data'!$B:$B,Summary!$C121)</f>
        <v>58</v>
      </c>
      <c r="I121" s="18">
        <f ca="1">SUMIFS(OFFSET('BPC Data'!$F:$F,0,Summary!I$2),'BPC Data'!$E:$E,Summary!$D121,'BPC Data'!$B:$B,Summary!$C121)</f>
        <v>58</v>
      </c>
      <c r="J121" s="92">
        <f ca="1">SUMIFS(OFFSET('BPC Data'!$F:$F,0,Summary!J$2),'BPC Data'!$E:$E,Summary!$D121,'BPC Data'!$B:$B,Summary!$C121)</f>
        <v>58</v>
      </c>
      <c r="K121" s="18">
        <f ca="1">SUMIFS(OFFSET('BPC Data'!$F:$F,0,Summary!K$2),'BPC Data'!$E:$E,Summary!$D121,'BPC Data'!$B:$B,Summary!$C121)</f>
        <v>58</v>
      </c>
      <c r="L121" s="92">
        <f ca="1">SUMIFS(OFFSET('BPC Data'!$F:$F,0,Summary!L$2),'BPC Data'!$E:$E,Summary!$D121,'BPC Data'!$B:$B,Summary!$C121)</f>
        <v>58</v>
      </c>
      <c r="M121" s="32">
        <f ca="1">SUM(L121)</f>
        <v>58</v>
      </c>
      <c r="N121" s="110"/>
      <c r="O121" s="106"/>
    </row>
    <row r="122" spans="1:17" s="16" customFormat="1" x14ac:dyDescent="0.25">
      <c r="A122" s="16">
        <f t="shared" si="58"/>
        <v>11</v>
      </c>
      <c r="B122"/>
      <c r="C122" t="str">
        <f>$F119</f>
        <v>Windsor Healthcare &amp; Rehab</v>
      </c>
      <c r="D122" s="3" t="str">
        <f t="shared" si="42"/>
        <v>T_REVENUES - Total Tenant Revenues</v>
      </c>
      <c r="E122"/>
      <c r="F122" s="22" t="str">
        <f>_xll.EVDES(D122)</f>
        <v>Total Tenant Revenues</v>
      </c>
      <c r="G122" s="18">
        <f ca="1">SUMIFS(OFFSET('BPC Data'!$F:$F,0,Summary!G$2),'BPC Data'!$E:$E,Summary!$D122,'BPC Data'!$B:$B,Summary!$C122)</f>
        <v>245776.97</v>
      </c>
      <c r="H122" s="92">
        <f ca="1">SUMIFS(OFFSET('BPC Data'!$F:$F,0,Summary!H$2),'BPC Data'!$E:$E,Summary!$D122,'BPC Data'!$B:$B,Summary!$C122)</f>
        <v>214396.66</v>
      </c>
      <c r="I122" s="18">
        <f ca="1">SUMIFS(OFFSET('BPC Data'!$F:$F,0,Summary!I$2),'BPC Data'!$E:$E,Summary!$D122,'BPC Data'!$B:$B,Summary!$C122)</f>
        <v>248471.03</v>
      </c>
      <c r="J122" s="92">
        <f ca="1">SUMIFS(OFFSET('BPC Data'!$F:$F,0,Summary!J$2),'BPC Data'!$E:$E,Summary!$D122,'BPC Data'!$B:$B,Summary!$C122)</f>
        <v>224164.08</v>
      </c>
      <c r="K122" s="18">
        <f ca="1">SUMIFS(OFFSET('BPC Data'!$F:$F,0,Summary!K$2),'BPC Data'!$E:$E,Summary!$D122,'BPC Data'!$B:$B,Summary!$C122)</f>
        <v>207601.81</v>
      </c>
      <c r="L122" s="92">
        <f ca="1">SUMIFS(OFFSET('BPC Data'!$F:$F,0,Summary!L$2),'BPC Data'!$E:$E,Summary!$D122,'BPC Data'!$B:$B,Summary!$C122)</f>
        <v>229354.48</v>
      </c>
      <c r="M122" s="32">
        <f t="shared" ref="M122:M129" ca="1" si="59">SUM(G122:L122)</f>
        <v>1369765.03</v>
      </c>
      <c r="N122" s="110" t="str">
        <f>Windsor!A150&amp;Windsor!A143&amp;Windsor!A142</f>
        <v xml:space="preserve">     Total Revenues4064 BAD DEBT PASS THRU4060 BAD DEBTS</v>
      </c>
      <c r="O122" s="106" t="e">
        <f t="shared" ca="1" si="36"/>
        <v>#VALUE!</v>
      </c>
    </row>
    <row r="123" spans="1:17" s="16" customFormat="1" x14ac:dyDescent="0.25">
      <c r="A123" s="16">
        <f t="shared" si="58"/>
        <v>11</v>
      </c>
      <c r="B123"/>
      <c r="C123" t="str">
        <f>$F119</f>
        <v>Windsor Healthcare &amp; Rehab</v>
      </c>
      <c r="D123" s="3" t="str">
        <f t="shared" si="42"/>
        <v>T_OPEX - Tenant Operating Expenses</v>
      </c>
      <c r="E123"/>
      <c r="F123" s="22" t="str">
        <f>_xll.EVDES(D123)</f>
        <v>Tenant Operating Expenses</v>
      </c>
      <c r="G123" s="18">
        <f ca="1">SUMIFS(OFFSET('BPC Data'!$F:$F,0,Summary!G$2),'BPC Data'!$E:$E,Summary!$D123,'BPC Data'!$B:$B,Summary!$C123)</f>
        <v>240696.22</v>
      </c>
      <c r="H123" s="92">
        <f ca="1">SUMIFS(OFFSET('BPC Data'!$F:$F,0,Summary!H$2),'BPC Data'!$E:$E,Summary!$D123,'BPC Data'!$B:$B,Summary!$C123)</f>
        <v>233677.26</v>
      </c>
      <c r="I123" s="18">
        <f ca="1">SUMIFS(OFFSET('BPC Data'!$F:$F,0,Summary!I$2),'BPC Data'!$E:$E,Summary!$D123,'BPC Data'!$B:$B,Summary!$C123)</f>
        <v>270588.64</v>
      </c>
      <c r="J123" s="92">
        <f ca="1">SUMIFS(OFFSET('BPC Data'!$F:$F,0,Summary!J$2),'BPC Data'!$E:$E,Summary!$D123,'BPC Data'!$B:$B,Summary!$C123)</f>
        <v>244310.99</v>
      </c>
      <c r="K123" s="18">
        <f ca="1">SUMIFS(OFFSET('BPC Data'!$F:$F,0,Summary!K$2),'BPC Data'!$E:$E,Summary!$D123,'BPC Data'!$B:$B,Summary!$C123)</f>
        <v>248027.33</v>
      </c>
      <c r="L123" s="92">
        <f ca="1">SUMIFS(OFFSET('BPC Data'!$F:$F,0,Summary!L$2),'BPC Data'!$E:$E,Summary!$D123,'BPC Data'!$B:$B,Summary!$C123)</f>
        <v>243112.8</v>
      </c>
      <c r="M123" s="32">
        <f t="shared" ca="1" si="59"/>
        <v>1480413.24</v>
      </c>
      <c r="N123" s="110">
        <f>Windsor!O455-Windsor!O450-Windsor!O449-Windsor!O448-Windsor!O446-Windsor!O445-Windsor!O444-Windsor!O443-Windsor!O438-Windsor!O422-Windsor!O413-Windsor!O414+N124</f>
        <v>1480413.2399999998</v>
      </c>
      <c r="O123" s="106">
        <f t="shared" ca="1" si="36"/>
        <v>0</v>
      </c>
    </row>
    <row r="124" spans="1:17" s="16" customFormat="1" x14ac:dyDescent="0.25">
      <c r="A124" s="16">
        <f t="shared" si="58"/>
        <v>11</v>
      </c>
      <c r="B124"/>
      <c r="C124" t="str">
        <f>$F119</f>
        <v>Windsor Healthcare &amp; Rehab</v>
      </c>
      <c r="D124" s="3" t="str">
        <f t="shared" si="42"/>
        <v>T_BAD_DEBT - Tenant Bad Debt Expense</v>
      </c>
      <c r="E124"/>
      <c r="F124" s="22" t="str">
        <f>_xll.EVDES(D124)</f>
        <v>Tenant Bad Debt Expense</v>
      </c>
      <c r="G124" s="18">
        <f ca="1">SUMIFS(OFFSET('BPC Data'!$F:$F,0,Summary!G$2),'BPC Data'!$E:$E,Summary!$D124,'BPC Data'!$B:$B,Summary!$C124)</f>
        <v>7860.88</v>
      </c>
      <c r="H124" s="92">
        <f ca="1">SUMIFS(OFFSET('BPC Data'!$F:$F,0,Summary!H$2),'BPC Data'!$E:$E,Summary!$D124,'BPC Data'!$B:$B,Summary!$C124)</f>
        <v>2666.88</v>
      </c>
      <c r="I124" s="18">
        <f ca="1">SUMIFS(OFFSET('BPC Data'!$F:$F,0,Summary!I$2),'BPC Data'!$E:$E,Summary!$D124,'BPC Data'!$B:$B,Summary!$C124)</f>
        <v>12683.88</v>
      </c>
      <c r="J124" s="92">
        <f ca="1">SUMIFS(OFFSET('BPC Data'!$F:$F,0,Summary!J$2),'BPC Data'!$E:$E,Summary!$D124,'BPC Data'!$B:$B,Summary!$C124)</f>
        <v>1924.88</v>
      </c>
      <c r="K124" s="18">
        <f ca="1">SUMIFS(OFFSET('BPC Data'!$F:$F,0,Summary!K$2),'BPC Data'!$E:$E,Summary!$D124,'BPC Data'!$B:$B,Summary!$C124)</f>
        <v>7489.88</v>
      </c>
      <c r="L124" s="92">
        <f ca="1">SUMIFS(OFFSET('BPC Data'!$F:$F,0,Summary!L$2),'BPC Data'!$E:$E,Summary!$D124,'BPC Data'!$B:$B,Summary!$C124)</f>
        <v>1924.88</v>
      </c>
      <c r="M124" s="32">
        <f t="shared" ca="1" si="59"/>
        <v>34551.279999999999</v>
      </c>
      <c r="N124" s="110">
        <f>-(Windsor!O143+Windsor!O142)</f>
        <v>34551.279999999999</v>
      </c>
      <c r="O124" s="106">
        <f t="shared" ca="1" si="36"/>
        <v>0</v>
      </c>
    </row>
    <row r="125" spans="1:17" s="16" customFormat="1" x14ac:dyDescent="0.25">
      <c r="A125" s="16">
        <f t="shared" si="58"/>
        <v>11</v>
      </c>
      <c r="B125"/>
      <c r="C125" t="str">
        <f>$F119</f>
        <v>Windsor Healthcare &amp; Rehab</v>
      </c>
      <c r="D125" s="2" t="str">
        <f t="shared" si="42"/>
        <v>T_EBITDARM - EBITDARM</v>
      </c>
      <c r="E125"/>
      <c r="F125" s="22" t="str">
        <f>_xll.EVDES(D125)</f>
        <v>EBITDARM</v>
      </c>
      <c r="G125" s="18">
        <f ca="1">SUMIFS(OFFSET('BPC Data'!$F:$F,0,Summary!G$2),'BPC Data'!$E:$E,Summary!$D125,'BPC Data'!$B:$B,Summary!$C125)</f>
        <v>5080.74999999997</v>
      </c>
      <c r="H125" s="92">
        <f ca="1">SUMIFS(OFFSET('BPC Data'!$F:$F,0,Summary!H$2),'BPC Data'!$E:$E,Summary!$D125,'BPC Data'!$B:$B,Summary!$C125)</f>
        <v>-19280.599999999999</v>
      </c>
      <c r="I125" s="18">
        <f ca="1">SUMIFS(OFFSET('BPC Data'!$F:$F,0,Summary!I$2),'BPC Data'!$E:$E,Summary!$D125,'BPC Data'!$B:$B,Summary!$C125)</f>
        <v>-22117.61</v>
      </c>
      <c r="J125" s="92">
        <f ca="1">SUMIFS(OFFSET('BPC Data'!$F:$F,0,Summary!J$2),'BPC Data'!$E:$E,Summary!$D125,'BPC Data'!$B:$B,Summary!$C125)</f>
        <v>-20146.91</v>
      </c>
      <c r="K125" s="18">
        <f ca="1">SUMIFS(OFFSET('BPC Data'!$F:$F,0,Summary!K$2),'BPC Data'!$E:$E,Summary!$D125,'BPC Data'!$B:$B,Summary!$C125)</f>
        <v>-40425.519999999997</v>
      </c>
      <c r="L125" s="92">
        <f ca="1">SUMIFS(OFFSET('BPC Data'!$F:$F,0,Summary!L$2),'BPC Data'!$E:$E,Summary!$D125,'BPC Data'!$B:$B,Summary!$C125)</f>
        <v>-13758.32</v>
      </c>
      <c r="M125" s="32">
        <f t="shared" ca="1" si="59"/>
        <v>-110648.21000000002</v>
      </c>
      <c r="N125" s="110" t="e">
        <f>N122-N123</f>
        <v>#VALUE!</v>
      </c>
      <c r="O125" s="106" t="e">
        <f t="shared" ca="1" si="36"/>
        <v>#VALUE!</v>
      </c>
    </row>
    <row r="126" spans="1:17" s="16" customFormat="1" x14ac:dyDescent="0.25">
      <c r="A126" s="16">
        <f t="shared" si="58"/>
        <v>11</v>
      </c>
      <c r="B126"/>
      <c r="C126" t="str">
        <f>$F119</f>
        <v>Windsor Healthcare &amp; Rehab</v>
      </c>
      <c r="D126" s="2" t="str">
        <f t="shared" si="42"/>
        <v>T_MGMT_FEE - Tenant Management Fee - Actual</v>
      </c>
      <c r="E126"/>
      <c r="F126" s="22" t="str">
        <f>_xll.EVDES(D126)</f>
        <v>Tenant Management Fee - Actual</v>
      </c>
      <c r="G126" s="18">
        <f ca="1">SUMIFS(OFFSET('BPC Data'!$F:$F,0,Summary!G$2),'BPC Data'!$E:$E,Summary!$D126,'BPC Data'!$B:$B,Summary!$C126)</f>
        <v>17530.68</v>
      </c>
      <c r="H126" s="92">
        <f ca="1">SUMIFS(OFFSET('BPC Data'!$F:$F,0,Summary!H$2),'BPC Data'!$E:$E,Summary!$D126,'BPC Data'!$B:$B,Summary!$C126)</f>
        <v>15181.14</v>
      </c>
      <c r="I126" s="18">
        <f ca="1">SUMIFS(OFFSET('BPC Data'!$F:$F,0,Summary!I$2),'BPC Data'!$E:$E,Summary!$D126,'BPC Data'!$B:$B,Summary!$C126)</f>
        <v>17588.3</v>
      </c>
      <c r="J126" s="92">
        <f ca="1">SUMIFS(OFFSET('BPC Data'!$F:$F,0,Summary!J$2),'BPC Data'!$E:$E,Summary!$D126,'BPC Data'!$B:$B,Summary!$C126)</f>
        <v>16094.01</v>
      </c>
      <c r="K126" s="18">
        <f ca="1">SUMIFS(OFFSET('BPC Data'!$F:$F,0,Summary!K$2),'BPC Data'!$E:$E,Summary!$D126,'BPC Data'!$B:$B,Summary!$C126)</f>
        <v>15675.96</v>
      </c>
      <c r="L126" s="92">
        <f ca="1">SUMIFS(OFFSET('BPC Data'!$F:$F,0,Summary!L$2),'BPC Data'!$E:$E,Summary!$D126,'BPC Data'!$B:$B,Summary!$C126)</f>
        <v>16144.88</v>
      </c>
      <c r="M126" s="32">
        <f t="shared" ca="1" si="59"/>
        <v>98214.97</v>
      </c>
      <c r="N126" s="110">
        <f>Windsor!O443+Windsor!O422</f>
        <v>98214.97</v>
      </c>
      <c r="O126" s="106">
        <f t="shared" ca="1" si="36"/>
        <v>0</v>
      </c>
    </row>
    <row r="127" spans="1:17" s="16" customFormat="1" x14ac:dyDescent="0.25">
      <c r="A127" s="16">
        <f t="shared" si="58"/>
        <v>11</v>
      </c>
      <c r="B127"/>
      <c r="C127" t="str">
        <f>$F119</f>
        <v>Windsor Healthcare &amp; Rehab</v>
      </c>
      <c r="D127" s="1" t="str">
        <f t="shared" si="42"/>
        <v>T_EBITDAR - EBITDAR</v>
      </c>
      <c r="E127"/>
      <c r="F127" s="22" t="str">
        <f>_xll.EVDES(D127)</f>
        <v>EBITDAR</v>
      </c>
      <c r="G127" s="18">
        <f ca="1">SUMIFS(OFFSET('BPC Data'!$F:$F,0,Summary!G$2),'BPC Data'!$E:$E,Summary!$D127,'BPC Data'!$B:$B,Summary!$C127)</f>
        <v>-12449.93</v>
      </c>
      <c r="H127" s="92">
        <f ca="1">SUMIFS(OFFSET('BPC Data'!$F:$F,0,Summary!H$2),'BPC Data'!$E:$E,Summary!$D127,'BPC Data'!$B:$B,Summary!$C127)</f>
        <v>-34461.74</v>
      </c>
      <c r="I127" s="18">
        <f ca="1">SUMIFS(OFFSET('BPC Data'!$F:$F,0,Summary!I$2),'BPC Data'!$E:$E,Summary!$D127,'BPC Data'!$B:$B,Summary!$C127)</f>
        <v>-39705.910000000003</v>
      </c>
      <c r="J127" s="92">
        <f ca="1">SUMIFS(OFFSET('BPC Data'!$F:$F,0,Summary!J$2),'BPC Data'!$E:$E,Summary!$D127,'BPC Data'!$B:$B,Summary!$C127)</f>
        <v>-36240.92</v>
      </c>
      <c r="K127" s="18">
        <f ca="1">SUMIFS(OFFSET('BPC Data'!$F:$F,0,Summary!K$2),'BPC Data'!$E:$E,Summary!$D127,'BPC Data'!$B:$B,Summary!$C127)</f>
        <v>-56101.48</v>
      </c>
      <c r="L127" s="92">
        <f ca="1">SUMIFS(OFFSET('BPC Data'!$F:$F,0,Summary!L$2),'BPC Data'!$E:$E,Summary!$D127,'BPC Data'!$B:$B,Summary!$C127)</f>
        <v>-29903.200000000001</v>
      </c>
      <c r="M127" s="32">
        <f t="shared" ca="1" si="59"/>
        <v>-208863.18000000002</v>
      </c>
      <c r="N127" s="110" t="e">
        <f>N125-N126</f>
        <v>#VALUE!</v>
      </c>
      <c r="O127" s="106" t="e">
        <f t="shared" ca="1" si="36"/>
        <v>#VALUE!</v>
      </c>
    </row>
    <row r="128" spans="1:17" s="16" customFormat="1" x14ac:dyDescent="0.25">
      <c r="A128" s="16">
        <f t="shared" si="58"/>
        <v>11</v>
      </c>
      <c r="B128"/>
      <c r="C128" t="str">
        <f>$F119</f>
        <v>Windsor Healthcare &amp; Rehab</v>
      </c>
      <c r="D128" s="1" t="str">
        <f t="shared" si="42"/>
        <v>T_RENT_EXP - Tenant Rent Expense</v>
      </c>
      <c r="E128"/>
      <c r="F128" s="22" t="str">
        <f>_xll.EVDES(D128)</f>
        <v>Tenant Rent Expense</v>
      </c>
      <c r="G128" s="18">
        <f ca="1">SUMIFS(OFFSET('BPC Data'!$F:$F,0,Summary!G$2),'BPC Data'!$E:$E,Summary!$D128,'BPC Data'!$B:$B,Summary!$C128)</f>
        <v>43399.98</v>
      </c>
      <c r="H128" s="92">
        <f ca="1">SUMIFS(OFFSET('BPC Data'!$F:$F,0,Summary!H$2),'BPC Data'!$E:$E,Summary!$D128,'BPC Data'!$B:$B,Summary!$C128)</f>
        <v>43399.98</v>
      </c>
      <c r="I128" s="18">
        <f ca="1">SUMIFS(OFFSET('BPC Data'!$F:$F,0,Summary!I$2),'BPC Data'!$E:$E,Summary!$D128,'BPC Data'!$B:$B,Summary!$C128)</f>
        <v>46766.1</v>
      </c>
      <c r="J128" s="92">
        <f ca="1">SUMIFS(OFFSET('BPC Data'!$F:$F,0,Summary!J$2),'BPC Data'!$E:$E,Summary!$D128,'BPC Data'!$B:$B,Summary!$C128)</f>
        <v>45083.040000000001</v>
      </c>
      <c r="K128" s="18">
        <f ca="1">SUMIFS(OFFSET('BPC Data'!$F:$F,0,Summary!K$2),'BPC Data'!$E:$E,Summary!$D128,'BPC Data'!$B:$B,Summary!$C128)</f>
        <v>45083.040000000001</v>
      </c>
      <c r="L128" s="92">
        <f ca="1">SUMIFS(OFFSET('BPC Data'!$F:$F,0,Summary!L$2),'BPC Data'!$E:$E,Summary!$D128,'BPC Data'!$B:$B,Summary!$C128)</f>
        <v>45083.040000000001</v>
      </c>
      <c r="M128" s="32">
        <f t="shared" ca="1" si="59"/>
        <v>268815.18</v>
      </c>
      <c r="N128" s="110">
        <f>Windsor!O446</f>
        <v>268815.18</v>
      </c>
      <c r="O128" s="106">
        <f t="shared" ca="1" si="36"/>
        <v>0</v>
      </c>
    </row>
    <row r="129" spans="1:15" s="16" customFormat="1" x14ac:dyDescent="0.25">
      <c r="A129" s="16">
        <f t="shared" si="58"/>
        <v>11</v>
      </c>
      <c r="B129"/>
      <c r="C129"/>
      <c r="D129" s="1" t="str">
        <f t="shared" si="42"/>
        <v>x</v>
      </c>
      <c r="E129"/>
      <c r="F129" s="22" t="s">
        <v>0</v>
      </c>
      <c r="G129" s="11">
        <f t="shared" ref="G129:H129" ca="1" si="60">G127/G128</f>
        <v>-0.28686487873957545</v>
      </c>
      <c r="H129" s="93">
        <f t="shared" ca="1" si="60"/>
        <v>-0.79404967467726928</v>
      </c>
      <c r="I129" s="11">
        <f t="shared" ref="I129:J129" ca="1" si="61">I127/I128</f>
        <v>-0.84903188420672249</v>
      </c>
      <c r="J129" s="93">
        <f t="shared" ca="1" si="61"/>
        <v>-0.80387036899020115</v>
      </c>
      <c r="K129" s="11">
        <f t="shared" ref="K129:L129" ca="1" si="62">K127/K128</f>
        <v>-1.2444032168194514</v>
      </c>
      <c r="L129" s="93">
        <f t="shared" ca="1" si="62"/>
        <v>-0.66329156152735047</v>
      </c>
      <c r="M129" s="32">
        <f t="shared" ca="1" si="59"/>
        <v>-4.6415115849605701</v>
      </c>
      <c r="N129" s="110"/>
      <c r="O129" s="106">
        <f t="shared" ca="1" si="36"/>
        <v>4.6415115849605701</v>
      </c>
    </row>
    <row r="130" spans="1:15" s="16" customFormat="1" hidden="1" outlineLevel="1" x14ac:dyDescent="0.25">
      <c r="A130" s="16">
        <f>IF(AND(D130&lt;&gt;"",C130=""),A129+1,A129)</f>
        <v>12</v>
      </c>
      <c r="B130" s="4"/>
      <c r="C130" s="4"/>
      <c r="D130" s="4" t="str">
        <f t="shared" si="42"/>
        <v>x</v>
      </c>
      <c r="E130" s="4"/>
      <c r="F130" s="21">
        <f>INDEX(PropertyList!$D:$D,MATCH(Summary!$A130,PropertyList!$C:$C,0))</f>
        <v>0</v>
      </c>
      <c r="G130" s="10"/>
      <c r="H130" s="91"/>
      <c r="I130" s="10"/>
      <c r="J130" s="91"/>
      <c r="K130" s="10"/>
      <c r="L130" s="91"/>
      <c r="M130" s="32"/>
      <c r="N130" s="110"/>
      <c r="O130" s="106">
        <f t="shared" si="36"/>
        <v>0</v>
      </c>
    </row>
    <row r="131" spans="1:15" s="16" customFormat="1" hidden="1" outlineLevel="1" x14ac:dyDescent="0.25">
      <c r="A131" s="16">
        <f>IF(AND(F131&lt;&gt;"",D131=""),A130+1,A130)</f>
        <v>12</v>
      </c>
      <c r="C131">
        <f>$F130</f>
        <v>0</v>
      </c>
      <c r="D131" s="3" t="str">
        <f t="shared" si="42"/>
        <v>PAY_PAT_DAYS - Total Payor Patient Days</v>
      </c>
      <c r="F131" s="22" t="str">
        <f>_xll.EVDES(D131)</f>
        <v>Total Payor Patient Days</v>
      </c>
      <c r="G131" s="18">
        <f ca="1">SUMIFS(OFFSET('BPC Data'!$F:$F,0,Summary!G$2),'BPC Data'!$E:$E,Summary!$D131,'BPC Data'!$B:$B,Summary!$C131)</f>
        <v>0</v>
      </c>
      <c r="H131" s="92">
        <f ca="1">SUMIFS(OFFSET('BPC Data'!$F:$F,0,Summary!H$2),'BPC Data'!$E:$E,Summary!$D131,'BPC Data'!$B:$B,Summary!$C131)</f>
        <v>0</v>
      </c>
      <c r="I131" s="18">
        <f ca="1">SUMIFS(OFFSET('BPC Data'!$F:$F,0,Summary!I$2),'BPC Data'!$E:$E,Summary!$D131,'BPC Data'!$B:$B,Summary!$C131)</f>
        <v>0</v>
      </c>
      <c r="J131" s="92">
        <f ca="1">SUMIFS(OFFSET('BPC Data'!$F:$F,0,Summary!J$2),'BPC Data'!$E:$E,Summary!$D131,'BPC Data'!$B:$B,Summary!$C131)</f>
        <v>0</v>
      </c>
      <c r="K131" s="18">
        <f ca="1">SUMIFS(OFFSET('BPC Data'!$F:$F,0,Summary!K$2),'BPC Data'!$E:$E,Summary!$D131,'BPC Data'!$B:$B,Summary!$C131)</f>
        <v>0</v>
      </c>
      <c r="L131" s="92">
        <f ca="1">SUMIFS(OFFSET('BPC Data'!$F:$F,0,Summary!L$2),'BPC Data'!$E:$E,Summary!$D131,'BPC Data'!$B:$B,Summary!$C131)</f>
        <v>0</v>
      </c>
      <c r="M131" s="32"/>
      <c r="N131" s="110"/>
      <c r="O131" s="106">
        <f t="shared" si="36"/>
        <v>0</v>
      </c>
    </row>
    <row r="132" spans="1:15" s="16" customFormat="1" hidden="1" outlineLevel="1" x14ac:dyDescent="0.25">
      <c r="A132" s="16">
        <f t="shared" ref="A132:A140" si="63">IF(AND(F132&lt;&gt;"",D132=""),A131+1,A131)</f>
        <v>12</v>
      </c>
      <c r="C132">
        <f>$F130</f>
        <v>0</v>
      </c>
      <c r="D132" s="3" t="str">
        <f t="shared" si="42"/>
        <v>A_BEDS_TOTAL - Total Available Beds</v>
      </c>
      <c r="F132" s="22" t="str">
        <f>_xll.EVDES(D132)</f>
        <v>Total Available Beds</v>
      </c>
      <c r="G132" s="18">
        <f ca="1">SUMIFS(OFFSET('BPC Data'!$F:$F,0,Summary!G$2),'BPC Data'!$E:$E,Summary!$D132,'BPC Data'!$B:$B,Summary!$C132)</f>
        <v>0</v>
      </c>
      <c r="H132" s="92">
        <f ca="1">SUMIFS(OFFSET('BPC Data'!$F:$F,0,Summary!H$2),'BPC Data'!$E:$E,Summary!$D132,'BPC Data'!$B:$B,Summary!$C132)</f>
        <v>0</v>
      </c>
      <c r="I132" s="18">
        <f ca="1">SUMIFS(OFFSET('BPC Data'!$F:$F,0,Summary!I$2),'BPC Data'!$E:$E,Summary!$D132,'BPC Data'!$B:$B,Summary!$C132)</f>
        <v>0</v>
      </c>
      <c r="J132" s="92">
        <f ca="1">SUMIFS(OFFSET('BPC Data'!$F:$F,0,Summary!J$2),'BPC Data'!$E:$E,Summary!$D132,'BPC Data'!$B:$B,Summary!$C132)</f>
        <v>0</v>
      </c>
      <c r="K132" s="18">
        <f ca="1">SUMIFS(OFFSET('BPC Data'!$F:$F,0,Summary!K$2),'BPC Data'!$E:$E,Summary!$D132,'BPC Data'!$B:$B,Summary!$C132)</f>
        <v>0</v>
      </c>
      <c r="L132" s="92">
        <f ca="1">SUMIFS(OFFSET('BPC Data'!$F:$F,0,Summary!L$2),'BPC Data'!$E:$E,Summary!$D132,'BPC Data'!$B:$B,Summary!$C132)</f>
        <v>0</v>
      </c>
      <c r="M132" s="32"/>
      <c r="N132" s="110"/>
      <c r="O132" s="106">
        <f t="shared" si="36"/>
        <v>0</v>
      </c>
    </row>
    <row r="133" spans="1:15" s="16" customFormat="1" hidden="1" outlineLevel="1" x14ac:dyDescent="0.25">
      <c r="A133" s="16">
        <f t="shared" si="63"/>
        <v>12</v>
      </c>
      <c r="B133"/>
      <c r="C133">
        <f>$F130</f>
        <v>0</v>
      </c>
      <c r="D133" s="3" t="str">
        <f t="shared" si="42"/>
        <v>T_REVENUES - Total Tenant Revenues</v>
      </c>
      <c r="E133"/>
      <c r="F133" s="22" t="str">
        <f>_xll.EVDES(D133)</f>
        <v>Total Tenant Revenues</v>
      </c>
      <c r="G133" s="18">
        <f ca="1">SUMIFS(OFFSET('BPC Data'!$F:$F,0,Summary!G$2),'BPC Data'!$E:$E,Summary!$D133,'BPC Data'!$B:$B,Summary!$C133)</f>
        <v>0</v>
      </c>
      <c r="H133" s="92">
        <f ca="1">SUMIFS(OFFSET('BPC Data'!$F:$F,0,Summary!H$2),'BPC Data'!$E:$E,Summary!$D133,'BPC Data'!$B:$B,Summary!$C133)</f>
        <v>0</v>
      </c>
      <c r="I133" s="18">
        <f ca="1">SUMIFS(OFFSET('BPC Data'!$F:$F,0,Summary!I$2),'BPC Data'!$E:$E,Summary!$D133,'BPC Data'!$B:$B,Summary!$C133)</f>
        <v>0</v>
      </c>
      <c r="J133" s="92">
        <f ca="1">SUMIFS(OFFSET('BPC Data'!$F:$F,0,Summary!J$2),'BPC Data'!$E:$E,Summary!$D133,'BPC Data'!$B:$B,Summary!$C133)</f>
        <v>0</v>
      </c>
      <c r="K133" s="18">
        <f ca="1">SUMIFS(OFFSET('BPC Data'!$F:$F,0,Summary!K$2),'BPC Data'!$E:$E,Summary!$D133,'BPC Data'!$B:$B,Summary!$C133)</f>
        <v>0</v>
      </c>
      <c r="L133" s="92">
        <f ca="1">SUMIFS(OFFSET('BPC Data'!$F:$F,0,Summary!L$2),'BPC Data'!$E:$E,Summary!$D133,'BPC Data'!$B:$B,Summary!$C133)</f>
        <v>0</v>
      </c>
      <c r="M133" s="32"/>
      <c r="N133" s="110"/>
      <c r="O133" s="106">
        <f t="shared" si="36"/>
        <v>0</v>
      </c>
    </row>
    <row r="134" spans="1:15" s="16" customFormat="1" hidden="1" outlineLevel="1" x14ac:dyDescent="0.25">
      <c r="A134" s="16">
        <f t="shared" si="63"/>
        <v>12</v>
      </c>
      <c r="B134"/>
      <c r="C134">
        <f>$F130</f>
        <v>0</v>
      </c>
      <c r="D134" s="3" t="str">
        <f t="shared" si="42"/>
        <v>T_OPEX - Tenant Operating Expenses</v>
      </c>
      <c r="E134"/>
      <c r="F134" s="22" t="str">
        <f>_xll.EVDES(D134)</f>
        <v>Tenant Operating Expenses</v>
      </c>
      <c r="G134" s="18">
        <f ca="1">SUMIFS(OFFSET('BPC Data'!$F:$F,0,Summary!G$2),'BPC Data'!$E:$E,Summary!$D134,'BPC Data'!$B:$B,Summary!$C134)</f>
        <v>0</v>
      </c>
      <c r="H134" s="92">
        <f ca="1">SUMIFS(OFFSET('BPC Data'!$F:$F,0,Summary!H$2),'BPC Data'!$E:$E,Summary!$D134,'BPC Data'!$B:$B,Summary!$C134)</f>
        <v>0</v>
      </c>
      <c r="I134" s="18">
        <f ca="1">SUMIFS(OFFSET('BPC Data'!$F:$F,0,Summary!I$2),'BPC Data'!$E:$E,Summary!$D134,'BPC Data'!$B:$B,Summary!$C134)</f>
        <v>0</v>
      </c>
      <c r="J134" s="92">
        <f ca="1">SUMIFS(OFFSET('BPC Data'!$F:$F,0,Summary!J$2),'BPC Data'!$E:$E,Summary!$D134,'BPC Data'!$B:$B,Summary!$C134)</f>
        <v>0</v>
      </c>
      <c r="K134" s="18">
        <f ca="1">SUMIFS(OFFSET('BPC Data'!$F:$F,0,Summary!K$2),'BPC Data'!$E:$E,Summary!$D134,'BPC Data'!$B:$B,Summary!$C134)</f>
        <v>0</v>
      </c>
      <c r="L134" s="92">
        <f ca="1">SUMIFS(OFFSET('BPC Data'!$F:$F,0,Summary!L$2),'BPC Data'!$E:$E,Summary!$D134,'BPC Data'!$B:$B,Summary!$C134)</f>
        <v>0</v>
      </c>
      <c r="M134" s="32"/>
      <c r="N134" s="110"/>
      <c r="O134" s="106">
        <f t="shared" si="36"/>
        <v>0</v>
      </c>
    </row>
    <row r="135" spans="1:15" s="16" customFormat="1" hidden="1" outlineLevel="1" x14ac:dyDescent="0.25">
      <c r="A135" s="16">
        <f t="shared" si="63"/>
        <v>12</v>
      </c>
      <c r="B135"/>
      <c r="C135">
        <f>$F130</f>
        <v>0</v>
      </c>
      <c r="D135" s="3" t="str">
        <f t="shared" si="42"/>
        <v>T_BAD_DEBT - Tenant Bad Debt Expense</v>
      </c>
      <c r="E135"/>
      <c r="F135" s="22" t="str">
        <f>_xll.EVDES(D135)</f>
        <v>Tenant Bad Debt Expense</v>
      </c>
      <c r="G135" s="18">
        <f ca="1">SUMIFS(OFFSET('BPC Data'!$F:$F,0,Summary!G$2),'BPC Data'!$E:$E,Summary!$D135,'BPC Data'!$B:$B,Summary!$C135)</f>
        <v>0</v>
      </c>
      <c r="H135" s="92">
        <f ca="1">SUMIFS(OFFSET('BPC Data'!$F:$F,0,Summary!H$2),'BPC Data'!$E:$E,Summary!$D135,'BPC Data'!$B:$B,Summary!$C135)</f>
        <v>0</v>
      </c>
      <c r="I135" s="18">
        <f ca="1">SUMIFS(OFFSET('BPC Data'!$F:$F,0,Summary!I$2),'BPC Data'!$E:$E,Summary!$D135,'BPC Data'!$B:$B,Summary!$C135)</f>
        <v>0</v>
      </c>
      <c r="J135" s="92">
        <f ca="1">SUMIFS(OFFSET('BPC Data'!$F:$F,0,Summary!J$2),'BPC Data'!$E:$E,Summary!$D135,'BPC Data'!$B:$B,Summary!$C135)</f>
        <v>0</v>
      </c>
      <c r="K135" s="18">
        <f ca="1">SUMIFS(OFFSET('BPC Data'!$F:$F,0,Summary!K$2),'BPC Data'!$E:$E,Summary!$D135,'BPC Data'!$B:$B,Summary!$C135)</f>
        <v>0</v>
      </c>
      <c r="L135" s="92">
        <f ca="1">SUMIFS(OFFSET('BPC Data'!$F:$F,0,Summary!L$2),'BPC Data'!$E:$E,Summary!$D135,'BPC Data'!$B:$B,Summary!$C135)</f>
        <v>0</v>
      </c>
      <c r="M135" s="32"/>
      <c r="N135" s="110"/>
      <c r="O135" s="106">
        <f t="shared" si="36"/>
        <v>0</v>
      </c>
    </row>
    <row r="136" spans="1:15" s="16" customFormat="1" hidden="1" outlineLevel="1" x14ac:dyDescent="0.25">
      <c r="A136" s="16">
        <f t="shared" si="63"/>
        <v>12</v>
      </c>
      <c r="B136"/>
      <c r="C136">
        <f>$F130</f>
        <v>0</v>
      </c>
      <c r="D136" s="2" t="str">
        <f t="shared" si="42"/>
        <v>T_EBITDARM - EBITDARM</v>
      </c>
      <c r="E136"/>
      <c r="F136" s="22" t="str">
        <f>_xll.EVDES(D136)</f>
        <v>EBITDARM</v>
      </c>
      <c r="G136" s="18">
        <f ca="1">SUMIFS(OFFSET('BPC Data'!$F:$F,0,Summary!G$2),'BPC Data'!$E:$E,Summary!$D136,'BPC Data'!$B:$B,Summary!$C136)</f>
        <v>0</v>
      </c>
      <c r="H136" s="92">
        <f ca="1">SUMIFS(OFFSET('BPC Data'!$F:$F,0,Summary!H$2),'BPC Data'!$E:$E,Summary!$D136,'BPC Data'!$B:$B,Summary!$C136)</f>
        <v>0</v>
      </c>
      <c r="I136" s="18">
        <f ca="1">SUMIFS(OFFSET('BPC Data'!$F:$F,0,Summary!I$2),'BPC Data'!$E:$E,Summary!$D136,'BPC Data'!$B:$B,Summary!$C136)</f>
        <v>0</v>
      </c>
      <c r="J136" s="92">
        <f ca="1">SUMIFS(OFFSET('BPC Data'!$F:$F,0,Summary!J$2),'BPC Data'!$E:$E,Summary!$D136,'BPC Data'!$B:$B,Summary!$C136)</f>
        <v>0</v>
      </c>
      <c r="K136" s="18">
        <f ca="1">SUMIFS(OFFSET('BPC Data'!$F:$F,0,Summary!K$2),'BPC Data'!$E:$E,Summary!$D136,'BPC Data'!$B:$B,Summary!$C136)</f>
        <v>0</v>
      </c>
      <c r="L136" s="92">
        <f ca="1">SUMIFS(OFFSET('BPC Data'!$F:$F,0,Summary!L$2),'BPC Data'!$E:$E,Summary!$D136,'BPC Data'!$B:$B,Summary!$C136)</f>
        <v>0</v>
      </c>
      <c r="M136" s="32"/>
      <c r="N136" s="110"/>
      <c r="O136" s="106">
        <f t="shared" si="36"/>
        <v>0</v>
      </c>
    </row>
    <row r="137" spans="1:15" s="16" customFormat="1" hidden="1" outlineLevel="1" x14ac:dyDescent="0.25">
      <c r="A137" s="16">
        <f t="shared" si="63"/>
        <v>12</v>
      </c>
      <c r="B137"/>
      <c r="C137">
        <f>$F130</f>
        <v>0</v>
      </c>
      <c r="D137" s="2" t="str">
        <f t="shared" si="42"/>
        <v>T_MGMT_FEE - Tenant Management Fee - Actual</v>
      </c>
      <c r="E137"/>
      <c r="F137" s="22" t="str">
        <f>_xll.EVDES(D137)</f>
        <v>Tenant Management Fee - Actual</v>
      </c>
      <c r="G137" s="18">
        <f ca="1">SUMIFS(OFFSET('BPC Data'!$F:$F,0,Summary!G$2),'BPC Data'!$E:$E,Summary!$D137,'BPC Data'!$B:$B,Summary!$C137)</f>
        <v>0</v>
      </c>
      <c r="H137" s="92">
        <f ca="1">SUMIFS(OFFSET('BPC Data'!$F:$F,0,Summary!H$2),'BPC Data'!$E:$E,Summary!$D137,'BPC Data'!$B:$B,Summary!$C137)</f>
        <v>0</v>
      </c>
      <c r="I137" s="18">
        <f ca="1">SUMIFS(OFFSET('BPC Data'!$F:$F,0,Summary!I$2),'BPC Data'!$E:$E,Summary!$D137,'BPC Data'!$B:$B,Summary!$C137)</f>
        <v>0</v>
      </c>
      <c r="J137" s="92">
        <f ca="1">SUMIFS(OFFSET('BPC Data'!$F:$F,0,Summary!J$2),'BPC Data'!$E:$E,Summary!$D137,'BPC Data'!$B:$B,Summary!$C137)</f>
        <v>0</v>
      </c>
      <c r="K137" s="18">
        <f ca="1">SUMIFS(OFFSET('BPC Data'!$F:$F,0,Summary!K$2),'BPC Data'!$E:$E,Summary!$D137,'BPC Data'!$B:$B,Summary!$C137)</f>
        <v>0</v>
      </c>
      <c r="L137" s="92">
        <f ca="1">SUMIFS(OFFSET('BPC Data'!$F:$F,0,Summary!L$2),'BPC Data'!$E:$E,Summary!$D137,'BPC Data'!$B:$B,Summary!$C137)</f>
        <v>0</v>
      </c>
      <c r="M137" s="32"/>
      <c r="N137" s="110"/>
      <c r="O137" s="106">
        <f t="shared" si="36"/>
        <v>0</v>
      </c>
    </row>
    <row r="138" spans="1:15" s="16" customFormat="1" hidden="1" outlineLevel="1" x14ac:dyDescent="0.25">
      <c r="A138" s="16">
        <f t="shared" si="63"/>
        <v>12</v>
      </c>
      <c r="B138"/>
      <c r="C138">
        <f>$F130</f>
        <v>0</v>
      </c>
      <c r="D138" s="1" t="str">
        <f t="shared" si="42"/>
        <v>T_EBITDAR - EBITDAR</v>
      </c>
      <c r="E138"/>
      <c r="F138" s="22" t="str">
        <f>_xll.EVDES(D138)</f>
        <v>EBITDAR</v>
      </c>
      <c r="G138" s="18">
        <f ca="1">SUMIFS(OFFSET('BPC Data'!$F:$F,0,Summary!G$2),'BPC Data'!$E:$E,Summary!$D138,'BPC Data'!$B:$B,Summary!$C138)</f>
        <v>0</v>
      </c>
      <c r="H138" s="92">
        <f ca="1">SUMIFS(OFFSET('BPC Data'!$F:$F,0,Summary!H$2),'BPC Data'!$E:$E,Summary!$D138,'BPC Data'!$B:$B,Summary!$C138)</f>
        <v>0</v>
      </c>
      <c r="I138" s="18">
        <f ca="1">SUMIFS(OFFSET('BPC Data'!$F:$F,0,Summary!I$2),'BPC Data'!$E:$E,Summary!$D138,'BPC Data'!$B:$B,Summary!$C138)</f>
        <v>0</v>
      </c>
      <c r="J138" s="92">
        <f ca="1">SUMIFS(OFFSET('BPC Data'!$F:$F,0,Summary!J$2),'BPC Data'!$E:$E,Summary!$D138,'BPC Data'!$B:$B,Summary!$C138)</f>
        <v>0</v>
      </c>
      <c r="K138" s="18">
        <f ca="1">SUMIFS(OFFSET('BPC Data'!$F:$F,0,Summary!K$2),'BPC Data'!$E:$E,Summary!$D138,'BPC Data'!$B:$B,Summary!$C138)</f>
        <v>0</v>
      </c>
      <c r="L138" s="92">
        <f ca="1">SUMIFS(OFFSET('BPC Data'!$F:$F,0,Summary!L$2),'BPC Data'!$E:$E,Summary!$D138,'BPC Data'!$B:$B,Summary!$C138)</f>
        <v>0</v>
      </c>
      <c r="M138" s="32"/>
      <c r="N138" s="110"/>
      <c r="O138" s="106">
        <f t="shared" si="36"/>
        <v>0</v>
      </c>
    </row>
    <row r="139" spans="1:15" s="16" customFormat="1" hidden="1" outlineLevel="1" x14ac:dyDescent="0.25">
      <c r="A139" s="16">
        <f t="shared" si="63"/>
        <v>12</v>
      </c>
      <c r="B139"/>
      <c r="C139">
        <f>$F130</f>
        <v>0</v>
      </c>
      <c r="D139" s="1" t="str">
        <f t="shared" si="42"/>
        <v>T_RENT_EXP - Tenant Rent Expense</v>
      </c>
      <c r="E139"/>
      <c r="F139" s="22" t="str">
        <f>_xll.EVDES(D139)</f>
        <v>Tenant Rent Expense</v>
      </c>
      <c r="G139" s="18">
        <f ca="1">SUMIFS(OFFSET('BPC Data'!$F:$F,0,Summary!G$2),'BPC Data'!$E:$E,Summary!$D139,'BPC Data'!$B:$B,Summary!$C139)</f>
        <v>0</v>
      </c>
      <c r="H139" s="92">
        <f ca="1">SUMIFS(OFFSET('BPC Data'!$F:$F,0,Summary!H$2),'BPC Data'!$E:$E,Summary!$D139,'BPC Data'!$B:$B,Summary!$C139)</f>
        <v>0</v>
      </c>
      <c r="I139" s="18">
        <f ca="1">SUMIFS(OFFSET('BPC Data'!$F:$F,0,Summary!I$2),'BPC Data'!$E:$E,Summary!$D139,'BPC Data'!$B:$B,Summary!$C139)</f>
        <v>0</v>
      </c>
      <c r="J139" s="92">
        <f ca="1">SUMIFS(OFFSET('BPC Data'!$F:$F,0,Summary!J$2),'BPC Data'!$E:$E,Summary!$D139,'BPC Data'!$B:$B,Summary!$C139)</f>
        <v>0</v>
      </c>
      <c r="K139" s="18">
        <f ca="1">SUMIFS(OFFSET('BPC Data'!$F:$F,0,Summary!K$2),'BPC Data'!$E:$E,Summary!$D139,'BPC Data'!$B:$B,Summary!$C139)</f>
        <v>0</v>
      </c>
      <c r="L139" s="92">
        <f ca="1">SUMIFS(OFFSET('BPC Data'!$F:$F,0,Summary!L$2),'BPC Data'!$E:$E,Summary!$D139,'BPC Data'!$B:$B,Summary!$C139)</f>
        <v>0</v>
      </c>
      <c r="M139" s="32"/>
      <c r="N139" s="110"/>
      <c r="O139" s="106">
        <f t="shared" si="36"/>
        <v>0</v>
      </c>
    </row>
    <row r="140" spans="1:15" s="16" customFormat="1" hidden="1" outlineLevel="1" x14ac:dyDescent="0.25">
      <c r="A140" s="16">
        <f t="shared" si="63"/>
        <v>12</v>
      </c>
      <c r="B140"/>
      <c r="C140"/>
      <c r="D140" s="1" t="str">
        <f t="shared" si="42"/>
        <v>x</v>
      </c>
      <c r="E140"/>
      <c r="F140" s="22" t="s">
        <v>0</v>
      </c>
      <c r="G140" s="11" t="e">
        <f t="shared" ref="G140:H140" ca="1" si="64">G138/G139</f>
        <v>#DIV/0!</v>
      </c>
      <c r="H140" s="93" t="e">
        <f t="shared" ca="1" si="64"/>
        <v>#DIV/0!</v>
      </c>
      <c r="I140" s="11" t="e">
        <f t="shared" ref="I140:J140" ca="1" si="65">I138/I139</f>
        <v>#DIV/0!</v>
      </c>
      <c r="J140" s="93" t="e">
        <f t="shared" ca="1" si="65"/>
        <v>#DIV/0!</v>
      </c>
      <c r="K140" s="11" t="e">
        <f t="shared" ref="K140:L140" ca="1" si="66">K138/K139</f>
        <v>#DIV/0!</v>
      </c>
      <c r="L140" s="93" t="e">
        <f t="shared" ca="1" si="66"/>
        <v>#DIV/0!</v>
      </c>
      <c r="M140" s="32"/>
      <c r="N140" s="110"/>
      <c r="O140" s="106">
        <f t="shared" ref="O140:O203" si="67">N140-M140</f>
        <v>0</v>
      </c>
    </row>
    <row r="141" spans="1:15" s="16" customFormat="1" hidden="1" outlineLevel="1" x14ac:dyDescent="0.25">
      <c r="A141" s="16">
        <f>IF(AND(D141&lt;&gt;"",C141=""),A140+1,A140)</f>
        <v>13</v>
      </c>
      <c r="B141" s="4"/>
      <c r="C141" s="4"/>
      <c r="D141" s="4" t="str">
        <f t="shared" si="42"/>
        <v>x</v>
      </c>
      <c r="E141" s="4"/>
      <c r="F141" s="21">
        <f>INDEX(PropertyList!$D:$D,MATCH(Summary!$A141,PropertyList!$C:$C,0))</f>
        <v>0</v>
      </c>
      <c r="G141" s="10"/>
      <c r="H141" s="91"/>
      <c r="I141" s="10"/>
      <c r="J141" s="91"/>
      <c r="K141" s="10"/>
      <c r="L141" s="91"/>
      <c r="M141" s="32"/>
      <c r="N141" s="110"/>
      <c r="O141" s="106">
        <f t="shared" si="67"/>
        <v>0</v>
      </c>
    </row>
    <row r="142" spans="1:15" s="16" customFormat="1" hidden="1" outlineLevel="1" x14ac:dyDescent="0.25">
      <c r="A142" s="16">
        <f>IF(AND(F142&lt;&gt;"",D142=""),A141+1,A141)</f>
        <v>13</v>
      </c>
      <c r="C142">
        <f>$F141</f>
        <v>0</v>
      </c>
      <c r="D142" s="3" t="str">
        <f t="shared" si="42"/>
        <v>PAY_PAT_DAYS - Total Payor Patient Days</v>
      </c>
      <c r="F142" s="22" t="str">
        <f>_xll.EVDES(D142)</f>
        <v>Total Payor Patient Days</v>
      </c>
      <c r="G142" s="18">
        <f ca="1">SUMIFS(OFFSET('BPC Data'!$F:$F,0,Summary!G$2),'BPC Data'!$E:$E,Summary!$D142,'BPC Data'!$B:$B,Summary!$C142)</f>
        <v>0</v>
      </c>
      <c r="H142" s="92">
        <f ca="1">SUMIFS(OFFSET('BPC Data'!$F:$F,0,Summary!H$2),'BPC Data'!$E:$E,Summary!$D142,'BPC Data'!$B:$B,Summary!$C142)</f>
        <v>0</v>
      </c>
      <c r="I142" s="18">
        <f ca="1">SUMIFS(OFFSET('BPC Data'!$F:$F,0,Summary!I$2),'BPC Data'!$E:$E,Summary!$D142,'BPC Data'!$B:$B,Summary!$C142)</f>
        <v>0</v>
      </c>
      <c r="J142" s="92">
        <f ca="1">SUMIFS(OFFSET('BPC Data'!$F:$F,0,Summary!J$2),'BPC Data'!$E:$E,Summary!$D142,'BPC Data'!$B:$B,Summary!$C142)</f>
        <v>0</v>
      </c>
      <c r="K142" s="18">
        <f ca="1">SUMIFS(OFFSET('BPC Data'!$F:$F,0,Summary!K$2),'BPC Data'!$E:$E,Summary!$D142,'BPC Data'!$B:$B,Summary!$C142)</f>
        <v>0</v>
      </c>
      <c r="L142" s="92">
        <f ca="1">SUMIFS(OFFSET('BPC Data'!$F:$F,0,Summary!L$2),'BPC Data'!$E:$E,Summary!$D142,'BPC Data'!$B:$B,Summary!$C142)</f>
        <v>0</v>
      </c>
      <c r="M142" s="32"/>
      <c r="N142" s="110"/>
      <c r="O142" s="106">
        <f t="shared" si="67"/>
        <v>0</v>
      </c>
    </row>
    <row r="143" spans="1:15" s="16" customFormat="1" hidden="1" outlineLevel="1" x14ac:dyDescent="0.25">
      <c r="A143" s="16">
        <f t="shared" ref="A143:A151" si="68">IF(AND(F143&lt;&gt;"",D143=""),A142+1,A142)</f>
        <v>13</v>
      </c>
      <c r="C143">
        <f>$F141</f>
        <v>0</v>
      </c>
      <c r="D143" s="3" t="str">
        <f t="shared" si="42"/>
        <v>A_BEDS_TOTAL - Total Available Beds</v>
      </c>
      <c r="F143" s="22" t="str">
        <f>_xll.EVDES(D143)</f>
        <v>Total Available Beds</v>
      </c>
      <c r="G143" s="18">
        <f ca="1">SUMIFS(OFFSET('BPC Data'!$F:$F,0,Summary!G$2),'BPC Data'!$E:$E,Summary!$D143,'BPC Data'!$B:$B,Summary!$C143)</f>
        <v>0</v>
      </c>
      <c r="H143" s="92">
        <f ca="1">SUMIFS(OFFSET('BPC Data'!$F:$F,0,Summary!H$2),'BPC Data'!$E:$E,Summary!$D143,'BPC Data'!$B:$B,Summary!$C143)</f>
        <v>0</v>
      </c>
      <c r="I143" s="18">
        <f ca="1">SUMIFS(OFFSET('BPC Data'!$F:$F,0,Summary!I$2),'BPC Data'!$E:$E,Summary!$D143,'BPC Data'!$B:$B,Summary!$C143)</f>
        <v>0</v>
      </c>
      <c r="J143" s="92">
        <f ca="1">SUMIFS(OFFSET('BPC Data'!$F:$F,0,Summary!J$2),'BPC Data'!$E:$E,Summary!$D143,'BPC Data'!$B:$B,Summary!$C143)</f>
        <v>0</v>
      </c>
      <c r="K143" s="18">
        <f ca="1">SUMIFS(OFFSET('BPC Data'!$F:$F,0,Summary!K$2),'BPC Data'!$E:$E,Summary!$D143,'BPC Data'!$B:$B,Summary!$C143)</f>
        <v>0</v>
      </c>
      <c r="L143" s="92">
        <f ca="1">SUMIFS(OFFSET('BPC Data'!$F:$F,0,Summary!L$2),'BPC Data'!$E:$E,Summary!$D143,'BPC Data'!$B:$B,Summary!$C143)</f>
        <v>0</v>
      </c>
      <c r="M143" s="32"/>
      <c r="N143" s="110"/>
      <c r="O143" s="106">
        <f t="shared" si="67"/>
        <v>0</v>
      </c>
    </row>
    <row r="144" spans="1:15" s="16" customFormat="1" hidden="1" outlineLevel="1" x14ac:dyDescent="0.25">
      <c r="A144" s="16">
        <f t="shared" si="68"/>
        <v>13</v>
      </c>
      <c r="B144"/>
      <c r="C144">
        <f>$F141</f>
        <v>0</v>
      </c>
      <c r="D144" s="3" t="str">
        <f t="shared" si="42"/>
        <v>T_REVENUES - Total Tenant Revenues</v>
      </c>
      <c r="E144"/>
      <c r="F144" s="22" t="str">
        <f>_xll.EVDES(D144)</f>
        <v>Total Tenant Revenues</v>
      </c>
      <c r="G144" s="18">
        <f ca="1">SUMIFS(OFFSET('BPC Data'!$F:$F,0,Summary!G$2),'BPC Data'!$E:$E,Summary!$D144,'BPC Data'!$B:$B,Summary!$C144)</f>
        <v>0</v>
      </c>
      <c r="H144" s="92">
        <f ca="1">SUMIFS(OFFSET('BPC Data'!$F:$F,0,Summary!H$2),'BPC Data'!$E:$E,Summary!$D144,'BPC Data'!$B:$B,Summary!$C144)</f>
        <v>0</v>
      </c>
      <c r="I144" s="18">
        <f ca="1">SUMIFS(OFFSET('BPC Data'!$F:$F,0,Summary!I$2),'BPC Data'!$E:$E,Summary!$D144,'BPC Data'!$B:$B,Summary!$C144)</f>
        <v>0</v>
      </c>
      <c r="J144" s="92">
        <f ca="1">SUMIFS(OFFSET('BPC Data'!$F:$F,0,Summary!J$2),'BPC Data'!$E:$E,Summary!$D144,'BPC Data'!$B:$B,Summary!$C144)</f>
        <v>0</v>
      </c>
      <c r="K144" s="18">
        <f ca="1">SUMIFS(OFFSET('BPC Data'!$F:$F,0,Summary!K$2),'BPC Data'!$E:$E,Summary!$D144,'BPC Data'!$B:$B,Summary!$C144)</f>
        <v>0</v>
      </c>
      <c r="L144" s="92">
        <f ca="1">SUMIFS(OFFSET('BPC Data'!$F:$F,0,Summary!L$2),'BPC Data'!$E:$E,Summary!$D144,'BPC Data'!$B:$B,Summary!$C144)</f>
        <v>0</v>
      </c>
      <c r="M144" s="32"/>
      <c r="N144" s="110"/>
      <c r="O144" s="106">
        <f t="shared" si="67"/>
        <v>0</v>
      </c>
    </row>
    <row r="145" spans="1:15" s="16" customFormat="1" hidden="1" outlineLevel="1" x14ac:dyDescent="0.25">
      <c r="A145" s="16">
        <f t="shared" si="68"/>
        <v>13</v>
      </c>
      <c r="B145"/>
      <c r="C145">
        <f>$F141</f>
        <v>0</v>
      </c>
      <c r="D145" s="3" t="str">
        <f t="shared" si="42"/>
        <v>T_OPEX - Tenant Operating Expenses</v>
      </c>
      <c r="E145"/>
      <c r="F145" s="22" t="str">
        <f>_xll.EVDES(D145)</f>
        <v>Tenant Operating Expenses</v>
      </c>
      <c r="G145" s="18">
        <f ca="1">SUMIFS(OFFSET('BPC Data'!$F:$F,0,Summary!G$2),'BPC Data'!$E:$E,Summary!$D145,'BPC Data'!$B:$B,Summary!$C145)</f>
        <v>0</v>
      </c>
      <c r="H145" s="92">
        <f ca="1">SUMIFS(OFFSET('BPC Data'!$F:$F,0,Summary!H$2),'BPC Data'!$E:$E,Summary!$D145,'BPC Data'!$B:$B,Summary!$C145)</f>
        <v>0</v>
      </c>
      <c r="I145" s="18">
        <f ca="1">SUMIFS(OFFSET('BPC Data'!$F:$F,0,Summary!I$2),'BPC Data'!$E:$E,Summary!$D145,'BPC Data'!$B:$B,Summary!$C145)</f>
        <v>0</v>
      </c>
      <c r="J145" s="92">
        <f ca="1">SUMIFS(OFFSET('BPC Data'!$F:$F,0,Summary!J$2),'BPC Data'!$E:$E,Summary!$D145,'BPC Data'!$B:$B,Summary!$C145)</f>
        <v>0</v>
      </c>
      <c r="K145" s="18">
        <f ca="1">SUMIFS(OFFSET('BPC Data'!$F:$F,0,Summary!K$2),'BPC Data'!$E:$E,Summary!$D145,'BPC Data'!$B:$B,Summary!$C145)</f>
        <v>0</v>
      </c>
      <c r="L145" s="92">
        <f ca="1">SUMIFS(OFFSET('BPC Data'!$F:$F,0,Summary!L$2),'BPC Data'!$E:$E,Summary!$D145,'BPC Data'!$B:$B,Summary!$C145)</f>
        <v>0</v>
      </c>
      <c r="M145" s="32"/>
      <c r="N145" s="110"/>
      <c r="O145" s="106">
        <f t="shared" si="67"/>
        <v>0</v>
      </c>
    </row>
    <row r="146" spans="1:15" s="16" customFormat="1" hidden="1" outlineLevel="1" x14ac:dyDescent="0.25">
      <c r="A146" s="16">
        <f t="shared" si="68"/>
        <v>13</v>
      </c>
      <c r="B146"/>
      <c r="C146">
        <f>$F141</f>
        <v>0</v>
      </c>
      <c r="D146" s="3" t="str">
        <f t="shared" si="42"/>
        <v>T_BAD_DEBT - Tenant Bad Debt Expense</v>
      </c>
      <c r="E146"/>
      <c r="F146" s="22" t="str">
        <f>_xll.EVDES(D146)</f>
        <v>Tenant Bad Debt Expense</v>
      </c>
      <c r="G146" s="18">
        <f ca="1">SUMIFS(OFFSET('BPC Data'!$F:$F,0,Summary!G$2),'BPC Data'!$E:$E,Summary!$D146,'BPC Data'!$B:$B,Summary!$C146)</f>
        <v>0</v>
      </c>
      <c r="H146" s="92">
        <f ca="1">SUMIFS(OFFSET('BPC Data'!$F:$F,0,Summary!H$2),'BPC Data'!$E:$E,Summary!$D146,'BPC Data'!$B:$B,Summary!$C146)</f>
        <v>0</v>
      </c>
      <c r="I146" s="18">
        <f ca="1">SUMIFS(OFFSET('BPC Data'!$F:$F,0,Summary!I$2),'BPC Data'!$E:$E,Summary!$D146,'BPC Data'!$B:$B,Summary!$C146)</f>
        <v>0</v>
      </c>
      <c r="J146" s="92">
        <f ca="1">SUMIFS(OFFSET('BPC Data'!$F:$F,0,Summary!J$2),'BPC Data'!$E:$E,Summary!$D146,'BPC Data'!$B:$B,Summary!$C146)</f>
        <v>0</v>
      </c>
      <c r="K146" s="18">
        <f ca="1">SUMIFS(OFFSET('BPC Data'!$F:$F,0,Summary!K$2),'BPC Data'!$E:$E,Summary!$D146,'BPC Data'!$B:$B,Summary!$C146)</f>
        <v>0</v>
      </c>
      <c r="L146" s="92">
        <f ca="1">SUMIFS(OFFSET('BPC Data'!$F:$F,0,Summary!L$2),'BPC Data'!$E:$E,Summary!$D146,'BPC Data'!$B:$B,Summary!$C146)</f>
        <v>0</v>
      </c>
      <c r="M146" s="32"/>
      <c r="N146" s="110"/>
      <c r="O146" s="106">
        <f t="shared" si="67"/>
        <v>0</v>
      </c>
    </row>
    <row r="147" spans="1:15" s="16" customFormat="1" hidden="1" outlineLevel="1" x14ac:dyDescent="0.25">
      <c r="A147" s="16">
        <f t="shared" si="68"/>
        <v>13</v>
      </c>
      <c r="B147"/>
      <c r="C147">
        <f>$F141</f>
        <v>0</v>
      </c>
      <c r="D147" s="2" t="str">
        <f t="shared" si="42"/>
        <v>T_EBITDARM - EBITDARM</v>
      </c>
      <c r="E147"/>
      <c r="F147" s="22" t="str">
        <f>_xll.EVDES(D147)</f>
        <v>EBITDARM</v>
      </c>
      <c r="G147" s="18">
        <f ca="1">SUMIFS(OFFSET('BPC Data'!$F:$F,0,Summary!G$2),'BPC Data'!$E:$E,Summary!$D147,'BPC Data'!$B:$B,Summary!$C147)</f>
        <v>0</v>
      </c>
      <c r="H147" s="92">
        <f ca="1">SUMIFS(OFFSET('BPC Data'!$F:$F,0,Summary!H$2),'BPC Data'!$E:$E,Summary!$D147,'BPC Data'!$B:$B,Summary!$C147)</f>
        <v>0</v>
      </c>
      <c r="I147" s="18">
        <f ca="1">SUMIFS(OFFSET('BPC Data'!$F:$F,0,Summary!I$2),'BPC Data'!$E:$E,Summary!$D147,'BPC Data'!$B:$B,Summary!$C147)</f>
        <v>0</v>
      </c>
      <c r="J147" s="92">
        <f ca="1">SUMIFS(OFFSET('BPC Data'!$F:$F,0,Summary!J$2),'BPC Data'!$E:$E,Summary!$D147,'BPC Data'!$B:$B,Summary!$C147)</f>
        <v>0</v>
      </c>
      <c r="K147" s="18">
        <f ca="1">SUMIFS(OFFSET('BPC Data'!$F:$F,0,Summary!K$2),'BPC Data'!$E:$E,Summary!$D147,'BPC Data'!$B:$B,Summary!$C147)</f>
        <v>0</v>
      </c>
      <c r="L147" s="92">
        <f ca="1">SUMIFS(OFFSET('BPC Data'!$F:$F,0,Summary!L$2),'BPC Data'!$E:$E,Summary!$D147,'BPC Data'!$B:$B,Summary!$C147)</f>
        <v>0</v>
      </c>
      <c r="M147" s="32"/>
      <c r="N147" s="110"/>
      <c r="O147" s="106">
        <f t="shared" si="67"/>
        <v>0</v>
      </c>
    </row>
    <row r="148" spans="1:15" s="16" customFormat="1" hidden="1" outlineLevel="1" x14ac:dyDescent="0.25">
      <c r="A148" s="16">
        <f t="shared" si="68"/>
        <v>13</v>
      </c>
      <c r="B148"/>
      <c r="C148">
        <f>$F141</f>
        <v>0</v>
      </c>
      <c r="D148" s="2" t="str">
        <f t="shared" si="42"/>
        <v>T_MGMT_FEE - Tenant Management Fee - Actual</v>
      </c>
      <c r="E148"/>
      <c r="F148" s="22" t="str">
        <f>_xll.EVDES(D148)</f>
        <v>Tenant Management Fee - Actual</v>
      </c>
      <c r="G148" s="18">
        <f ca="1">SUMIFS(OFFSET('BPC Data'!$F:$F,0,Summary!G$2),'BPC Data'!$E:$E,Summary!$D148,'BPC Data'!$B:$B,Summary!$C148)</f>
        <v>0</v>
      </c>
      <c r="H148" s="92">
        <f ca="1">SUMIFS(OFFSET('BPC Data'!$F:$F,0,Summary!H$2),'BPC Data'!$E:$E,Summary!$D148,'BPC Data'!$B:$B,Summary!$C148)</f>
        <v>0</v>
      </c>
      <c r="I148" s="18">
        <f ca="1">SUMIFS(OFFSET('BPC Data'!$F:$F,0,Summary!I$2),'BPC Data'!$E:$E,Summary!$D148,'BPC Data'!$B:$B,Summary!$C148)</f>
        <v>0</v>
      </c>
      <c r="J148" s="92">
        <f ca="1">SUMIFS(OFFSET('BPC Data'!$F:$F,0,Summary!J$2),'BPC Data'!$E:$E,Summary!$D148,'BPC Data'!$B:$B,Summary!$C148)</f>
        <v>0</v>
      </c>
      <c r="K148" s="18">
        <f ca="1">SUMIFS(OFFSET('BPC Data'!$F:$F,0,Summary!K$2),'BPC Data'!$E:$E,Summary!$D148,'BPC Data'!$B:$B,Summary!$C148)</f>
        <v>0</v>
      </c>
      <c r="L148" s="92">
        <f ca="1">SUMIFS(OFFSET('BPC Data'!$F:$F,0,Summary!L$2),'BPC Data'!$E:$E,Summary!$D148,'BPC Data'!$B:$B,Summary!$C148)</f>
        <v>0</v>
      </c>
      <c r="M148" s="32"/>
      <c r="N148" s="110"/>
      <c r="O148" s="106">
        <f t="shared" si="67"/>
        <v>0</v>
      </c>
    </row>
    <row r="149" spans="1:15" s="16" customFormat="1" hidden="1" outlineLevel="1" x14ac:dyDescent="0.25">
      <c r="A149" s="16">
        <f t="shared" si="68"/>
        <v>13</v>
      </c>
      <c r="B149"/>
      <c r="C149">
        <f>$F141</f>
        <v>0</v>
      </c>
      <c r="D149" s="1" t="str">
        <f t="shared" si="42"/>
        <v>T_EBITDAR - EBITDAR</v>
      </c>
      <c r="E149"/>
      <c r="F149" s="22" t="str">
        <f>_xll.EVDES(D149)</f>
        <v>EBITDAR</v>
      </c>
      <c r="G149" s="18">
        <f ca="1">SUMIFS(OFFSET('BPC Data'!$F:$F,0,Summary!G$2),'BPC Data'!$E:$E,Summary!$D149,'BPC Data'!$B:$B,Summary!$C149)</f>
        <v>0</v>
      </c>
      <c r="H149" s="92">
        <f ca="1">SUMIFS(OFFSET('BPC Data'!$F:$F,0,Summary!H$2),'BPC Data'!$E:$E,Summary!$D149,'BPC Data'!$B:$B,Summary!$C149)</f>
        <v>0</v>
      </c>
      <c r="I149" s="18">
        <f ca="1">SUMIFS(OFFSET('BPC Data'!$F:$F,0,Summary!I$2),'BPC Data'!$E:$E,Summary!$D149,'BPC Data'!$B:$B,Summary!$C149)</f>
        <v>0</v>
      </c>
      <c r="J149" s="92">
        <f ca="1">SUMIFS(OFFSET('BPC Data'!$F:$F,0,Summary!J$2),'BPC Data'!$E:$E,Summary!$D149,'BPC Data'!$B:$B,Summary!$C149)</f>
        <v>0</v>
      </c>
      <c r="K149" s="18">
        <f ca="1">SUMIFS(OFFSET('BPC Data'!$F:$F,0,Summary!K$2),'BPC Data'!$E:$E,Summary!$D149,'BPC Data'!$B:$B,Summary!$C149)</f>
        <v>0</v>
      </c>
      <c r="L149" s="92">
        <f ca="1">SUMIFS(OFFSET('BPC Data'!$F:$F,0,Summary!L$2),'BPC Data'!$E:$E,Summary!$D149,'BPC Data'!$B:$B,Summary!$C149)</f>
        <v>0</v>
      </c>
      <c r="M149" s="32"/>
      <c r="N149" s="110"/>
      <c r="O149" s="106">
        <f t="shared" si="67"/>
        <v>0</v>
      </c>
    </row>
    <row r="150" spans="1:15" s="16" customFormat="1" hidden="1" outlineLevel="1" x14ac:dyDescent="0.25">
      <c r="A150" s="16">
        <f t="shared" si="68"/>
        <v>13</v>
      </c>
      <c r="B150"/>
      <c r="C150">
        <f>$F141</f>
        <v>0</v>
      </c>
      <c r="D150" s="1" t="str">
        <f t="shared" ref="D150:D213" si="69">$D139</f>
        <v>T_RENT_EXP - Tenant Rent Expense</v>
      </c>
      <c r="E150"/>
      <c r="F150" s="22" t="str">
        <f>_xll.EVDES(D150)</f>
        <v>Tenant Rent Expense</v>
      </c>
      <c r="G150" s="18">
        <f ca="1">SUMIFS(OFFSET('BPC Data'!$F:$F,0,Summary!G$2),'BPC Data'!$E:$E,Summary!$D150,'BPC Data'!$B:$B,Summary!$C150)</f>
        <v>0</v>
      </c>
      <c r="H150" s="92">
        <f ca="1">SUMIFS(OFFSET('BPC Data'!$F:$F,0,Summary!H$2),'BPC Data'!$E:$E,Summary!$D150,'BPC Data'!$B:$B,Summary!$C150)</f>
        <v>0</v>
      </c>
      <c r="I150" s="18">
        <f ca="1">SUMIFS(OFFSET('BPC Data'!$F:$F,0,Summary!I$2),'BPC Data'!$E:$E,Summary!$D150,'BPC Data'!$B:$B,Summary!$C150)</f>
        <v>0</v>
      </c>
      <c r="J150" s="92">
        <f ca="1">SUMIFS(OFFSET('BPC Data'!$F:$F,0,Summary!J$2),'BPC Data'!$E:$E,Summary!$D150,'BPC Data'!$B:$B,Summary!$C150)</f>
        <v>0</v>
      </c>
      <c r="K150" s="18">
        <f ca="1">SUMIFS(OFFSET('BPC Data'!$F:$F,0,Summary!K$2),'BPC Data'!$E:$E,Summary!$D150,'BPC Data'!$B:$B,Summary!$C150)</f>
        <v>0</v>
      </c>
      <c r="L150" s="92">
        <f ca="1">SUMIFS(OFFSET('BPC Data'!$F:$F,0,Summary!L$2),'BPC Data'!$E:$E,Summary!$D150,'BPC Data'!$B:$B,Summary!$C150)</f>
        <v>0</v>
      </c>
      <c r="M150" s="32"/>
      <c r="N150" s="110"/>
      <c r="O150" s="106">
        <f t="shared" si="67"/>
        <v>0</v>
      </c>
    </row>
    <row r="151" spans="1:15" s="16" customFormat="1" hidden="1" outlineLevel="1" x14ac:dyDescent="0.25">
      <c r="A151" s="16">
        <f t="shared" si="68"/>
        <v>13</v>
      </c>
      <c r="B151"/>
      <c r="C151"/>
      <c r="D151" s="1" t="str">
        <f t="shared" si="69"/>
        <v>x</v>
      </c>
      <c r="E151"/>
      <c r="F151" s="22" t="s">
        <v>0</v>
      </c>
      <c r="G151" s="11" t="e">
        <f t="shared" ref="G151:H151" ca="1" si="70">G149/G150</f>
        <v>#DIV/0!</v>
      </c>
      <c r="H151" s="93" t="e">
        <f t="shared" ca="1" si="70"/>
        <v>#DIV/0!</v>
      </c>
      <c r="I151" s="11" t="e">
        <f t="shared" ref="I151:J151" ca="1" si="71">I149/I150</f>
        <v>#DIV/0!</v>
      </c>
      <c r="J151" s="93" t="e">
        <f t="shared" ca="1" si="71"/>
        <v>#DIV/0!</v>
      </c>
      <c r="K151" s="11" t="e">
        <f t="shared" ref="K151:L151" ca="1" si="72">K149/K150</f>
        <v>#DIV/0!</v>
      </c>
      <c r="L151" s="93" t="e">
        <f t="shared" ca="1" si="72"/>
        <v>#DIV/0!</v>
      </c>
      <c r="M151" s="32"/>
      <c r="N151" s="110"/>
      <c r="O151" s="106">
        <f t="shared" si="67"/>
        <v>0</v>
      </c>
    </row>
    <row r="152" spans="1:15" s="16" customFormat="1" hidden="1" outlineLevel="1" x14ac:dyDescent="0.25">
      <c r="A152" s="16">
        <f>IF(AND(D152&lt;&gt;"",C152=""),A151+1,A151)</f>
        <v>14</v>
      </c>
      <c r="B152" s="4"/>
      <c r="C152" s="4"/>
      <c r="D152" s="4" t="str">
        <f t="shared" si="69"/>
        <v>x</v>
      </c>
      <c r="E152" s="4"/>
      <c r="F152" s="21">
        <f>INDEX(PropertyList!$D:$D,MATCH(Summary!$A152,PropertyList!$C:$C,0))</f>
        <v>0</v>
      </c>
      <c r="G152" s="10"/>
      <c r="H152" s="91"/>
      <c r="I152" s="10"/>
      <c r="J152" s="91"/>
      <c r="K152" s="10"/>
      <c r="L152" s="91"/>
      <c r="M152" s="32"/>
      <c r="N152" s="110"/>
      <c r="O152" s="106">
        <f t="shared" si="67"/>
        <v>0</v>
      </c>
    </row>
    <row r="153" spans="1:15" s="16" customFormat="1" hidden="1" outlineLevel="1" x14ac:dyDescent="0.25">
      <c r="A153" s="16">
        <f>IF(AND(F153&lt;&gt;"",D153=""),A152+1,A152)</f>
        <v>14</v>
      </c>
      <c r="C153">
        <f>$F152</f>
        <v>0</v>
      </c>
      <c r="D153" s="3" t="str">
        <f t="shared" si="69"/>
        <v>PAY_PAT_DAYS - Total Payor Patient Days</v>
      </c>
      <c r="F153" s="22" t="str">
        <f>_xll.EVDES(D153)</f>
        <v>Total Payor Patient Days</v>
      </c>
      <c r="G153" s="18">
        <f ca="1">SUMIFS(OFFSET('BPC Data'!$F:$F,0,Summary!G$2),'BPC Data'!$E:$E,Summary!$D153,'BPC Data'!$B:$B,Summary!$C153)</f>
        <v>0</v>
      </c>
      <c r="H153" s="92">
        <f ca="1">SUMIFS(OFFSET('BPC Data'!$F:$F,0,Summary!H$2),'BPC Data'!$E:$E,Summary!$D153,'BPC Data'!$B:$B,Summary!$C153)</f>
        <v>0</v>
      </c>
      <c r="I153" s="18">
        <f ca="1">SUMIFS(OFFSET('BPC Data'!$F:$F,0,Summary!I$2),'BPC Data'!$E:$E,Summary!$D153,'BPC Data'!$B:$B,Summary!$C153)</f>
        <v>0</v>
      </c>
      <c r="J153" s="92">
        <f ca="1">SUMIFS(OFFSET('BPC Data'!$F:$F,0,Summary!J$2),'BPC Data'!$E:$E,Summary!$D153,'BPC Data'!$B:$B,Summary!$C153)</f>
        <v>0</v>
      </c>
      <c r="K153" s="18">
        <f ca="1">SUMIFS(OFFSET('BPC Data'!$F:$F,0,Summary!K$2),'BPC Data'!$E:$E,Summary!$D153,'BPC Data'!$B:$B,Summary!$C153)</f>
        <v>0</v>
      </c>
      <c r="L153" s="92">
        <f ca="1">SUMIFS(OFFSET('BPC Data'!$F:$F,0,Summary!L$2),'BPC Data'!$E:$E,Summary!$D153,'BPC Data'!$B:$B,Summary!$C153)</f>
        <v>0</v>
      </c>
      <c r="M153" s="32"/>
      <c r="N153" s="110"/>
      <c r="O153" s="106">
        <f t="shared" si="67"/>
        <v>0</v>
      </c>
    </row>
    <row r="154" spans="1:15" s="16" customFormat="1" hidden="1" outlineLevel="1" x14ac:dyDescent="0.25">
      <c r="A154" s="16">
        <f t="shared" ref="A154:A162" si="73">IF(AND(F154&lt;&gt;"",D154=""),A153+1,A153)</f>
        <v>14</v>
      </c>
      <c r="C154">
        <f>$F152</f>
        <v>0</v>
      </c>
      <c r="D154" s="3" t="str">
        <f t="shared" si="69"/>
        <v>A_BEDS_TOTAL - Total Available Beds</v>
      </c>
      <c r="F154" s="22" t="str">
        <f>_xll.EVDES(D154)</f>
        <v>Total Available Beds</v>
      </c>
      <c r="G154" s="18">
        <f ca="1">SUMIFS(OFFSET('BPC Data'!$F:$F,0,Summary!G$2),'BPC Data'!$E:$E,Summary!$D154,'BPC Data'!$B:$B,Summary!$C154)</f>
        <v>0</v>
      </c>
      <c r="H154" s="92">
        <f ca="1">SUMIFS(OFFSET('BPC Data'!$F:$F,0,Summary!H$2),'BPC Data'!$E:$E,Summary!$D154,'BPC Data'!$B:$B,Summary!$C154)</f>
        <v>0</v>
      </c>
      <c r="I154" s="18">
        <f ca="1">SUMIFS(OFFSET('BPC Data'!$F:$F,0,Summary!I$2),'BPC Data'!$E:$E,Summary!$D154,'BPC Data'!$B:$B,Summary!$C154)</f>
        <v>0</v>
      </c>
      <c r="J154" s="92">
        <f ca="1">SUMIFS(OFFSET('BPC Data'!$F:$F,0,Summary!J$2),'BPC Data'!$E:$E,Summary!$D154,'BPC Data'!$B:$B,Summary!$C154)</f>
        <v>0</v>
      </c>
      <c r="K154" s="18">
        <f ca="1">SUMIFS(OFFSET('BPC Data'!$F:$F,0,Summary!K$2),'BPC Data'!$E:$E,Summary!$D154,'BPC Data'!$B:$B,Summary!$C154)</f>
        <v>0</v>
      </c>
      <c r="L154" s="92">
        <f ca="1">SUMIFS(OFFSET('BPC Data'!$F:$F,0,Summary!L$2),'BPC Data'!$E:$E,Summary!$D154,'BPC Data'!$B:$B,Summary!$C154)</f>
        <v>0</v>
      </c>
      <c r="M154" s="32"/>
      <c r="N154" s="110"/>
      <c r="O154" s="106">
        <f t="shared" si="67"/>
        <v>0</v>
      </c>
    </row>
    <row r="155" spans="1:15" s="16" customFormat="1" hidden="1" outlineLevel="1" x14ac:dyDescent="0.25">
      <c r="A155" s="16">
        <f t="shared" si="73"/>
        <v>14</v>
      </c>
      <c r="B155"/>
      <c r="C155">
        <f>$F152</f>
        <v>0</v>
      </c>
      <c r="D155" s="3" t="str">
        <f t="shared" si="69"/>
        <v>T_REVENUES - Total Tenant Revenues</v>
      </c>
      <c r="E155"/>
      <c r="F155" s="22" t="str">
        <f>_xll.EVDES(D155)</f>
        <v>Total Tenant Revenues</v>
      </c>
      <c r="G155" s="18">
        <f ca="1">SUMIFS(OFFSET('BPC Data'!$F:$F,0,Summary!G$2),'BPC Data'!$E:$E,Summary!$D155,'BPC Data'!$B:$B,Summary!$C155)</f>
        <v>0</v>
      </c>
      <c r="H155" s="92">
        <f ca="1">SUMIFS(OFFSET('BPC Data'!$F:$F,0,Summary!H$2),'BPC Data'!$E:$E,Summary!$D155,'BPC Data'!$B:$B,Summary!$C155)</f>
        <v>0</v>
      </c>
      <c r="I155" s="18">
        <f ca="1">SUMIFS(OFFSET('BPC Data'!$F:$F,0,Summary!I$2),'BPC Data'!$E:$E,Summary!$D155,'BPC Data'!$B:$B,Summary!$C155)</f>
        <v>0</v>
      </c>
      <c r="J155" s="92">
        <f ca="1">SUMIFS(OFFSET('BPC Data'!$F:$F,0,Summary!J$2),'BPC Data'!$E:$E,Summary!$D155,'BPC Data'!$B:$B,Summary!$C155)</f>
        <v>0</v>
      </c>
      <c r="K155" s="18">
        <f ca="1">SUMIFS(OFFSET('BPC Data'!$F:$F,0,Summary!K$2),'BPC Data'!$E:$E,Summary!$D155,'BPC Data'!$B:$B,Summary!$C155)</f>
        <v>0</v>
      </c>
      <c r="L155" s="92">
        <f ca="1">SUMIFS(OFFSET('BPC Data'!$F:$F,0,Summary!L$2),'BPC Data'!$E:$E,Summary!$D155,'BPC Data'!$B:$B,Summary!$C155)</f>
        <v>0</v>
      </c>
      <c r="M155" s="32"/>
      <c r="N155" s="110"/>
      <c r="O155" s="106">
        <f t="shared" si="67"/>
        <v>0</v>
      </c>
    </row>
    <row r="156" spans="1:15" s="16" customFormat="1" hidden="1" outlineLevel="1" x14ac:dyDescent="0.25">
      <c r="A156" s="16">
        <f t="shared" si="73"/>
        <v>14</v>
      </c>
      <c r="B156"/>
      <c r="C156">
        <f>$F152</f>
        <v>0</v>
      </c>
      <c r="D156" s="3" t="str">
        <f t="shared" si="69"/>
        <v>T_OPEX - Tenant Operating Expenses</v>
      </c>
      <c r="E156"/>
      <c r="F156" s="22" t="str">
        <f>_xll.EVDES(D156)</f>
        <v>Tenant Operating Expenses</v>
      </c>
      <c r="G156" s="18">
        <f ca="1">SUMIFS(OFFSET('BPC Data'!$F:$F,0,Summary!G$2),'BPC Data'!$E:$E,Summary!$D156,'BPC Data'!$B:$B,Summary!$C156)</f>
        <v>0</v>
      </c>
      <c r="H156" s="92">
        <f ca="1">SUMIFS(OFFSET('BPC Data'!$F:$F,0,Summary!H$2),'BPC Data'!$E:$E,Summary!$D156,'BPC Data'!$B:$B,Summary!$C156)</f>
        <v>0</v>
      </c>
      <c r="I156" s="18">
        <f ca="1">SUMIFS(OFFSET('BPC Data'!$F:$F,0,Summary!I$2),'BPC Data'!$E:$E,Summary!$D156,'BPC Data'!$B:$B,Summary!$C156)</f>
        <v>0</v>
      </c>
      <c r="J156" s="92">
        <f ca="1">SUMIFS(OFFSET('BPC Data'!$F:$F,0,Summary!J$2),'BPC Data'!$E:$E,Summary!$D156,'BPC Data'!$B:$B,Summary!$C156)</f>
        <v>0</v>
      </c>
      <c r="K156" s="18">
        <f ca="1">SUMIFS(OFFSET('BPC Data'!$F:$F,0,Summary!K$2),'BPC Data'!$E:$E,Summary!$D156,'BPC Data'!$B:$B,Summary!$C156)</f>
        <v>0</v>
      </c>
      <c r="L156" s="92">
        <f ca="1">SUMIFS(OFFSET('BPC Data'!$F:$F,0,Summary!L$2),'BPC Data'!$E:$E,Summary!$D156,'BPC Data'!$B:$B,Summary!$C156)</f>
        <v>0</v>
      </c>
      <c r="M156" s="32"/>
      <c r="N156" s="110"/>
      <c r="O156" s="106">
        <f t="shared" si="67"/>
        <v>0</v>
      </c>
    </row>
    <row r="157" spans="1:15" s="16" customFormat="1" hidden="1" outlineLevel="1" x14ac:dyDescent="0.25">
      <c r="A157" s="16">
        <f t="shared" si="73"/>
        <v>14</v>
      </c>
      <c r="B157"/>
      <c r="C157">
        <f>$F152</f>
        <v>0</v>
      </c>
      <c r="D157" s="3" t="str">
        <f t="shared" si="69"/>
        <v>T_BAD_DEBT - Tenant Bad Debt Expense</v>
      </c>
      <c r="E157"/>
      <c r="F157" s="22" t="str">
        <f>_xll.EVDES(D157)</f>
        <v>Tenant Bad Debt Expense</v>
      </c>
      <c r="G157" s="18">
        <f ca="1">SUMIFS(OFFSET('BPC Data'!$F:$F,0,Summary!G$2),'BPC Data'!$E:$E,Summary!$D157,'BPC Data'!$B:$B,Summary!$C157)</f>
        <v>0</v>
      </c>
      <c r="H157" s="92">
        <f ca="1">SUMIFS(OFFSET('BPC Data'!$F:$F,0,Summary!H$2),'BPC Data'!$E:$E,Summary!$D157,'BPC Data'!$B:$B,Summary!$C157)</f>
        <v>0</v>
      </c>
      <c r="I157" s="18">
        <f ca="1">SUMIFS(OFFSET('BPC Data'!$F:$F,0,Summary!I$2),'BPC Data'!$E:$E,Summary!$D157,'BPC Data'!$B:$B,Summary!$C157)</f>
        <v>0</v>
      </c>
      <c r="J157" s="92">
        <f ca="1">SUMIFS(OFFSET('BPC Data'!$F:$F,0,Summary!J$2),'BPC Data'!$E:$E,Summary!$D157,'BPC Data'!$B:$B,Summary!$C157)</f>
        <v>0</v>
      </c>
      <c r="K157" s="18">
        <f ca="1">SUMIFS(OFFSET('BPC Data'!$F:$F,0,Summary!K$2),'BPC Data'!$E:$E,Summary!$D157,'BPC Data'!$B:$B,Summary!$C157)</f>
        <v>0</v>
      </c>
      <c r="L157" s="92">
        <f ca="1">SUMIFS(OFFSET('BPC Data'!$F:$F,0,Summary!L$2),'BPC Data'!$E:$E,Summary!$D157,'BPC Data'!$B:$B,Summary!$C157)</f>
        <v>0</v>
      </c>
      <c r="M157" s="32"/>
      <c r="N157" s="110"/>
      <c r="O157" s="106">
        <f t="shared" si="67"/>
        <v>0</v>
      </c>
    </row>
    <row r="158" spans="1:15" s="16" customFormat="1" hidden="1" outlineLevel="1" x14ac:dyDescent="0.25">
      <c r="A158" s="16">
        <f t="shared" si="73"/>
        <v>14</v>
      </c>
      <c r="B158"/>
      <c r="C158">
        <f>$F152</f>
        <v>0</v>
      </c>
      <c r="D158" s="2" t="str">
        <f t="shared" si="69"/>
        <v>T_EBITDARM - EBITDARM</v>
      </c>
      <c r="E158"/>
      <c r="F158" s="22" t="str">
        <f>_xll.EVDES(D158)</f>
        <v>EBITDARM</v>
      </c>
      <c r="G158" s="18">
        <f ca="1">SUMIFS(OFFSET('BPC Data'!$F:$F,0,Summary!G$2),'BPC Data'!$E:$E,Summary!$D158,'BPC Data'!$B:$B,Summary!$C158)</f>
        <v>0</v>
      </c>
      <c r="H158" s="92">
        <f ca="1">SUMIFS(OFFSET('BPC Data'!$F:$F,0,Summary!H$2),'BPC Data'!$E:$E,Summary!$D158,'BPC Data'!$B:$B,Summary!$C158)</f>
        <v>0</v>
      </c>
      <c r="I158" s="18">
        <f ca="1">SUMIFS(OFFSET('BPC Data'!$F:$F,0,Summary!I$2),'BPC Data'!$E:$E,Summary!$D158,'BPC Data'!$B:$B,Summary!$C158)</f>
        <v>0</v>
      </c>
      <c r="J158" s="92">
        <f ca="1">SUMIFS(OFFSET('BPC Data'!$F:$F,0,Summary!J$2),'BPC Data'!$E:$E,Summary!$D158,'BPC Data'!$B:$B,Summary!$C158)</f>
        <v>0</v>
      </c>
      <c r="K158" s="18">
        <f ca="1">SUMIFS(OFFSET('BPC Data'!$F:$F,0,Summary!K$2),'BPC Data'!$E:$E,Summary!$D158,'BPC Data'!$B:$B,Summary!$C158)</f>
        <v>0</v>
      </c>
      <c r="L158" s="92">
        <f ca="1">SUMIFS(OFFSET('BPC Data'!$F:$F,0,Summary!L$2),'BPC Data'!$E:$E,Summary!$D158,'BPC Data'!$B:$B,Summary!$C158)</f>
        <v>0</v>
      </c>
      <c r="M158" s="32"/>
      <c r="N158" s="110"/>
      <c r="O158" s="106">
        <f t="shared" si="67"/>
        <v>0</v>
      </c>
    </row>
    <row r="159" spans="1:15" s="16" customFormat="1" hidden="1" outlineLevel="1" x14ac:dyDescent="0.25">
      <c r="A159" s="16">
        <f t="shared" si="73"/>
        <v>14</v>
      </c>
      <c r="B159"/>
      <c r="C159">
        <f>$F152</f>
        <v>0</v>
      </c>
      <c r="D159" s="2" t="str">
        <f t="shared" si="69"/>
        <v>T_MGMT_FEE - Tenant Management Fee - Actual</v>
      </c>
      <c r="E159"/>
      <c r="F159" s="22" t="str">
        <f>_xll.EVDES(D159)</f>
        <v>Tenant Management Fee - Actual</v>
      </c>
      <c r="G159" s="18">
        <f ca="1">SUMIFS(OFFSET('BPC Data'!$F:$F,0,Summary!G$2),'BPC Data'!$E:$E,Summary!$D159,'BPC Data'!$B:$B,Summary!$C159)</f>
        <v>0</v>
      </c>
      <c r="H159" s="92">
        <f ca="1">SUMIFS(OFFSET('BPC Data'!$F:$F,0,Summary!H$2),'BPC Data'!$E:$E,Summary!$D159,'BPC Data'!$B:$B,Summary!$C159)</f>
        <v>0</v>
      </c>
      <c r="I159" s="18">
        <f ca="1">SUMIFS(OFFSET('BPC Data'!$F:$F,0,Summary!I$2),'BPC Data'!$E:$E,Summary!$D159,'BPC Data'!$B:$B,Summary!$C159)</f>
        <v>0</v>
      </c>
      <c r="J159" s="92">
        <f ca="1">SUMIFS(OFFSET('BPC Data'!$F:$F,0,Summary!J$2),'BPC Data'!$E:$E,Summary!$D159,'BPC Data'!$B:$B,Summary!$C159)</f>
        <v>0</v>
      </c>
      <c r="K159" s="18">
        <f ca="1">SUMIFS(OFFSET('BPC Data'!$F:$F,0,Summary!K$2),'BPC Data'!$E:$E,Summary!$D159,'BPC Data'!$B:$B,Summary!$C159)</f>
        <v>0</v>
      </c>
      <c r="L159" s="92">
        <f ca="1">SUMIFS(OFFSET('BPC Data'!$F:$F,0,Summary!L$2),'BPC Data'!$E:$E,Summary!$D159,'BPC Data'!$B:$B,Summary!$C159)</f>
        <v>0</v>
      </c>
      <c r="M159" s="32"/>
      <c r="N159" s="110"/>
      <c r="O159" s="106">
        <f t="shared" si="67"/>
        <v>0</v>
      </c>
    </row>
    <row r="160" spans="1:15" s="16" customFormat="1" hidden="1" outlineLevel="1" x14ac:dyDescent="0.25">
      <c r="A160" s="16">
        <f t="shared" si="73"/>
        <v>14</v>
      </c>
      <c r="B160"/>
      <c r="C160">
        <f>$F152</f>
        <v>0</v>
      </c>
      <c r="D160" s="1" t="str">
        <f t="shared" si="69"/>
        <v>T_EBITDAR - EBITDAR</v>
      </c>
      <c r="E160"/>
      <c r="F160" s="22" t="str">
        <f>_xll.EVDES(D160)</f>
        <v>EBITDAR</v>
      </c>
      <c r="G160" s="18">
        <f ca="1">SUMIFS(OFFSET('BPC Data'!$F:$F,0,Summary!G$2),'BPC Data'!$E:$E,Summary!$D160,'BPC Data'!$B:$B,Summary!$C160)</f>
        <v>0</v>
      </c>
      <c r="H160" s="92">
        <f ca="1">SUMIFS(OFFSET('BPC Data'!$F:$F,0,Summary!H$2),'BPC Data'!$E:$E,Summary!$D160,'BPC Data'!$B:$B,Summary!$C160)</f>
        <v>0</v>
      </c>
      <c r="I160" s="18">
        <f ca="1">SUMIFS(OFFSET('BPC Data'!$F:$F,0,Summary!I$2),'BPC Data'!$E:$E,Summary!$D160,'BPC Data'!$B:$B,Summary!$C160)</f>
        <v>0</v>
      </c>
      <c r="J160" s="92">
        <f ca="1">SUMIFS(OFFSET('BPC Data'!$F:$F,0,Summary!J$2),'BPC Data'!$E:$E,Summary!$D160,'BPC Data'!$B:$B,Summary!$C160)</f>
        <v>0</v>
      </c>
      <c r="K160" s="18">
        <f ca="1">SUMIFS(OFFSET('BPC Data'!$F:$F,0,Summary!K$2),'BPC Data'!$E:$E,Summary!$D160,'BPC Data'!$B:$B,Summary!$C160)</f>
        <v>0</v>
      </c>
      <c r="L160" s="92">
        <f ca="1">SUMIFS(OFFSET('BPC Data'!$F:$F,0,Summary!L$2),'BPC Data'!$E:$E,Summary!$D160,'BPC Data'!$B:$B,Summary!$C160)</f>
        <v>0</v>
      </c>
      <c r="M160" s="32"/>
      <c r="N160" s="110"/>
      <c r="O160" s="106">
        <f t="shared" si="67"/>
        <v>0</v>
      </c>
    </row>
    <row r="161" spans="1:15" s="16" customFormat="1" hidden="1" outlineLevel="1" x14ac:dyDescent="0.25">
      <c r="A161" s="16">
        <f t="shared" si="73"/>
        <v>14</v>
      </c>
      <c r="B161"/>
      <c r="C161">
        <f>$F152</f>
        <v>0</v>
      </c>
      <c r="D161" s="1" t="str">
        <f t="shared" si="69"/>
        <v>T_RENT_EXP - Tenant Rent Expense</v>
      </c>
      <c r="E161"/>
      <c r="F161" s="22" t="str">
        <f>_xll.EVDES(D161)</f>
        <v>Tenant Rent Expense</v>
      </c>
      <c r="G161" s="18">
        <f ca="1">SUMIFS(OFFSET('BPC Data'!$F:$F,0,Summary!G$2),'BPC Data'!$E:$E,Summary!$D161,'BPC Data'!$B:$B,Summary!$C161)</f>
        <v>0</v>
      </c>
      <c r="H161" s="92">
        <f ca="1">SUMIFS(OFFSET('BPC Data'!$F:$F,0,Summary!H$2),'BPC Data'!$E:$E,Summary!$D161,'BPC Data'!$B:$B,Summary!$C161)</f>
        <v>0</v>
      </c>
      <c r="I161" s="18">
        <f ca="1">SUMIFS(OFFSET('BPC Data'!$F:$F,0,Summary!I$2),'BPC Data'!$E:$E,Summary!$D161,'BPC Data'!$B:$B,Summary!$C161)</f>
        <v>0</v>
      </c>
      <c r="J161" s="92">
        <f ca="1">SUMIFS(OFFSET('BPC Data'!$F:$F,0,Summary!J$2),'BPC Data'!$E:$E,Summary!$D161,'BPC Data'!$B:$B,Summary!$C161)</f>
        <v>0</v>
      </c>
      <c r="K161" s="18">
        <f ca="1">SUMIFS(OFFSET('BPC Data'!$F:$F,0,Summary!K$2),'BPC Data'!$E:$E,Summary!$D161,'BPC Data'!$B:$B,Summary!$C161)</f>
        <v>0</v>
      </c>
      <c r="L161" s="92">
        <f ca="1">SUMIFS(OFFSET('BPC Data'!$F:$F,0,Summary!L$2),'BPC Data'!$E:$E,Summary!$D161,'BPC Data'!$B:$B,Summary!$C161)</f>
        <v>0</v>
      </c>
      <c r="M161" s="32"/>
      <c r="N161" s="110"/>
      <c r="O161" s="106">
        <f t="shared" si="67"/>
        <v>0</v>
      </c>
    </row>
    <row r="162" spans="1:15" s="16" customFormat="1" hidden="1" outlineLevel="1" x14ac:dyDescent="0.25">
      <c r="A162" s="16">
        <f t="shared" si="73"/>
        <v>14</v>
      </c>
      <c r="B162"/>
      <c r="C162"/>
      <c r="D162" s="1" t="str">
        <f t="shared" si="69"/>
        <v>x</v>
      </c>
      <c r="E162"/>
      <c r="F162" s="22" t="s">
        <v>0</v>
      </c>
      <c r="G162" s="11" t="e">
        <f t="shared" ref="G162:H162" ca="1" si="74">G160/G161</f>
        <v>#DIV/0!</v>
      </c>
      <c r="H162" s="93" t="e">
        <f t="shared" ca="1" si="74"/>
        <v>#DIV/0!</v>
      </c>
      <c r="I162" s="11" t="e">
        <f t="shared" ref="I162:J162" ca="1" si="75">I160/I161</f>
        <v>#DIV/0!</v>
      </c>
      <c r="J162" s="93" t="e">
        <f t="shared" ca="1" si="75"/>
        <v>#DIV/0!</v>
      </c>
      <c r="K162" s="11" t="e">
        <f t="shared" ref="K162:L162" ca="1" si="76">K160/K161</f>
        <v>#DIV/0!</v>
      </c>
      <c r="L162" s="93" t="e">
        <f t="shared" ca="1" si="76"/>
        <v>#DIV/0!</v>
      </c>
      <c r="M162" s="32"/>
      <c r="N162" s="110"/>
      <c r="O162" s="106">
        <f t="shared" si="67"/>
        <v>0</v>
      </c>
    </row>
    <row r="163" spans="1:15" s="16" customFormat="1" hidden="1" outlineLevel="1" x14ac:dyDescent="0.25">
      <c r="A163" s="16">
        <f>IF(AND(D163&lt;&gt;"",C163=""),A162+1,A162)</f>
        <v>15</v>
      </c>
      <c r="B163" s="4"/>
      <c r="C163" s="4"/>
      <c r="D163" s="4" t="str">
        <f t="shared" si="69"/>
        <v>x</v>
      </c>
      <c r="E163" s="4"/>
      <c r="F163" s="21">
        <f>INDEX(PropertyList!$D:$D,MATCH(Summary!$A163,PropertyList!$C:$C,0))</f>
        <v>0</v>
      </c>
      <c r="G163" s="10"/>
      <c r="H163" s="91"/>
      <c r="I163" s="10"/>
      <c r="J163" s="91"/>
      <c r="K163" s="10"/>
      <c r="L163" s="91"/>
      <c r="M163" s="32"/>
      <c r="N163" s="110"/>
      <c r="O163" s="106">
        <f t="shared" si="67"/>
        <v>0</v>
      </c>
    </row>
    <row r="164" spans="1:15" s="16" customFormat="1" hidden="1" outlineLevel="1" x14ac:dyDescent="0.25">
      <c r="A164" s="16">
        <f>IF(AND(F164&lt;&gt;"",D164=""),A163+1,A163)</f>
        <v>15</v>
      </c>
      <c r="C164">
        <f>$F163</f>
        <v>0</v>
      </c>
      <c r="D164" s="3" t="str">
        <f t="shared" si="69"/>
        <v>PAY_PAT_DAYS - Total Payor Patient Days</v>
      </c>
      <c r="F164" s="22" t="str">
        <f>_xll.EVDES(D164)</f>
        <v>Total Payor Patient Days</v>
      </c>
      <c r="G164" s="18">
        <f ca="1">SUMIFS(OFFSET('BPC Data'!$F:$F,0,Summary!G$2),'BPC Data'!$E:$E,Summary!$D164,'BPC Data'!$B:$B,Summary!$C164)</f>
        <v>0</v>
      </c>
      <c r="H164" s="92">
        <f ca="1">SUMIFS(OFFSET('BPC Data'!$F:$F,0,Summary!H$2),'BPC Data'!$E:$E,Summary!$D164,'BPC Data'!$B:$B,Summary!$C164)</f>
        <v>0</v>
      </c>
      <c r="I164" s="18">
        <f ca="1">SUMIFS(OFFSET('BPC Data'!$F:$F,0,Summary!I$2),'BPC Data'!$E:$E,Summary!$D164,'BPC Data'!$B:$B,Summary!$C164)</f>
        <v>0</v>
      </c>
      <c r="J164" s="92">
        <f ca="1">SUMIFS(OFFSET('BPC Data'!$F:$F,0,Summary!J$2),'BPC Data'!$E:$E,Summary!$D164,'BPC Data'!$B:$B,Summary!$C164)</f>
        <v>0</v>
      </c>
      <c r="K164" s="18">
        <f ca="1">SUMIFS(OFFSET('BPC Data'!$F:$F,0,Summary!K$2),'BPC Data'!$E:$E,Summary!$D164,'BPC Data'!$B:$B,Summary!$C164)</f>
        <v>0</v>
      </c>
      <c r="L164" s="92">
        <f ca="1">SUMIFS(OFFSET('BPC Data'!$F:$F,0,Summary!L$2),'BPC Data'!$E:$E,Summary!$D164,'BPC Data'!$B:$B,Summary!$C164)</f>
        <v>0</v>
      </c>
      <c r="M164" s="32"/>
      <c r="N164" s="110"/>
      <c r="O164" s="106">
        <f t="shared" si="67"/>
        <v>0</v>
      </c>
    </row>
    <row r="165" spans="1:15" s="16" customFormat="1" hidden="1" outlineLevel="1" x14ac:dyDescent="0.25">
      <c r="A165" s="16">
        <f t="shared" ref="A165:A173" si="77">IF(AND(F165&lt;&gt;"",D165=""),A164+1,A164)</f>
        <v>15</v>
      </c>
      <c r="C165">
        <f>$F163</f>
        <v>0</v>
      </c>
      <c r="D165" s="3" t="str">
        <f t="shared" si="69"/>
        <v>A_BEDS_TOTAL - Total Available Beds</v>
      </c>
      <c r="F165" s="22" t="str">
        <f>_xll.EVDES(D165)</f>
        <v>Total Available Beds</v>
      </c>
      <c r="G165" s="18">
        <f ca="1">SUMIFS(OFFSET('BPC Data'!$F:$F,0,Summary!G$2),'BPC Data'!$E:$E,Summary!$D165,'BPC Data'!$B:$B,Summary!$C165)</f>
        <v>0</v>
      </c>
      <c r="H165" s="92">
        <f ca="1">SUMIFS(OFFSET('BPC Data'!$F:$F,0,Summary!H$2),'BPC Data'!$E:$E,Summary!$D165,'BPC Data'!$B:$B,Summary!$C165)</f>
        <v>0</v>
      </c>
      <c r="I165" s="18">
        <f ca="1">SUMIFS(OFFSET('BPC Data'!$F:$F,0,Summary!I$2),'BPC Data'!$E:$E,Summary!$D165,'BPC Data'!$B:$B,Summary!$C165)</f>
        <v>0</v>
      </c>
      <c r="J165" s="92">
        <f ca="1">SUMIFS(OFFSET('BPC Data'!$F:$F,0,Summary!J$2),'BPC Data'!$E:$E,Summary!$D165,'BPC Data'!$B:$B,Summary!$C165)</f>
        <v>0</v>
      </c>
      <c r="K165" s="18">
        <f ca="1">SUMIFS(OFFSET('BPC Data'!$F:$F,0,Summary!K$2),'BPC Data'!$E:$E,Summary!$D165,'BPC Data'!$B:$B,Summary!$C165)</f>
        <v>0</v>
      </c>
      <c r="L165" s="92">
        <f ca="1">SUMIFS(OFFSET('BPC Data'!$F:$F,0,Summary!L$2),'BPC Data'!$E:$E,Summary!$D165,'BPC Data'!$B:$B,Summary!$C165)</f>
        <v>0</v>
      </c>
      <c r="M165" s="32"/>
      <c r="N165" s="110"/>
      <c r="O165" s="106">
        <f t="shared" si="67"/>
        <v>0</v>
      </c>
    </row>
    <row r="166" spans="1:15" s="16" customFormat="1" hidden="1" outlineLevel="1" x14ac:dyDescent="0.25">
      <c r="A166" s="16">
        <f t="shared" si="77"/>
        <v>15</v>
      </c>
      <c r="B166"/>
      <c r="C166">
        <f>$F163</f>
        <v>0</v>
      </c>
      <c r="D166" s="3" t="str">
        <f t="shared" si="69"/>
        <v>T_REVENUES - Total Tenant Revenues</v>
      </c>
      <c r="E166"/>
      <c r="F166" s="22" t="str">
        <f>_xll.EVDES(D166)</f>
        <v>Total Tenant Revenues</v>
      </c>
      <c r="G166" s="18">
        <f ca="1">SUMIFS(OFFSET('BPC Data'!$F:$F,0,Summary!G$2),'BPC Data'!$E:$E,Summary!$D166,'BPC Data'!$B:$B,Summary!$C166)</f>
        <v>0</v>
      </c>
      <c r="H166" s="92">
        <f ca="1">SUMIFS(OFFSET('BPC Data'!$F:$F,0,Summary!H$2),'BPC Data'!$E:$E,Summary!$D166,'BPC Data'!$B:$B,Summary!$C166)</f>
        <v>0</v>
      </c>
      <c r="I166" s="18">
        <f ca="1">SUMIFS(OFFSET('BPC Data'!$F:$F,0,Summary!I$2),'BPC Data'!$E:$E,Summary!$D166,'BPC Data'!$B:$B,Summary!$C166)</f>
        <v>0</v>
      </c>
      <c r="J166" s="92">
        <f ca="1">SUMIFS(OFFSET('BPC Data'!$F:$F,0,Summary!J$2),'BPC Data'!$E:$E,Summary!$D166,'BPC Data'!$B:$B,Summary!$C166)</f>
        <v>0</v>
      </c>
      <c r="K166" s="18">
        <f ca="1">SUMIFS(OFFSET('BPC Data'!$F:$F,0,Summary!K$2),'BPC Data'!$E:$E,Summary!$D166,'BPC Data'!$B:$B,Summary!$C166)</f>
        <v>0</v>
      </c>
      <c r="L166" s="92">
        <f ca="1">SUMIFS(OFFSET('BPC Data'!$F:$F,0,Summary!L$2),'BPC Data'!$E:$E,Summary!$D166,'BPC Data'!$B:$B,Summary!$C166)</f>
        <v>0</v>
      </c>
      <c r="M166" s="32"/>
      <c r="N166" s="110"/>
      <c r="O166" s="106">
        <f t="shared" si="67"/>
        <v>0</v>
      </c>
    </row>
    <row r="167" spans="1:15" s="16" customFormat="1" hidden="1" outlineLevel="1" x14ac:dyDescent="0.25">
      <c r="A167" s="16">
        <f t="shared" si="77"/>
        <v>15</v>
      </c>
      <c r="B167"/>
      <c r="C167">
        <f>$F163</f>
        <v>0</v>
      </c>
      <c r="D167" s="3" t="str">
        <f t="shared" si="69"/>
        <v>T_OPEX - Tenant Operating Expenses</v>
      </c>
      <c r="E167"/>
      <c r="F167" s="22" t="str">
        <f>_xll.EVDES(D167)</f>
        <v>Tenant Operating Expenses</v>
      </c>
      <c r="G167" s="18">
        <f ca="1">SUMIFS(OFFSET('BPC Data'!$F:$F,0,Summary!G$2),'BPC Data'!$E:$E,Summary!$D167,'BPC Data'!$B:$B,Summary!$C167)</f>
        <v>0</v>
      </c>
      <c r="H167" s="92">
        <f ca="1">SUMIFS(OFFSET('BPC Data'!$F:$F,0,Summary!H$2),'BPC Data'!$E:$E,Summary!$D167,'BPC Data'!$B:$B,Summary!$C167)</f>
        <v>0</v>
      </c>
      <c r="I167" s="18">
        <f ca="1">SUMIFS(OFFSET('BPC Data'!$F:$F,0,Summary!I$2),'BPC Data'!$E:$E,Summary!$D167,'BPC Data'!$B:$B,Summary!$C167)</f>
        <v>0</v>
      </c>
      <c r="J167" s="92">
        <f ca="1">SUMIFS(OFFSET('BPC Data'!$F:$F,0,Summary!J$2),'BPC Data'!$E:$E,Summary!$D167,'BPC Data'!$B:$B,Summary!$C167)</f>
        <v>0</v>
      </c>
      <c r="K167" s="18">
        <f ca="1">SUMIFS(OFFSET('BPC Data'!$F:$F,0,Summary!K$2),'BPC Data'!$E:$E,Summary!$D167,'BPC Data'!$B:$B,Summary!$C167)</f>
        <v>0</v>
      </c>
      <c r="L167" s="92">
        <f ca="1">SUMIFS(OFFSET('BPC Data'!$F:$F,0,Summary!L$2),'BPC Data'!$E:$E,Summary!$D167,'BPC Data'!$B:$B,Summary!$C167)</f>
        <v>0</v>
      </c>
      <c r="M167" s="32"/>
      <c r="N167" s="110"/>
      <c r="O167" s="106">
        <f t="shared" si="67"/>
        <v>0</v>
      </c>
    </row>
    <row r="168" spans="1:15" s="16" customFormat="1" hidden="1" outlineLevel="1" x14ac:dyDescent="0.25">
      <c r="A168" s="16">
        <f t="shared" si="77"/>
        <v>15</v>
      </c>
      <c r="B168"/>
      <c r="C168">
        <f>$F163</f>
        <v>0</v>
      </c>
      <c r="D168" s="3" t="str">
        <f t="shared" si="69"/>
        <v>T_BAD_DEBT - Tenant Bad Debt Expense</v>
      </c>
      <c r="E168"/>
      <c r="F168" s="22" t="str">
        <f>_xll.EVDES(D168)</f>
        <v>Tenant Bad Debt Expense</v>
      </c>
      <c r="G168" s="18">
        <f ca="1">SUMIFS(OFFSET('BPC Data'!$F:$F,0,Summary!G$2),'BPC Data'!$E:$E,Summary!$D168,'BPC Data'!$B:$B,Summary!$C168)</f>
        <v>0</v>
      </c>
      <c r="H168" s="92">
        <f ca="1">SUMIFS(OFFSET('BPC Data'!$F:$F,0,Summary!H$2),'BPC Data'!$E:$E,Summary!$D168,'BPC Data'!$B:$B,Summary!$C168)</f>
        <v>0</v>
      </c>
      <c r="I168" s="18">
        <f ca="1">SUMIFS(OFFSET('BPC Data'!$F:$F,0,Summary!I$2),'BPC Data'!$E:$E,Summary!$D168,'BPC Data'!$B:$B,Summary!$C168)</f>
        <v>0</v>
      </c>
      <c r="J168" s="92">
        <f ca="1">SUMIFS(OFFSET('BPC Data'!$F:$F,0,Summary!J$2),'BPC Data'!$E:$E,Summary!$D168,'BPC Data'!$B:$B,Summary!$C168)</f>
        <v>0</v>
      </c>
      <c r="K168" s="18">
        <f ca="1">SUMIFS(OFFSET('BPC Data'!$F:$F,0,Summary!K$2),'BPC Data'!$E:$E,Summary!$D168,'BPC Data'!$B:$B,Summary!$C168)</f>
        <v>0</v>
      </c>
      <c r="L168" s="92">
        <f ca="1">SUMIFS(OFFSET('BPC Data'!$F:$F,0,Summary!L$2),'BPC Data'!$E:$E,Summary!$D168,'BPC Data'!$B:$B,Summary!$C168)</f>
        <v>0</v>
      </c>
      <c r="M168" s="32"/>
      <c r="N168" s="110"/>
      <c r="O168" s="106">
        <f t="shared" si="67"/>
        <v>0</v>
      </c>
    </row>
    <row r="169" spans="1:15" s="16" customFormat="1" hidden="1" outlineLevel="1" x14ac:dyDescent="0.25">
      <c r="A169" s="16">
        <f t="shared" si="77"/>
        <v>15</v>
      </c>
      <c r="B169"/>
      <c r="C169">
        <f>$F163</f>
        <v>0</v>
      </c>
      <c r="D169" s="2" t="str">
        <f t="shared" si="69"/>
        <v>T_EBITDARM - EBITDARM</v>
      </c>
      <c r="E169"/>
      <c r="F169" s="22" t="str">
        <f>_xll.EVDES(D169)</f>
        <v>EBITDARM</v>
      </c>
      <c r="G169" s="18">
        <f ca="1">SUMIFS(OFFSET('BPC Data'!$F:$F,0,Summary!G$2),'BPC Data'!$E:$E,Summary!$D169,'BPC Data'!$B:$B,Summary!$C169)</f>
        <v>0</v>
      </c>
      <c r="H169" s="92">
        <f ca="1">SUMIFS(OFFSET('BPC Data'!$F:$F,0,Summary!H$2),'BPC Data'!$E:$E,Summary!$D169,'BPC Data'!$B:$B,Summary!$C169)</f>
        <v>0</v>
      </c>
      <c r="I169" s="18">
        <f ca="1">SUMIFS(OFFSET('BPC Data'!$F:$F,0,Summary!I$2),'BPC Data'!$E:$E,Summary!$D169,'BPC Data'!$B:$B,Summary!$C169)</f>
        <v>0</v>
      </c>
      <c r="J169" s="92">
        <f ca="1">SUMIFS(OFFSET('BPC Data'!$F:$F,0,Summary!J$2),'BPC Data'!$E:$E,Summary!$D169,'BPC Data'!$B:$B,Summary!$C169)</f>
        <v>0</v>
      </c>
      <c r="K169" s="18">
        <f ca="1">SUMIFS(OFFSET('BPC Data'!$F:$F,0,Summary!K$2),'BPC Data'!$E:$E,Summary!$D169,'BPC Data'!$B:$B,Summary!$C169)</f>
        <v>0</v>
      </c>
      <c r="L169" s="92">
        <f ca="1">SUMIFS(OFFSET('BPC Data'!$F:$F,0,Summary!L$2),'BPC Data'!$E:$E,Summary!$D169,'BPC Data'!$B:$B,Summary!$C169)</f>
        <v>0</v>
      </c>
      <c r="M169" s="32"/>
      <c r="N169" s="110"/>
      <c r="O169" s="106">
        <f t="shared" si="67"/>
        <v>0</v>
      </c>
    </row>
    <row r="170" spans="1:15" s="16" customFormat="1" hidden="1" outlineLevel="1" x14ac:dyDescent="0.25">
      <c r="A170" s="16">
        <f t="shared" si="77"/>
        <v>15</v>
      </c>
      <c r="B170"/>
      <c r="C170">
        <f>$F163</f>
        <v>0</v>
      </c>
      <c r="D170" s="2" t="str">
        <f t="shared" si="69"/>
        <v>T_MGMT_FEE - Tenant Management Fee - Actual</v>
      </c>
      <c r="E170"/>
      <c r="F170" s="22" t="str">
        <f>_xll.EVDES(D170)</f>
        <v>Tenant Management Fee - Actual</v>
      </c>
      <c r="G170" s="18">
        <f ca="1">SUMIFS(OFFSET('BPC Data'!$F:$F,0,Summary!G$2),'BPC Data'!$E:$E,Summary!$D170,'BPC Data'!$B:$B,Summary!$C170)</f>
        <v>0</v>
      </c>
      <c r="H170" s="92">
        <f ca="1">SUMIFS(OFFSET('BPC Data'!$F:$F,0,Summary!H$2),'BPC Data'!$E:$E,Summary!$D170,'BPC Data'!$B:$B,Summary!$C170)</f>
        <v>0</v>
      </c>
      <c r="I170" s="18">
        <f ca="1">SUMIFS(OFFSET('BPC Data'!$F:$F,0,Summary!I$2),'BPC Data'!$E:$E,Summary!$D170,'BPC Data'!$B:$B,Summary!$C170)</f>
        <v>0</v>
      </c>
      <c r="J170" s="92">
        <f ca="1">SUMIFS(OFFSET('BPC Data'!$F:$F,0,Summary!J$2),'BPC Data'!$E:$E,Summary!$D170,'BPC Data'!$B:$B,Summary!$C170)</f>
        <v>0</v>
      </c>
      <c r="K170" s="18">
        <f ca="1">SUMIFS(OFFSET('BPC Data'!$F:$F,0,Summary!K$2),'BPC Data'!$E:$E,Summary!$D170,'BPC Data'!$B:$B,Summary!$C170)</f>
        <v>0</v>
      </c>
      <c r="L170" s="92">
        <f ca="1">SUMIFS(OFFSET('BPC Data'!$F:$F,0,Summary!L$2),'BPC Data'!$E:$E,Summary!$D170,'BPC Data'!$B:$B,Summary!$C170)</f>
        <v>0</v>
      </c>
      <c r="M170" s="32"/>
      <c r="N170" s="110"/>
      <c r="O170" s="106">
        <f t="shared" si="67"/>
        <v>0</v>
      </c>
    </row>
    <row r="171" spans="1:15" s="16" customFormat="1" hidden="1" outlineLevel="1" x14ac:dyDescent="0.25">
      <c r="A171" s="16">
        <f t="shared" si="77"/>
        <v>15</v>
      </c>
      <c r="B171"/>
      <c r="C171">
        <f>$F163</f>
        <v>0</v>
      </c>
      <c r="D171" s="1" t="str">
        <f t="shared" si="69"/>
        <v>T_EBITDAR - EBITDAR</v>
      </c>
      <c r="E171"/>
      <c r="F171" s="22" t="str">
        <f>_xll.EVDES(D171)</f>
        <v>EBITDAR</v>
      </c>
      <c r="G171" s="18">
        <f ca="1">SUMIFS(OFFSET('BPC Data'!$F:$F,0,Summary!G$2),'BPC Data'!$E:$E,Summary!$D171,'BPC Data'!$B:$B,Summary!$C171)</f>
        <v>0</v>
      </c>
      <c r="H171" s="92">
        <f ca="1">SUMIFS(OFFSET('BPC Data'!$F:$F,0,Summary!H$2),'BPC Data'!$E:$E,Summary!$D171,'BPC Data'!$B:$B,Summary!$C171)</f>
        <v>0</v>
      </c>
      <c r="I171" s="18">
        <f ca="1">SUMIFS(OFFSET('BPC Data'!$F:$F,0,Summary!I$2),'BPC Data'!$E:$E,Summary!$D171,'BPC Data'!$B:$B,Summary!$C171)</f>
        <v>0</v>
      </c>
      <c r="J171" s="92">
        <f ca="1">SUMIFS(OFFSET('BPC Data'!$F:$F,0,Summary!J$2),'BPC Data'!$E:$E,Summary!$D171,'BPC Data'!$B:$B,Summary!$C171)</f>
        <v>0</v>
      </c>
      <c r="K171" s="18">
        <f ca="1">SUMIFS(OFFSET('BPC Data'!$F:$F,0,Summary!K$2),'BPC Data'!$E:$E,Summary!$D171,'BPC Data'!$B:$B,Summary!$C171)</f>
        <v>0</v>
      </c>
      <c r="L171" s="92">
        <f ca="1">SUMIFS(OFFSET('BPC Data'!$F:$F,0,Summary!L$2),'BPC Data'!$E:$E,Summary!$D171,'BPC Data'!$B:$B,Summary!$C171)</f>
        <v>0</v>
      </c>
      <c r="M171" s="32"/>
      <c r="N171" s="110"/>
      <c r="O171" s="106">
        <f t="shared" si="67"/>
        <v>0</v>
      </c>
    </row>
    <row r="172" spans="1:15" s="16" customFormat="1" hidden="1" outlineLevel="1" x14ac:dyDescent="0.25">
      <c r="A172" s="16">
        <f t="shared" si="77"/>
        <v>15</v>
      </c>
      <c r="B172"/>
      <c r="C172">
        <f>$F163</f>
        <v>0</v>
      </c>
      <c r="D172" s="1" t="str">
        <f t="shared" si="69"/>
        <v>T_RENT_EXP - Tenant Rent Expense</v>
      </c>
      <c r="E172"/>
      <c r="F172" s="22" t="str">
        <f>_xll.EVDES(D172)</f>
        <v>Tenant Rent Expense</v>
      </c>
      <c r="G172" s="18">
        <f ca="1">SUMIFS(OFFSET('BPC Data'!$F:$F,0,Summary!G$2),'BPC Data'!$E:$E,Summary!$D172,'BPC Data'!$B:$B,Summary!$C172)</f>
        <v>0</v>
      </c>
      <c r="H172" s="92">
        <f ca="1">SUMIFS(OFFSET('BPC Data'!$F:$F,0,Summary!H$2),'BPC Data'!$E:$E,Summary!$D172,'BPC Data'!$B:$B,Summary!$C172)</f>
        <v>0</v>
      </c>
      <c r="I172" s="18">
        <f ca="1">SUMIFS(OFFSET('BPC Data'!$F:$F,0,Summary!I$2),'BPC Data'!$E:$E,Summary!$D172,'BPC Data'!$B:$B,Summary!$C172)</f>
        <v>0</v>
      </c>
      <c r="J172" s="92">
        <f ca="1">SUMIFS(OFFSET('BPC Data'!$F:$F,0,Summary!J$2),'BPC Data'!$E:$E,Summary!$D172,'BPC Data'!$B:$B,Summary!$C172)</f>
        <v>0</v>
      </c>
      <c r="K172" s="18">
        <f ca="1">SUMIFS(OFFSET('BPC Data'!$F:$F,0,Summary!K$2),'BPC Data'!$E:$E,Summary!$D172,'BPC Data'!$B:$B,Summary!$C172)</f>
        <v>0</v>
      </c>
      <c r="L172" s="92">
        <f ca="1">SUMIFS(OFFSET('BPC Data'!$F:$F,0,Summary!L$2),'BPC Data'!$E:$E,Summary!$D172,'BPC Data'!$B:$B,Summary!$C172)</f>
        <v>0</v>
      </c>
      <c r="M172" s="32"/>
      <c r="N172" s="110"/>
      <c r="O172" s="106">
        <f t="shared" si="67"/>
        <v>0</v>
      </c>
    </row>
    <row r="173" spans="1:15" s="16" customFormat="1" hidden="1" outlineLevel="1" x14ac:dyDescent="0.25">
      <c r="A173" s="16">
        <f t="shared" si="77"/>
        <v>15</v>
      </c>
      <c r="B173"/>
      <c r="C173"/>
      <c r="D173" s="1" t="str">
        <f t="shared" si="69"/>
        <v>x</v>
      </c>
      <c r="E173"/>
      <c r="F173" s="22" t="s">
        <v>0</v>
      </c>
      <c r="G173" s="11" t="e">
        <f t="shared" ref="G173:H173" ca="1" si="78">G171/G172</f>
        <v>#DIV/0!</v>
      </c>
      <c r="H173" s="93" t="e">
        <f t="shared" ca="1" si="78"/>
        <v>#DIV/0!</v>
      </c>
      <c r="I173" s="11" t="e">
        <f t="shared" ref="I173:J173" ca="1" si="79">I171/I172</f>
        <v>#DIV/0!</v>
      </c>
      <c r="J173" s="93" t="e">
        <f t="shared" ca="1" si="79"/>
        <v>#DIV/0!</v>
      </c>
      <c r="K173" s="11" t="e">
        <f t="shared" ref="K173:L173" ca="1" si="80">K171/K172</f>
        <v>#DIV/0!</v>
      </c>
      <c r="L173" s="93" t="e">
        <f t="shared" ca="1" si="80"/>
        <v>#DIV/0!</v>
      </c>
      <c r="M173" s="32"/>
      <c r="N173" s="110"/>
      <c r="O173" s="106">
        <f t="shared" si="67"/>
        <v>0</v>
      </c>
    </row>
    <row r="174" spans="1:15" s="16" customFormat="1" hidden="1" outlineLevel="1" x14ac:dyDescent="0.25">
      <c r="A174" s="16">
        <f>IF(AND(D174&lt;&gt;"",C174=""),A173+1,A173)</f>
        <v>16</v>
      </c>
      <c r="B174" s="4"/>
      <c r="C174" s="4"/>
      <c r="D174" s="4" t="str">
        <f t="shared" si="69"/>
        <v>x</v>
      </c>
      <c r="E174" s="4"/>
      <c r="F174" s="21">
        <f>INDEX(PropertyList!$D:$D,MATCH(Summary!$A174,PropertyList!$C:$C,0))</f>
        <v>0</v>
      </c>
      <c r="G174" s="10"/>
      <c r="H174" s="91"/>
      <c r="I174" s="10"/>
      <c r="J174" s="91"/>
      <c r="K174" s="10"/>
      <c r="L174" s="91"/>
      <c r="M174" s="32"/>
      <c r="N174" s="110"/>
      <c r="O174" s="106">
        <f t="shared" si="67"/>
        <v>0</v>
      </c>
    </row>
    <row r="175" spans="1:15" s="16" customFormat="1" hidden="1" outlineLevel="1" x14ac:dyDescent="0.25">
      <c r="A175" s="16">
        <f>IF(AND(F175&lt;&gt;"",D175=""),A174+1,A174)</f>
        <v>16</v>
      </c>
      <c r="C175">
        <f>$F174</f>
        <v>0</v>
      </c>
      <c r="D175" s="3" t="str">
        <f t="shared" si="69"/>
        <v>PAY_PAT_DAYS - Total Payor Patient Days</v>
      </c>
      <c r="F175" s="22" t="str">
        <f>_xll.EVDES(D175)</f>
        <v>Total Payor Patient Days</v>
      </c>
      <c r="G175" s="18">
        <f ca="1">SUMIFS(OFFSET('BPC Data'!$F:$F,0,Summary!G$2),'BPC Data'!$E:$E,Summary!$D175,'BPC Data'!$B:$B,Summary!$C175)</f>
        <v>0</v>
      </c>
      <c r="H175" s="92">
        <f ca="1">SUMIFS(OFFSET('BPC Data'!$F:$F,0,Summary!H$2),'BPC Data'!$E:$E,Summary!$D175,'BPC Data'!$B:$B,Summary!$C175)</f>
        <v>0</v>
      </c>
      <c r="I175" s="18">
        <f ca="1">SUMIFS(OFFSET('BPC Data'!$F:$F,0,Summary!I$2),'BPC Data'!$E:$E,Summary!$D175,'BPC Data'!$B:$B,Summary!$C175)</f>
        <v>0</v>
      </c>
      <c r="J175" s="92">
        <f ca="1">SUMIFS(OFFSET('BPC Data'!$F:$F,0,Summary!J$2),'BPC Data'!$E:$E,Summary!$D175,'BPC Data'!$B:$B,Summary!$C175)</f>
        <v>0</v>
      </c>
      <c r="K175" s="18">
        <f ca="1">SUMIFS(OFFSET('BPC Data'!$F:$F,0,Summary!K$2),'BPC Data'!$E:$E,Summary!$D175,'BPC Data'!$B:$B,Summary!$C175)</f>
        <v>0</v>
      </c>
      <c r="L175" s="92">
        <f ca="1">SUMIFS(OFFSET('BPC Data'!$F:$F,0,Summary!L$2),'BPC Data'!$E:$E,Summary!$D175,'BPC Data'!$B:$B,Summary!$C175)</f>
        <v>0</v>
      </c>
      <c r="M175" s="32"/>
      <c r="N175" s="110"/>
      <c r="O175" s="106">
        <f t="shared" si="67"/>
        <v>0</v>
      </c>
    </row>
    <row r="176" spans="1:15" s="16" customFormat="1" hidden="1" outlineLevel="1" x14ac:dyDescent="0.25">
      <c r="A176" s="16">
        <f t="shared" ref="A176:A184" si="81">IF(AND(F176&lt;&gt;"",D176=""),A175+1,A175)</f>
        <v>16</v>
      </c>
      <c r="C176">
        <f>$F174</f>
        <v>0</v>
      </c>
      <c r="D176" s="3" t="str">
        <f t="shared" si="69"/>
        <v>A_BEDS_TOTAL - Total Available Beds</v>
      </c>
      <c r="F176" s="22" t="str">
        <f>_xll.EVDES(D176)</f>
        <v>Total Available Beds</v>
      </c>
      <c r="G176" s="18">
        <f ca="1">SUMIFS(OFFSET('BPC Data'!$F:$F,0,Summary!G$2),'BPC Data'!$E:$E,Summary!$D176,'BPC Data'!$B:$B,Summary!$C176)</f>
        <v>0</v>
      </c>
      <c r="H176" s="92">
        <f ca="1">SUMIFS(OFFSET('BPC Data'!$F:$F,0,Summary!H$2),'BPC Data'!$E:$E,Summary!$D176,'BPC Data'!$B:$B,Summary!$C176)</f>
        <v>0</v>
      </c>
      <c r="I176" s="18">
        <f ca="1">SUMIFS(OFFSET('BPC Data'!$F:$F,0,Summary!I$2),'BPC Data'!$E:$E,Summary!$D176,'BPC Data'!$B:$B,Summary!$C176)</f>
        <v>0</v>
      </c>
      <c r="J176" s="92">
        <f ca="1">SUMIFS(OFFSET('BPC Data'!$F:$F,0,Summary!J$2),'BPC Data'!$E:$E,Summary!$D176,'BPC Data'!$B:$B,Summary!$C176)</f>
        <v>0</v>
      </c>
      <c r="K176" s="18">
        <f ca="1">SUMIFS(OFFSET('BPC Data'!$F:$F,0,Summary!K$2),'BPC Data'!$E:$E,Summary!$D176,'BPC Data'!$B:$B,Summary!$C176)</f>
        <v>0</v>
      </c>
      <c r="L176" s="92">
        <f ca="1">SUMIFS(OFFSET('BPC Data'!$F:$F,0,Summary!L$2),'BPC Data'!$E:$E,Summary!$D176,'BPC Data'!$B:$B,Summary!$C176)</f>
        <v>0</v>
      </c>
      <c r="M176" s="32"/>
      <c r="N176" s="110"/>
      <c r="O176" s="106">
        <f t="shared" si="67"/>
        <v>0</v>
      </c>
    </row>
    <row r="177" spans="1:15" s="16" customFormat="1" hidden="1" outlineLevel="1" x14ac:dyDescent="0.25">
      <c r="A177" s="16">
        <f t="shared" si="81"/>
        <v>16</v>
      </c>
      <c r="B177"/>
      <c r="C177">
        <f>$F174</f>
        <v>0</v>
      </c>
      <c r="D177" s="3" t="str">
        <f t="shared" si="69"/>
        <v>T_REVENUES - Total Tenant Revenues</v>
      </c>
      <c r="E177"/>
      <c r="F177" s="22" t="str">
        <f>_xll.EVDES(D177)</f>
        <v>Total Tenant Revenues</v>
      </c>
      <c r="G177" s="18">
        <f ca="1">SUMIFS(OFFSET('BPC Data'!$F:$F,0,Summary!G$2),'BPC Data'!$E:$E,Summary!$D177,'BPC Data'!$B:$B,Summary!$C177)</f>
        <v>0</v>
      </c>
      <c r="H177" s="92">
        <f ca="1">SUMIFS(OFFSET('BPC Data'!$F:$F,0,Summary!H$2),'BPC Data'!$E:$E,Summary!$D177,'BPC Data'!$B:$B,Summary!$C177)</f>
        <v>0</v>
      </c>
      <c r="I177" s="18">
        <f ca="1">SUMIFS(OFFSET('BPC Data'!$F:$F,0,Summary!I$2),'BPC Data'!$E:$E,Summary!$D177,'BPC Data'!$B:$B,Summary!$C177)</f>
        <v>0</v>
      </c>
      <c r="J177" s="92">
        <f ca="1">SUMIFS(OFFSET('BPC Data'!$F:$F,0,Summary!J$2),'BPC Data'!$E:$E,Summary!$D177,'BPC Data'!$B:$B,Summary!$C177)</f>
        <v>0</v>
      </c>
      <c r="K177" s="18">
        <f ca="1">SUMIFS(OFFSET('BPC Data'!$F:$F,0,Summary!K$2),'BPC Data'!$E:$E,Summary!$D177,'BPC Data'!$B:$B,Summary!$C177)</f>
        <v>0</v>
      </c>
      <c r="L177" s="92">
        <f ca="1">SUMIFS(OFFSET('BPC Data'!$F:$F,0,Summary!L$2),'BPC Data'!$E:$E,Summary!$D177,'BPC Data'!$B:$B,Summary!$C177)</f>
        <v>0</v>
      </c>
      <c r="M177" s="32"/>
      <c r="N177" s="110"/>
      <c r="O177" s="106">
        <f t="shared" si="67"/>
        <v>0</v>
      </c>
    </row>
    <row r="178" spans="1:15" s="16" customFormat="1" hidden="1" outlineLevel="1" x14ac:dyDescent="0.25">
      <c r="A178" s="16">
        <f t="shared" si="81"/>
        <v>16</v>
      </c>
      <c r="B178"/>
      <c r="C178">
        <f>$F174</f>
        <v>0</v>
      </c>
      <c r="D178" s="3" t="str">
        <f t="shared" si="69"/>
        <v>T_OPEX - Tenant Operating Expenses</v>
      </c>
      <c r="E178"/>
      <c r="F178" s="22" t="str">
        <f>_xll.EVDES(D178)</f>
        <v>Tenant Operating Expenses</v>
      </c>
      <c r="G178" s="18">
        <f ca="1">SUMIFS(OFFSET('BPC Data'!$F:$F,0,Summary!G$2),'BPC Data'!$E:$E,Summary!$D178,'BPC Data'!$B:$B,Summary!$C178)</f>
        <v>0</v>
      </c>
      <c r="H178" s="92">
        <f ca="1">SUMIFS(OFFSET('BPC Data'!$F:$F,0,Summary!H$2),'BPC Data'!$E:$E,Summary!$D178,'BPC Data'!$B:$B,Summary!$C178)</f>
        <v>0</v>
      </c>
      <c r="I178" s="18">
        <f ca="1">SUMIFS(OFFSET('BPC Data'!$F:$F,0,Summary!I$2),'BPC Data'!$E:$E,Summary!$D178,'BPC Data'!$B:$B,Summary!$C178)</f>
        <v>0</v>
      </c>
      <c r="J178" s="92">
        <f ca="1">SUMIFS(OFFSET('BPC Data'!$F:$F,0,Summary!J$2),'BPC Data'!$E:$E,Summary!$D178,'BPC Data'!$B:$B,Summary!$C178)</f>
        <v>0</v>
      </c>
      <c r="K178" s="18">
        <f ca="1">SUMIFS(OFFSET('BPC Data'!$F:$F,0,Summary!K$2),'BPC Data'!$E:$E,Summary!$D178,'BPC Data'!$B:$B,Summary!$C178)</f>
        <v>0</v>
      </c>
      <c r="L178" s="92">
        <f ca="1">SUMIFS(OFFSET('BPC Data'!$F:$F,0,Summary!L$2),'BPC Data'!$E:$E,Summary!$D178,'BPC Data'!$B:$B,Summary!$C178)</f>
        <v>0</v>
      </c>
      <c r="M178" s="32"/>
      <c r="N178" s="110"/>
      <c r="O178" s="106">
        <f t="shared" si="67"/>
        <v>0</v>
      </c>
    </row>
    <row r="179" spans="1:15" s="16" customFormat="1" hidden="1" outlineLevel="1" x14ac:dyDescent="0.25">
      <c r="A179" s="16">
        <f t="shared" si="81"/>
        <v>16</v>
      </c>
      <c r="B179"/>
      <c r="C179">
        <f>$F174</f>
        <v>0</v>
      </c>
      <c r="D179" s="3" t="str">
        <f t="shared" si="69"/>
        <v>T_BAD_DEBT - Tenant Bad Debt Expense</v>
      </c>
      <c r="E179"/>
      <c r="F179" s="22" t="str">
        <f>_xll.EVDES(D179)</f>
        <v>Tenant Bad Debt Expense</v>
      </c>
      <c r="G179" s="18">
        <f ca="1">SUMIFS(OFFSET('BPC Data'!$F:$F,0,Summary!G$2),'BPC Data'!$E:$E,Summary!$D179,'BPC Data'!$B:$B,Summary!$C179)</f>
        <v>0</v>
      </c>
      <c r="H179" s="92">
        <f ca="1">SUMIFS(OFFSET('BPC Data'!$F:$F,0,Summary!H$2),'BPC Data'!$E:$E,Summary!$D179,'BPC Data'!$B:$B,Summary!$C179)</f>
        <v>0</v>
      </c>
      <c r="I179" s="18">
        <f ca="1">SUMIFS(OFFSET('BPC Data'!$F:$F,0,Summary!I$2),'BPC Data'!$E:$E,Summary!$D179,'BPC Data'!$B:$B,Summary!$C179)</f>
        <v>0</v>
      </c>
      <c r="J179" s="92">
        <f ca="1">SUMIFS(OFFSET('BPC Data'!$F:$F,0,Summary!J$2),'BPC Data'!$E:$E,Summary!$D179,'BPC Data'!$B:$B,Summary!$C179)</f>
        <v>0</v>
      </c>
      <c r="K179" s="18">
        <f ca="1">SUMIFS(OFFSET('BPC Data'!$F:$F,0,Summary!K$2),'BPC Data'!$E:$E,Summary!$D179,'BPC Data'!$B:$B,Summary!$C179)</f>
        <v>0</v>
      </c>
      <c r="L179" s="92">
        <f ca="1">SUMIFS(OFFSET('BPC Data'!$F:$F,0,Summary!L$2),'BPC Data'!$E:$E,Summary!$D179,'BPC Data'!$B:$B,Summary!$C179)</f>
        <v>0</v>
      </c>
      <c r="M179" s="32"/>
      <c r="N179" s="110"/>
      <c r="O179" s="106">
        <f t="shared" si="67"/>
        <v>0</v>
      </c>
    </row>
    <row r="180" spans="1:15" s="16" customFormat="1" hidden="1" outlineLevel="1" x14ac:dyDescent="0.25">
      <c r="A180" s="16">
        <f t="shared" si="81"/>
        <v>16</v>
      </c>
      <c r="B180"/>
      <c r="C180">
        <f>$F174</f>
        <v>0</v>
      </c>
      <c r="D180" s="2" t="str">
        <f t="shared" si="69"/>
        <v>T_EBITDARM - EBITDARM</v>
      </c>
      <c r="E180"/>
      <c r="F180" s="22" t="str">
        <f>_xll.EVDES(D180)</f>
        <v>EBITDARM</v>
      </c>
      <c r="G180" s="18">
        <f ca="1">SUMIFS(OFFSET('BPC Data'!$F:$F,0,Summary!G$2),'BPC Data'!$E:$E,Summary!$D180,'BPC Data'!$B:$B,Summary!$C180)</f>
        <v>0</v>
      </c>
      <c r="H180" s="92">
        <f ca="1">SUMIFS(OFFSET('BPC Data'!$F:$F,0,Summary!H$2),'BPC Data'!$E:$E,Summary!$D180,'BPC Data'!$B:$B,Summary!$C180)</f>
        <v>0</v>
      </c>
      <c r="I180" s="18">
        <f ca="1">SUMIFS(OFFSET('BPC Data'!$F:$F,0,Summary!I$2),'BPC Data'!$E:$E,Summary!$D180,'BPC Data'!$B:$B,Summary!$C180)</f>
        <v>0</v>
      </c>
      <c r="J180" s="92">
        <f ca="1">SUMIFS(OFFSET('BPC Data'!$F:$F,0,Summary!J$2),'BPC Data'!$E:$E,Summary!$D180,'BPC Data'!$B:$B,Summary!$C180)</f>
        <v>0</v>
      </c>
      <c r="K180" s="18">
        <f ca="1">SUMIFS(OFFSET('BPC Data'!$F:$F,0,Summary!K$2),'BPC Data'!$E:$E,Summary!$D180,'BPC Data'!$B:$B,Summary!$C180)</f>
        <v>0</v>
      </c>
      <c r="L180" s="92">
        <f ca="1">SUMIFS(OFFSET('BPC Data'!$F:$F,0,Summary!L$2),'BPC Data'!$E:$E,Summary!$D180,'BPC Data'!$B:$B,Summary!$C180)</f>
        <v>0</v>
      </c>
      <c r="M180" s="32"/>
      <c r="N180" s="110"/>
      <c r="O180" s="106">
        <f t="shared" si="67"/>
        <v>0</v>
      </c>
    </row>
    <row r="181" spans="1:15" s="16" customFormat="1" hidden="1" outlineLevel="1" x14ac:dyDescent="0.25">
      <c r="A181" s="16">
        <f t="shared" si="81"/>
        <v>16</v>
      </c>
      <c r="B181"/>
      <c r="C181">
        <f>$F174</f>
        <v>0</v>
      </c>
      <c r="D181" s="2" t="str">
        <f t="shared" si="69"/>
        <v>T_MGMT_FEE - Tenant Management Fee - Actual</v>
      </c>
      <c r="E181"/>
      <c r="F181" s="22" t="str">
        <f>_xll.EVDES(D181)</f>
        <v>Tenant Management Fee - Actual</v>
      </c>
      <c r="G181" s="18">
        <f ca="1">SUMIFS(OFFSET('BPC Data'!$F:$F,0,Summary!G$2),'BPC Data'!$E:$E,Summary!$D181,'BPC Data'!$B:$B,Summary!$C181)</f>
        <v>0</v>
      </c>
      <c r="H181" s="92">
        <f ca="1">SUMIFS(OFFSET('BPC Data'!$F:$F,0,Summary!H$2),'BPC Data'!$E:$E,Summary!$D181,'BPC Data'!$B:$B,Summary!$C181)</f>
        <v>0</v>
      </c>
      <c r="I181" s="18">
        <f ca="1">SUMIFS(OFFSET('BPC Data'!$F:$F,0,Summary!I$2),'BPC Data'!$E:$E,Summary!$D181,'BPC Data'!$B:$B,Summary!$C181)</f>
        <v>0</v>
      </c>
      <c r="J181" s="92">
        <f ca="1">SUMIFS(OFFSET('BPC Data'!$F:$F,0,Summary!J$2),'BPC Data'!$E:$E,Summary!$D181,'BPC Data'!$B:$B,Summary!$C181)</f>
        <v>0</v>
      </c>
      <c r="K181" s="18">
        <f ca="1">SUMIFS(OFFSET('BPC Data'!$F:$F,0,Summary!K$2),'BPC Data'!$E:$E,Summary!$D181,'BPC Data'!$B:$B,Summary!$C181)</f>
        <v>0</v>
      </c>
      <c r="L181" s="92">
        <f ca="1">SUMIFS(OFFSET('BPC Data'!$F:$F,0,Summary!L$2),'BPC Data'!$E:$E,Summary!$D181,'BPC Data'!$B:$B,Summary!$C181)</f>
        <v>0</v>
      </c>
      <c r="M181" s="32"/>
      <c r="N181" s="110"/>
      <c r="O181" s="106">
        <f t="shared" si="67"/>
        <v>0</v>
      </c>
    </row>
    <row r="182" spans="1:15" s="16" customFormat="1" hidden="1" outlineLevel="1" x14ac:dyDescent="0.25">
      <c r="A182" s="16">
        <f t="shared" si="81"/>
        <v>16</v>
      </c>
      <c r="B182"/>
      <c r="C182">
        <f>$F174</f>
        <v>0</v>
      </c>
      <c r="D182" s="1" t="str">
        <f t="shared" si="69"/>
        <v>T_EBITDAR - EBITDAR</v>
      </c>
      <c r="E182"/>
      <c r="F182" s="22" t="str">
        <f>_xll.EVDES(D182)</f>
        <v>EBITDAR</v>
      </c>
      <c r="G182" s="18">
        <f ca="1">SUMIFS(OFFSET('BPC Data'!$F:$F,0,Summary!G$2),'BPC Data'!$E:$E,Summary!$D182,'BPC Data'!$B:$B,Summary!$C182)</f>
        <v>0</v>
      </c>
      <c r="H182" s="92">
        <f ca="1">SUMIFS(OFFSET('BPC Data'!$F:$F,0,Summary!H$2),'BPC Data'!$E:$E,Summary!$D182,'BPC Data'!$B:$B,Summary!$C182)</f>
        <v>0</v>
      </c>
      <c r="I182" s="18">
        <f ca="1">SUMIFS(OFFSET('BPC Data'!$F:$F,0,Summary!I$2),'BPC Data'!$E:$E,Summary!$D182,'BPC Data'!$B:$B,Summary!$C182)</f>
        <v>0</v>
      </c>
      <c r="J182" s="92">
        <f ca="1">SUMIFS(OFFSET('BPC Data'!$F:$F,0,Summary!J$2),'BPC Data'!$E:$E,Summary!$D182,'BPC Data'!$B:$B,Summary!$C182)</f>
        <v>0</v>
      </c>
      <c r="K182" s="18">
        <f ca="1">SUMIFS(OFFSET('BPC Data'!$F:$F,0,Summary!K$2),'BPC Data'!$E:$E,Summary!$D182,'BPC Data'!$B:$B,Summary!$C182)</f>
        <v>0</v>
      </c>
      <c r="L182" s="92">
        <f ca="1">SUMIFS(OFFSET('BPC Data'!$F:$F,0,Summary!L$2),'BPC Data'!$E:$E,Summary!$D182,'BPC Data'!$B:$B,Summary!$C182)</f>
        <v>0</v>
      </c>
      <c r="M182" s="32"/>
      <c r="N182" s="110"/>
      <c r="O182" s="106">
        <f t="shared" si="67"/>
        <v>0</v>
      </c>
    </row>
    <row r="183" spans="1:15" s="16" customFormat="1" hidden="1" outlineLevel="1" x14ac:dyDescent="0.25">
      <c r="A183" s="16">
        <f t="shared" si="81"/>
        <v>16</v>
      </c>
      <c r="B183"/>
      <c r="C183">
        <f>$F174</f>
        <v>0</v>
      </c>
      <c r="D183" s="1" t="str">
        <f t="shared" si="69"/>
        <v>T_RENT_EXP - Tenant Rent Expense</v>
      </c>
      <c r="E183"/>
      <c r="F183" s="22" t="str">
        <f>_xll.EVDES(D183)</f>
        <v>Tenant Rent Expense</v>
      </c>
      <c r="G183" s="18">
        <f ca="1">SUMIFS(OFFSET('BPC Data'!$F:$F,0,Summary!G$2),'BPC Data'!$E:$E,Summary!$D183,'BPC Data'!$B:$B,Summary!$C183)</f>
        <v>0</v>
      </c>
      <c r="H183" s="92">
        <f ca="1">SUMIFS(OFFSET('BPC Data'!$F:$F,0,Summary!H$2),'BPC Data'!$E:$E,Summary!$D183,'BPC Data'!$B:$B,Summary!$C183)</f>
        <v>0</v>
      </c>
      <c r="I183" s="18">
        <f ca="1">SUMIFS(OFFSET('BPC Data'!$F:$F,0,Summary!I$2),'BPC Data'!$E:$E,Summary!$D183,'BPC Data'!$B:$B,Summary!$C183)</f>
        <v>0</v>
      </c>
      <c r="J183" s="92">
        <f ca="1">SUMIFS(OFFSET('BPC Data'!$F:$F,0,Summary!J$2),'BPC Data'!$E:$E,Summary!$D183,'BPC Data'!$B:$B,Summary!$C183)</f>
        <v>0</v>
      </c>
      <c r="K183" s="18">
        <f ca="1">SUMIFS(OFFSET('BPC Data'!$F:$F,0,Summary!K$2),'BPC Data'!$E:$E,Summary!$D183,'BPC Data'!$B:$B,Summary!$C183)</f>
        <v>0</v>
      </c>
      <c r="L183" s="92">
        <f ca="1">SUMIFS(OFFSET('BPC Data'!$F:$F,0,Summary!L$2),'BPC Data'!$E:$E,Summary!$D183,'BPC Data'!$B:$B,Summary!$C183)</f>
        <v>0</v>
      </c>
      <c r="M183" s="32"/>
      <c r="N183" s="110"/>
      <c r="O183" s="106">
        <f t="shared" si="67"/>
        <v>0</v>
      </c>
    </row>
    <row r="184" spans="1:15" s="16" customFormat="1" hidden="1" outlineLevel="1" x14ac:dyDescent="0.25">
      <c r="A184" s="16">
        <f t="shared" si="81"/>
        <v>16</v>
      </c>
      <c r="B184"/>
      <c r="C184"/>
      <c r="D184" s="1" t="str">
        <f t="shared" si="69"/>
        <v>x</v>
      </c>
      <c r="E184"/>
      <c r="F184" s="22" t="s">
        <v>0</v>
      </c>
      <c r="G184" s="11" t="e">
        <f t="shared" ref="G184:H184" ca="1" si="82">G182/G183</f>
        <v>#DIV/0!</v>
      </c>
      <c r="H184" s="93" t="e">
        <f t="shared" ca="1" si="82"/>
        <v>#DIV/0!</v>
      </c>
      <c r="I184" s="11" t="e">
        <f t="shared" ref="I184:J184" ca="1" si="83">I182/I183</f>
        <v>#DIV/0!</v>
      </c>
      <c r="J184" s="93" t="e">
        <f t="shared" ca="1" si="83"/>
        <v>#DIV/0!</v>
      </c>
      <c r="K184" s="11" t="e">
        <f t="shared" ref="K184:L184" ca="1" si="84">K182/K183</f>
        <v>#DIV/0!</v>
      </c>
      <c r="L184" s="93" t="e">
        <f t="shared" ca="1" si="84"/>
        <v>#DIV/0!</v>
      </c>
      <c r="M184" s="32"/>
      <c r="N184" s="110"/>
      <c r="O184" s="106">
        <f t="shared" si="67"/>
        <v>0</v>
      </c>
    </row>
    <row r="185" spans="1:15" s="16" customFormat="1" hidden="1" outlineLevel="1" x14ac:dyDescent="0.25">
      <c r="A185" s="16">
        <f>IF(AND(D185&lt;&gt;"",C185=""),A184+1,A184)</f>
        <v>17</v>
      </c>
      <c r="B185" s="4"/>
      <c r="C185" s="4"/>
      <c r="D185" s="4" t="str">
        <f t="shared" si="69"/>
        <v>x</v>
      </c>
      <c r="E185" s="4"/>
      <c r="F185" s="21">
        <f>INDEX(PropertyList!$D:$D,MATCH(Summary!$A185,PropertyList!$C:$C,0))</f>
        <v>0</v>
      </c>
      <c r="G185" s="10"/>
      <c r="H185" s="91"/>
      <c r="I185" s="10"/>
      <c r="J185" s="91"/>
      <c r="K185" s="10"/>
      <c r="L185" s="91"/>
      <c r="M185" s="32"/>
      <c r="N185" s="110"/>
      <c r="O185" s="106">
        <f t="shared" si="67"/>
        <v>0</v>
      </c>
    </row>
    <row r="186" spans="1:15" s="16" customFormat="1" hidden="1" outlineLevel="1" x14ac:dyDescent="0.25">
      <c r="A186" s="16">
        <f>IF(AND(F186&lt;&gt;"",D186=""),A185+1,A185)</f>
        <v>17</v>
      </c>
      <c r="C186">
        <f>$F185</f>
        <v>0</v>
      </c>
      <c r="D186" s="3" t="str">
        <f t="shared" si="69"/>
        <v>PAY_PAT_DAYS - Total Payor Patient Days</v>
      </c>
      <c r="F186" s="22" t="str">
        <f>_xll.EVDES(D186)</f>
        <v>Total Payor Patient Days</v>
      </c>
      <c r="G186" s="18">
        <f ca="1">SUMIFS(OFFSET('BPC Data'!$F:$F,0,Summary!G$2),'BPC Data'!$E:$E,Summary!$D186,'BPC Data'!$B:$B,Summary!$C186)</f>
        <v>0</v>
      </c>
      <c r="H186" s="92">
        <f ca="1">SUMIFS(OFFSET('BPC Data'!$F:$F,0,Summary!H$2),'BPC Data'!$E:$E,Summary!$D186,'BPC Data'!$B:$B,Summary!$C186)</f>
        <v>0</v>
      </c>
      <c r="I186" s="18">
        <f ca="1">SUMIFS(OFFSET('BPC Data'!$F:$F,0,Summary!I$2),'BPC Data'!$E:$E,Summary!$D186,'BPC Data'!$B:$B,Summary!$C186)</f>
        <v>0</v>
      </c>
      <c r="J186" s="92">
        <f ca="1">SUMIFS(OFFSET('BPC Data'!$F:$F,0,Summary!J$2),'BPC Data'!$E:$E,Summary!$D186,'BPC Data'!$B:$B,Summary!$C186)</f>
        <v>0</v>
      </c>
      <c r="K186" s="18">
        <f ca="1">SUMIFS(OFFSET('BPC Data'!$F:$F,0,Summary!K$2),'BPC Data'!$E:$E,Summary!$D186,'BPC Data'!$B:$B,Summary!$C186)</f>
        <v>0</v>
      </c>
      <c r="L186" s="92">
        <f ca="1">SUMIFS(OFFSET('BPC Data'!$F:$F,0,Summary!L$2),'BPC Data'!$E:$E,Summary!$D186,'BPC Data'!$B:$B,Summary!$C186)</f>
        <v>0</v>
      </c>
      <c r="M186" s="32"/>
      <c r="N186" s="110"/>
      <c r="O186" s="106">
        <f t="shared" si="67"/>
        <v>0</v>
      </c>
    </row>
    <row r="187" spans="1:15" s="16" customFormat="1" hidden="1" outlineLevel="1" x14ac:dyDescent="0.25">
      <c r="A187" s="16">
        <f t="shared" ref="A187:A195" si="85">IF(AND(F187&lt;&gt;"",D187=""),A186+1,A186)</f>
        <v>17</v>
      </c>
      <c r="C187">
        <f>$F185</f>
        <v>0</v>
      </c>
      <c r="D187" s="3" t="str">
        <f t="shared" si="69"/>
        <v>A_BEDS_TOTAL - Total Available Beds</v>
      </c>
      <c r="F187" s="22" t="str">
        <f>_xll.EVDES(D187)</f>
        <v>Total Available Beds</v>
      </c>
      <c r="G187" s="18">
        <f ca="1">SUMIFS(OFFSET('BPC Data'!$F:$F,0,Summary!G$2),'BPC Data'!$E:$E,Summary!$D187,'BPC Data'!$B:$B,Summary!$C187)</f>
        <v>0</v>
      </c>
      <c r="H187" s="92">
        <f ca="1">SUMIFS(OFFSET('BPC Data'!$F:$F,0,Summary!H$2),'BPC Data'!$E:$E,Summary!$D187,'BPC Data'!$B:$B,Summary!$C187)</f>
        <v>0</v>
      </c>
      <c r="I187" s="18">
        <f ca="1">SUMIFS(OFFSET('BPC Data'!$F:$F,0,Summary!I$2),'BPC Data'!$E:$E,Summary!$D187,'BPC Data'!$B:$B,Summary!$C187)</f>
        <v>0</v>
      </c>
      <c r="J187" s="92">
        <f ca="1">SUMIFS(OFFSET('BPC Data'!$F:$F,0,Summary!J$2),'BPC Data'!$E:$E,Summary!$D187,'BPC Data'!$B:$B,Summary!$C187)</f>
        <v>0</v>
      </c>
      <c r="K187" s="18">
        <f ca="1">SUMIFS(OFFSET('BPC Data'!$F:$F,0,Summary!K$2),'BPC Data'!$E:$E,Summary!$D187,'BPC Data'!$B:$B,Summary!$C187)</f>
        <v>0</v>
      </c>
      <c r="L187" s="92">
        <f ca="1">SUMIFS(OFFSET('BPC Data'!$F:$F,0,Summary!L$2),'BPC Data'!$E:$E,Summary!$D187,'BPC Data'!$B:$B,Summary!$C187)</f>
        <v>0</v>
      </c>
      <c r="M187" s="32"/>
      <c r="N187" s="110"/>
      <c r="O187" s="106">
        <f t="shared" si="67"/>
        <v>0</v>
      </c>
    </row>
    <row r="188" spans="1:15" s="16" customFormat="1" hidden="1" outlineLevel="1" x14ac:dyDescent="0.25">
      <c r="A188" s="16">
        <f t="shared" si="85"/>
        <v>17</v>
      </c>
      <c r="B188"/>
      <c r="C188">
        <f>$F185</f>
        <v>0</v>
      </c>
      <c r="D188" s="3" t="str">
        <f t="shared" si="69"/>
        <v>T_REVENUES - Total Tenant Revenues</v>
      </c>
      <c r="E188"/>
      <c r="F188" s="22" t="str">
        <f>_xll.EVDES(D188)</f>
        <v>Total Tenant Revenues</v>
      </c>
      <c r="G188" s="18">
        <f ca="1">SUMIFS(OFFSET('BPC Data'!$F:$F,0,Summary!G$2),'BPC Data'!$E:$E,Summary!$D188,'BPC Data'!$B:$B,Summary!$C188)</f>
        <v>0</v>
      </c>
      <c r="H188" s="92">
        <f ca="1">SUMIFS(OFFSET('BPC Data'!$F:$F,0,Summary!H$2),'BPC Data'!$E:$E,Summary!$D188,'BPC Data'!$B:$B,Summary!$C188)</f>
        <v>0</v>
      </c>
      <c r="I188" s="18">
        <f ca="1">SUMIFS(OFFSET('BPC Data'!$F:$F,0,Summary!I$2),'BPC Data'!$E:$E,Summary!$D188,'BPC Data'!$B:$B,Summary!$C188)</f>
        <v>0</v>
      </c>
      <c r="J188" s="92">
        <f ca="1">SUMIFS(OFFSET('BPC Data'!$F:$F,0,Summary!J$2),'BPC Data'!$E:$E,Summary!$D188,'BPC Data'!$B:$B,Summary!$C188)</f>
        <v>0</v>
      </c>
      <c r="K188" s="18">
        <f ca="1">SUMIFS(OFFSET('BPC Data'!$F:$F,0,Summary!K$2),'BPC Data'!$E:$E,Summary!$D188,'BPC Data'!$B:$B,Summary!$C188)</f>
        <v>0</v>
      </c>
      <c r="L188" s="92">
        <f ca="1">SUMIFS(OFFSET('BPC Data'!$F:$F,0,Summary!L$2),'BPC Data'!$E:$E,Summary!$D188,'BPC Data'!$B:$B,Summary!$C188)</f>
        <v>0</v>
      </c>
      <c r="M188" s="32"/>
      <c r="N188" s="110"/>
      <c r="O188" s="106">
        <f t="shared" si="67"/>
        <v>0</v>
      </c>
    </row>
    <row r="189" spans="1:15" s="16" customFormat="1" hidden="1" outlineLevel="1" x14ac:dyDescent="0.25">
      <c r="A189" s="16">
        <f t="shared" si="85"/>
        <v>17</v>
      </c>
      <c r="B189"/>
      <c r="C189">
        <f>$F185</f>
        <v>0</v>
      </c>
      <c r="D189" s="3" t="str">
        <f t="shared" si="69"/>
        <v>T_OPEX - Tenant Operating Expenses</v>
      </c>
      <c r="E189"/>
      <c r="F189" s="22" t="str">
        <f>_xll.EVDES(D189)</f>
        <v>Tenant Operating Expenses</v>
      </c>
      <c r="G189" s="18">
        <f ca="1">SUMIFS(OFFSET('BPC Data'!$F:$F,0,Summary!G$2),'BPC Data'!$E:$E,Summary!$D189,'BPC Data'!$B:$B,Summary!$C189)</f>
        <v>0</v>
      </c>
      <c r="H189" s="92">
        <f ca="1">SUMIFS(OFFSET('BPC Data'!$F:$F,0,Summary!H$2),'BPC Data'!$E:$E,Summary!$D189,'BPC Data'!$B:$B,Summary!$C189)</f>
        <v>0</v>
      </c>
      <c r="I189" s="18">
        <f ca="1">SUMIFS(OFFSET('BPC Data'!$F:$F,0,Summary!I$2),'BPC Data'!$E:$E,Summary!$D189,'BPC Data'!$B:$B,Summary!$C189)</f>
        <v>0</v>
      </c>
      <c r="J189" s="92">
        <f ca="1">SUMIFS(OFFSET('BPC Data'!$F:$F,0,Summary!J$2),'BPC Data'!$E:$E,Summary!$D189,'BPC Data'!$B:$B,Summary!$C189)</f>
        <v>0</v>
      </c>
      <c r="K189" s="18">
        <f ca="1">SUMIFS(OFFSET('BPC Data'!$F:$F,0,Summary!K$2),'BPC Data'!$E:$E,Summary!$D189,'BPC Data'!$B:$B,Summary!$C189)</f>
        <v>0</v>
      </c>
      <c r="L189" s="92">
        <f ca="1">SUMIFS(OFFSET('BPC Data'!$F:$F,0,Summary!L$2),'BPC Data'!$E:$E,Summary!$D189,'BPC Data'!$B:$B,Summary!$C189)</f>
        <v>0</v>
      </c>
      <c r="M189" s="32"/>
      <c r="N189" s="110"/>
      <c r="O189" s="106">
        <f t="shared" si="67"/>
        <v>0</v>
      </c>
    </row>
    <row r="190" spans="1:15" s="16" customFormat="1" hidden="1" outlineLevel="1" x14ac:dyDescent="0.25">
      <c r="A190" s="16">
        <f t="shared" si="85"/>
        <v>17</v>
      </c>
      <c r="B190"/>
      <c r="C190">
        <f>$F185</f>
        <v>0</v>
      </c>
      <c r="D190" s="3" t="str">
        <f t="shared" si="69"/>
        <v>T_BAD_DEBT - Tenant Bad Debt Expense</v>
      </c>
      <c r="E190"/>
      <c r="F190" s="22" t="str">
        <f>_xll.EVDES(D190)</f>
        <v>Tenant Bad Debt Expense</v>
      </c>
      <c r="G190" s="18">
        <f ca="1">SUMIFS(OFFSET('BPC Data'!$F:$F,0,Summary!G$2),'BPC Data'!$E:$E,Summary!$D190,'BPC Data'!$B:$B,Summary!$C190)</f>
        <v>0</v>
      </c>
      <c r="H190" s="92">
        <f ca="1">SUMIFS(OFFSET('BPC Data'!$F:$F,0,Summary!H$2),'BPC Data'!$E:$E,Summary!$D190,'BPC Data'!$B:$B,Summary!$C190)</f>
        <v>0</v>
      </c>
      <c r="I190" s="18">
        <f ca="1">SUMIFS(OFFSET('BPC Data'!$F:$F,0,Summary!I$2),'BPC Data'!$E:$E,Summary!$D190,'BPC Data'!$B:$B,Summary!$C190)</f>
        <v>0</v>
      </c>
      <c r="J190" s="92">
        <f ca="1">SUMIFS(OFFSET('BPC Data'!$F:$F,0,Summary!J$2),'BPC Data'!$E:$E,Summary!$D190,'BPC Data'!$B:$B,Summary!$C190)</f>
        <v>0</v>
      </c>
      <c r="K190" s="18">
        <f ca="1">SUMIFS(OFFSET('BPC Data'!$F:$F,0,Summary!K$2),'BPC Data'!$E:$E,Summary!$D190,'BPC Data'!$B:$B,Summary!$C190)</f>
        <v>0</v>
      </c>
      <c r="L190" s="92">
        <f ca="1">SUMIFS(OFFSET('BPC Data'!$F:$F,0,Summary!L$2),'BPC Data'!$E:$E,Summary!$D190,'BPC Data'!$B:$B,Summary!$C190)</f>
        <v>0</v>
      </c>
      <c r="M190" s="32"/>
      <c r="N190" s="110"/>
      <c r="O190" s="106">
        <f t="shared" si="67"/>
        <v>0</v>
      </c>
    </row>
    <row r="191" spans="1:15" s="16" customFormat="1" hidden="1" outlineLevel="1" x14ac:dyDescent="0.25">
      <c r="A191" s="16">
        <f t="shared" si="85"/>
        <v>17</v>
      </c>
      <c r="B191"/>
      <c r="C191">
        <f>$F185</f>
        <v>0</v>
      </c>
      <c r="D191" s="2" t="str">
        <f t="shared" si="69"/>
        <v>T_EBITDARM - EBITDARM</v>
      </c>
      <c r="E191"/>
      <c r="F191" s="22" t="str">
        <f>_xll.EVDES(D191)</f>
        <v>EBITDARM</v>
      </c>
      <c r="G191" s="18">
        <f ca="1">SUMIFS(OFFSET('BPC Data'!$F:$F,0,Summary!G$2),'BPC Data'!$E:$E,Summary!$D191,'BPC Data'!$B:$B,Summary!$C191)</f>
        <v>0</v>
      </c>
      <c r="H191" s="92">
        <f ca="1">SUMIFS(OFFSET('BPC Data'!$F:$F,0,Summary!H$2),'BPC Data'!$E:$E,Summary!$D191,'BPC Data'!$B:$B,Summary!$C191)</f>
        <v>0</v>
      </c>
      <c r="I191" s="18">
        <f ca="1">SUMIFS(OFFSET('BPC Data'!$F:$F,0,Summary!I$2),'BPC Data'!$E:$E,Summary!$D191,'BPC Data'!$B:$B,Summary!$C191)</f>
        <v>0</v>
      </c>
      <c r="J191" s="92">
        <f ca="1">SUMIFS(OFFSET('BPC Data'!$F:$F,0,Summary!J$2),'BPC Data'!$E:$E,Summary!$D191,'BPC Data'!$B:$B,Summary!$C191)</f>
        <v>0</v>
      </c>
      <c r="K191" s="18">
        <f ca="1">SUMIFS(OFFSET('BPC Data'!$F:$F,0,Summary!K$2),'BPC Data'!$E:$E,Summary!$D191,'BPC Data'!$B:$B,Summary!$C191)</f>
        <v>0</v>
      </c>
      <c r="L191" s="92">
        <f ca="1">SUMIFS(OFFSET('BPC Data'!$F:$F,0,Summary!L$2),'BPC Data'!$E:$E,Summary!$D191,'BPC Data'!$B:$B,Summary!$C191)</f>
        <v>0</v>
      </c>
      <c r="M191" s="32"/>
      <c r="N191" s="110"/>
      <c r="O191" s="106">
        <f t="shared" si="67"/>
        <v>0</v>
      </c>
    </row>
    <row r="192" spans="1:15" s="16" customFormat="1" hidden="1" outlineLevel="1" x14ac:dyDescent="0.25">
      <c r="A192" s="16">
        <f t="shared" si="85"/>
        <v>17</v>
      </c>
      <c r="B192"/>
      <c r="C192">
        <f>$F185</f>
        <v>0</v>
      </c>
      <c r="D192" s="2" t="str">
        <f t="shared" si="69"/>
        <v>T_MGMT_FEE - Tenant Management Fee - Actual</v>
      </c>
      <c r="E192"/>
      <c r="F192" s="22" t="str">
        <f>_xll.EVDES(D192)</f>
        <v>Tenant Management Fee - Actual</v>
      </c>
      <c r="G192" s="18">
        <f ca="1">SUMIFS(OFFSET('BPC Data'!$F:$F,0,Summary!G$2),'BPC Data'!$E:$E,Summary!$D192,'BPC Data'!$B:$B,Summary!$C192)</f>
        <v>0</v>
      </c>
      <c r="H192" s="92">
        <f ca="1">SUMIFS(OFFSET('BPC Data'!$F:$F,0,Summary!H$2),'BPC Data'!$E:$E,Summary!$D192,'BPC Data'!$B:$B,Summary!$C192)</f>
        <v>0</v>
      </c>
      <c r="I192" s="18">
        <f ca="1">SUMIFS(OFFSET('BPC Data'!$F:$F,0,Summary!I$2),'BPC Data'!$E:$E,Summary!$D192,'BPC Data'!$B:$B,Summary!$C192)</f>
        <v>0</v>
      </c>
      <c r="J192" s="92">
        <f ca="1">SUMIFS(OFFSET('BPC Data'!$F:$F,0,Summary!J$2),'BPC Data'!$E:$E,Summary!$D192,'BPC Data'!$B:$B,Summary!$C192)</f>
        <v>0</v>
      </c>
      <c r="K192" s="18">
        <f ca="1">SUMIFS(OFFSET('BPC Data'!$F:$F,0,Summary!K$2),'BPC Data'!$E:$E,Summary!$D192,'BPC Data'!$B:$B,Summary!$C192)</f>
        <v>0</v>
      </c>
      <c r="L192" s="92">
        <f ca="1">SUMIFS(OFFSET('BPC Data'!$F:$F,0,Summary!L$2),'BPC Data'!$E:$E,Summary!$D192,'BPC Data'!$B:$B,Summary!$C192)</f>
        <v>0</v>
      </c>
      <c r="M192" s="32"/>
      <c r="N192" s="110"/>
      <c r="O192" s="106">
        <f t="shared" si="67"/>
        <v>0</v>
      </c>
    </row>
    <row r="193" spans="1:15" s="16" customFormat="1" hidden="1" outlineLevel="1" x14ac:dyDescent="0.25">
      <c r="A193" s="16">
        <f t="shared" si="85"/>
        <v>17</v>
      </c>
      <c r="B193"/>
      <c r="C193">
        <f>$F185</f>
        <v>0</v>
      </c>
      <c r="D193" s="1" t="str">
        <f t="shared" si="69"/>
        <v>T_EBITDAR - EBITDAR</v>
      </c>
      <c r="E193"/>
      <c r="F193" s="22" t="str">
        <f>_xll.EVDES(D193)</f>
        <v>EBITDAR</v>
      </c>
      <c r="G193" s="18">
        <f ca="1">SUMIFS(OFFSET('BPC Data'!$F:$F,0,Summary!G$2),'BPC Data'!$E:$E,Summary!$D193,'BPC Data'!$B:$B,Summary!$C193)</f>
        <v>0</v>
      </c>
      <c r="H193" s="92">
        <f ca="1">SUMIFS(OFFSET('BPC Data'!$F:$F,0,Summary!H$2),'BPC Data'!$E:$E,Summary!$D193,'BPC Data'!$B:$B,Summary!$C193)</f>
        <v>0</v>
      </c>
      <c r="I193" s="18">
        <f ca="1">SUMIFS(OFFSET('BPC Data'!$F:$F,0,Summary!I$2),'BPC Data'!$E:$E,Summary!$D193,'BPC Data'!$B:$B,Summary!$C193)</f>
        <v>0</v>
      </c>
      <c r="J193" s="92">
        <f ca="1">SUMIFS(OFFSET('BPC Data'!$F:$F,0,Summary!J$2),'BPC Data'!$E:$E,Summary!$D193,'BPC Data'!$B:$B,Summary!$C193)</f>
        <v>0</v>
      </c>
      <c r="K193" s="18">
        <f ca="1">SUMIFS(OFFSET('BPC Data'!$F:$F,0,Summary!K$2),'BPC Data'!$E:$E,Summary!$D193,'BPC Data'!$B:$B,Summary!$C193)</f>
        <v>0</v>
      </c>
      <c r="L193" s="92">
        <f ca="1">SUMIFS(OFFSET('BPC Data'!$F:$F,0,Summary!L$2),'BPC Data'!$E:$E,Summary!$D193,'BPC Data'!$B:$B,Summary!$C193)</f>
        <v>0</v>
      </c>
      <c r="M193" s="32"/>
      <c r="N193" s="110"/>
      <c r="O193" s="106">
        <f t="shared" si="67"/>
        <v>0</v>
      </c>
    </row>
    <row r="194" spans="1:15" s="16" customFormat="1" hidden="1" outlineLevel="1" x14ac:dyDescent="0.25">
      <c r="A194" s="16">
        <f t="shared" si="85"/>
        <v>17</v>
      </c>
      <c r="B194"/>
      <c r="C194">
        <f>$F185</f>
        <v>0</v>
      </c>
      <c r="D194" s="1" t="str">
        <f t="shared" si="69"/>
        <v>T_RENT_EXP - Tenant Rent Expense</v>
      </c>
      <c r="E194"/>
      <c r="F194" s="22" t="str">
        <f>_xll.EVDES(D194)</f>
        <v>Tenant Rent Expense</v>
      </c>
      <c r="G194" s="18">
        <f ca="1">SUMIFS(OFFSET('BPC Data'!$F:$F,0,Summary!G$2),'BPC Data'!$E:$E,Summary!$D194,'BPC Data'!$B:$B,Summary!$C194)</f>
        <v>0</v>
      </c>
      <c r="H194" s="92">
        <f ca="1">SUMIFS(OFFSET('BPC Data'!$F:$F,0,Summary!H$2),'BPC Data'!$E:$E,Summary!$D194,'BPC Data'!$B:$B,Summary!$C194)</f>
        <v>0</v>
      </c>
      <c r="I194" s="18">
        <f ca="1">SUMIFS(OFFSET('BPC Data'!$F:$F,0,Summary!I$2),'BPC Data'!$E:$E,Summary!$D194,'BPC Data'!$B:$B,Summary!$C194)</f>
        <v>0</v>
      </c>
      <c r="J194" s="92">
        <f ca="1">SUMIFS(OFFSET('BPC Data'!$F:$F,0,Summary!J$2),'BPC Data'!$E:$E,Summary!$D194,'BPC Data'!$B:$B,Summary!$C194)</f>
        <v>0</v>
      </c>
      <c r="K194" s="18">
        <f ca="1">SUMIFS(OFFSET('BPC Data'!$F:$F,0,Summary!K$2),'BPC Data'!$E:$E,Summary!$D194,'BPC Data'!$B:$B,Summary!$C194)</f>
        <v>0</v>
      </c>
      <c r="L194" s="92">
        <f ca="1">SUMIFS(OFFSET('BPC Data'!$F:$F,0,Summary!L$2),'BPC Data'!$E:$E,Summary!$D194,'BPC Data'!$B:$B,Summary!$C194)</f>
        <v>0</v>
      </c>
      <c r="M194" s="32"/>
      <c r="N194" s="110"/>
      <c r="O194" s="106">
        <f t="shared" si="67"/>
        <v>0</v>
      </c>
    </row>
    <row r="195" spans="1:15" s="16" customFormat="1" hidden="1" outlineLevel="1" x14ac:dyDescent="0.25">
      <c r="A195" s="16">
        <f t="shared" si="85"/>
        <v>17</v>
      </c>
      <c r="B195"/>
      <c r="C195"/>
      <c r="D195" s="1" t="str">
        <f t="shared" si="69"/>
        <v>x</v>
      </c>
      <c r="E195"/>
      <c r="F195" s="22" t="s">
        <v>0</v>
      </c>
      <c r="G195" s="11" t="e">
        <f t="shared" ref="G195:H195" ca="1" si="86">G193/G194</f>
        <v>#DIV/0!</v>
      </c>
      <c r="H195" s="93" t="e">
        <f t="shared" ca="1" si="86"/>
        <v>#DIV/0!</v>
      </c>
      <c r="I195" s="11" t="e">
        <f t="shared" ref="I195:J195" ca="1" si="87">I193/I194</f>
        <v>#DIV/0!</v>
      </c>
      <c r="J195" s="93" t="e">
        <f t="shared" ca="1" si="87"/>
        <v>#DIV/0!</v>
      </c>
      <c r="K195" s="11" t="e">
        <f t="shared" ref="K195:L195" ca="1" si="88">K193/K194</f>
        <v>#DIV/0!</v>
      </c>
      <c r="L195" s="93" t="e">
        <f t="shared" ca="1" si="88"/>
        <v>#DIV/0!</v>
      </c>
      <c r="M195" s="32"/>
      <c r="N195" s="110"/>
      <c r="O195" s="106">
        <f t="shared" si="67"/>
        <v>0</v>
      </c>
    </row>
    <row r="196" spans="1:15" s="16" customFormat="1" hidden="1" outlineLevel="1" x14ac:dyDescent="0.25">
      <c r="A196" s="16">
        <f>IF(AND(D196&lt;&gt;"",C196=""),A195+1,A195)</f>
        <v>18</v>
      </c>
      <c r="B196" s="4"/>
      <c r="C196" s="4"/>
      <c r="D196" s="4" t="str">
        <f t="shared" si="69"/>
        <v>x</v>
      </c>
      <c r="E196" s="4"/>
      <c r="F196" s="21">
        <f>INDEX(PropertyList!$D:$D,MATCH(Summary!$A196,PropertyList!$C:$C,0))</f>
        <v>0</v>
      </c>
      <c r="G196" s="10"/>
      <c r="H196" s="91"/>
      <c r="I196" s="10"/>
      <c r="J196" s="91"/>
      <c r="K196" s="10"/>
      <c r="L196" s="91"/>
      <c r="M196" s="32"/>
      <c r="N196" s="110"/>
      <c r="O196" s="106">
        <f t="shared" si="67"/>
        <v>0</v>
      </c>
    </row>
    <row r="197" spans="1:15" s="16" customFormat="1" hidden="1" outlineLevel="1" x14ac:dyDescent="0.25">
      <c r="A197" s="16">
        <f>IF(AND(F197&lt;&gt;"",D197=""),A196+1,A196)</f>
        <v>18</v>
      </c>
      <c r="C197">
        <f>$F196</f>
        <v>0</v>
      </c>
      <c r="D197" s="3" t="str">
        <f t="shared" si="69"/>
        <v>PAY_PAT_DAYS - Total Payor Patient Days</v>
      </c>
      <c r="F197" s="22" t="str">
        <f>_xll.EVDES(D197)</f>
        <v>Total Payor Patient Days</v>
      </c>
      <c r="G197" s="18">
        <f ca="1">SUMIFS(OFFSET('BPC Data'!$F:$F,0,Summary!G$2),'BPC Data'!$E:$E,Summary!$D197,'BPC Data'!$B:$B,Summary!$C197)</f>
        <v>0</v>
      </c>
      <c r="H197" s="92">
        <f ca="1">SUMIFS(OFFSET('BPC Data'!$F:$F,0,Summary!H$2),'BPC Data'!$E:$E,Summary!$D197,'BPC Data'!$B:$B,Summary!$C197)</f>
        <v>0</v>
      </c>
      <c r="I197" s="18">
        <f ca="1">SUMIFS(OFFSET('BPC Data'!$F:$F,0,Summary!I$2),'BPC Data'!$E:$E,Summary!$D197,'BPC Data'!$B:$B,Summary!$C197)</f>
        <v>0</v>
      </c>
      <c r="J197" s="92">
        <f ca="1">SUMIFS(OFFSET('BPC Data'!$F:$F,0,Summary!J$2),'BPC Data'!$E:$E,Summary!$D197,'BPC Data'!$B:$B,Summary!$C197)</f>
        <v>0</v>
      </c>
      <c r="K197" s="18">
        <f ca="1">SUMIFS(OFFSET('BPC Data'!$F:$F,0,Summary!K$2),'BPC Data'!$E:$E,Summary!$D197,'BPC Data'!$B:$B,Summary!$C197)</f>
        <v>0</v>
      </c>
      <c r="L197" s="92">
        <f ca="1">SUMIFS(OFFSET('BPC Data'!$F:$F,0,Summary!L$2),'BPC Data'!$E:$E,Summary!$D197,'BPC Data'!$B:$B,Summary!$C197)</f>
        <v>0</v>
      </c>
      <c r="M197" s="32"/>
      <c r="N197" s="110"/>
      <c r="O197" s="106">
        <f t="shared" si="67"/>
        <v>0</v>
      </c>
    </row>
    <row r="198" spans="1:15" s="16" customFormat="1" hidden="1" outlineLevel="1" x14ac:dyDescent="0.25">
      <c r="A198" s="16">
        <f t="shared" ref="A198:A206" si="89">IF(AND(F198&lt;&gt;"",D198=""),A197+1,A197)</f>
        <v>18</v>
      </c>
      <c r="C198">
        <f>$F196</f>
        <v>0</v>
      </c>
      <c r="D198" s="3" t="str">
        <f t="shared" si="69"/>
        <v>A_BEDS_TOTAL - Total Available Beds</v>
      </c>
      <c r="F198" s="22" t="str">
        <f>_xll.EVDES(D198)</f>
        <v>Total Available Beds</v>
      </c>
      <c r="G198" s="18">
        <f ca="1">SUMIFS(OFFSET('BPC Data'!$F:$F,0,Summary!G$2),'BPC Data'!$E:$E,Summary!$D198,'BPC Data'!$B:$B,Summary!$C198)</f>
        <v>0</v>
      </c>
      <c r="H198" s="92">
        <f ca="1">SUMIFS(OFFSET('BPC Data'!$F:$F,0,Summary!H$2),'BPC Data'!$E:$E,Summary!$D198,'BPC Data'!$B:$B,Summary!$C198)</f>
        <v>0</v>
      </c>
      <c r="I198" s="18">
        <f ca="1">SUMIFS(OFFSET('BPC Data'!$F:$F,0,Summary!I$2),'BPC Data'!$E:$E,Summary!$D198,'BPC Data'!$B:$B,Summary!$C198)</f>
        <v>0</v>
      </c>
      <c r="J198" s="92">
        <f ca="1">SUMIFS(OFFSET('BPC Data'!$F:$F,0,Summary!J$2),'BPC Data'!$E:$E,Summary!$D198,'BPC Data'!$B:$B,Summary!$C198)</f>
        <v>0</v>
      </c>
      <c r="K198" s="18">
        <f ca="1">SUMIFS(OFFSET('BPC Data'!$F:$F,0,Summary!K$2),'BPC Data'!$E:$E,Summary!$D198,'BPC Data'!$B:$B,Summary!$C198)</f>
        <v>0</v>
      </c>
      <c r="L198" s="92">
        <f ca="1">SUMIFS(OFFSET('BPC Data'!$F:$F,0,Summary!L$2),'BPC Data'!$E:$E,Summary!$D198,'BPC Data'!$B:$B,Summary!$C198)</f>
        <v>0</v>
      </c>
      <c r="M198" s="32"/>
      <c r="N198" s="110"/>
      <c r="O198" s="106">
        <f t="shared" si="67"/>
        <v>0</v>
      </c>
    </row>
    <row r="199" spans="1:15" s="16" customFormat="1" hidden="1" outlineLevel="1" x14ac:dyDescent="0.25">
      <c r="A199" s="16">
        <f t="shared" si="89"/>
        <v>18</v>
      </c>
      <c r="B199"/>
      <c r="C199">
        <f>$F196</f>
        <v>0</v>
      </c>
      <c r="D199" s="3" t="str">
        <f t="shared" si="69"/>
        <v>T_REVENUES - Total Tenant Revenues</v>
      </c>
      <c r="E199"/>
      <c r="F199" s="22" t="str">
        <f>_xll.EVDES(D199)</f>
        <v>Total Tenant Revenues</v>
      </c>
      <c r="G199" s="18">
        <f ca="1">SUMIFS(OFFSET('BPC Data'!$F:$F,0,Summary!G$2),'BPC Data'!$E:$E,Summary!$D199,'BPC Data'!$B:$B,Summary!$C199)</f>
        <v>0</v>
      </c>
      <c r="H199" s="92">
        <f ca="1">SUMIFS(OFFSET('BPC Data'!$F:$F,0,Summary!H$2),'BPC Data'!$E:$E,Summary!$D199,'BPC Data'!$B:$B,Summary!$C199)</f>
        <v>0</v>
      </c>
      <c r="I199" s="18">
        <f ca="1">SUMIFS(OFFSET('BPC Data'!$F:$F,0,Summary!I$2),'BPC Data'!$E:$E,Summary!$D199,'BPC Data'!$B:$B,Summary!$C199)</f>
        <v>0</v>
      </c>
      <c r="J199" s="92">
        <f ca="1">SUMIFS(OFFSET('BPC Data'!$F:$F,0,Summary!J$2),'BPC Data'!$E:$E,Summary!$D199,'BPC Data'!$B:$B,Summary!$C199)</f>
        <v>0</v>
      </c>
      <c r="K199" s="18">
        <f ca="1">SUMIFS(OFFSET('BPC Data'!$F:$F,0,Summary!K$2),'BPC Data'!$E:$E,Summary!$D199,'BPC Data'!$B:$B,Summary!$C199)</f>
        <v>0</v>
      </c>
      <c r="L199" s="92">
        <f ca="1">SUMIFS(OFFSET('BPC Data'!$F:$F,0,Summary!L$2),'BPC Data'!$E:$E,Summary!$D199,'BPC Data'!$B:$B,Summary!$C199)</f>
        <v>0</v>
      </c>
      <c r="M199" s="32"/>
      <c r="N199" s="110"/>
      <c r="O199" s="106">
        <f t="shared" si="67"/>
        <v>0</v>
      </c>
    </row>
    <row r="200" spans="1:15" s="16" customFormat="1" hidden="1" outlineLevel="1" x14ac:dyDescent="0.25">
      <c r="A200" s="16">
        <f t="shared" si="89"/>
        <v>18</v>
      </c>
      <c r="B200"/>
      <c r="C200">
        <f>$F196</f>
        <v>0</v>
      </c>
      <c r="D200" s="3" t="str">
        <f t="shared" si="69"/>
        <v>T_OPEX - Tenant Operating Expenses</v>
      </c>
      <c r="E200"/>
      <c r="F200" s="22" t="str">
        <f>_xll.EVDES(D200)</f>
        <v>Tenant Operating Expenses</v>
      </c>
      <c r="G200" s="18">
        <f ca="1">SUMIFS(OFFSET('BPC Data'!$F:$F,0,Summary!G$2),'BPC Data'!$E:$E,Summary!$D200,'BPC Data'!$B:$B,Summary!$C200)</f>
        <v>0</v>
      </c>
      <c r="H200" s="92">
        <f ca="1">SUMIFS(OFFSET('BPC Data'!$F:$F,0,Summary!H$2),'BPC Data'!$E:$E,Summary!$D200,'BPC Data'!$B:$B,Summary!$C200)</f>
        <v>0</v>
      </c>
      <c r="I200" s="18">
        <f ca="1">SUMIFS(OFFSET('BPC Data'!$F:$F,0,Summary!I$2),'BPC Data'!$E:$E,Summary!$D200,'BPC Data'!$B:$B,Summary!$C200)</f>
        <v>0</v>
      </c>
      <c r="J200" s="92">
        <f ca="1">SUMIFS(OFFSET('BPC Data'!$F:$F,0,Summary!J$2),'BPC Data'!$E:$E,Summary!$D200,'BPC Data'!$B:$B,Summary!$C200)</f>
        <v>0</v>
      </c>
      <c r="K200" s="18">
        <f ca="1">SUMIFS(OFFSET('BPC Data'!$F:$F,0,Summary!K$2),'BPC Data'!$E:$E,Summary!$D200,'BPC Data'!$B:$B,Summary!$C200)</f>
        <v>0</v>
      </c>
      <c r="L200" s="92">
        <f ca="1">SUMIFS(OFFSET('BPC Data'!$F:$F,0,Summary!L$2),'BPC Data'!$E:$E,Summary!$D200,'BPC Data'!$B:$B,Summary!$C200)</f>
        <v>0</v>
      </c>
      <c r="M200" s="32"/>
      <c r="N200" s="110"/>
      <c r="O200" s="106">
        <f t="shared" si="67"/>
        <v>0</v>
      </c>
    </row>
    <row r="201" spans="1:15" s="16" customFormat="1" hidden="1" outlineLevel="1" x14ac:dyDescent="0.25">
      <c r="A201" s="16">
        <f t="shared" si="89"/>
        <v>18</v>
      </c>
      <c r="B201"/>
      <c r="C201">
        <f>$F196</f>
        <v>0</v>
      </c>
      <c r="D201" s="3" t="str">
        <f t="shared" si="69"/>
        <v>T_BAD_DEBT - Tenant Bad Debt Expense</v>
      </c>
      <c r="E201"/>
      <c r="F201" s="22" t="str">
        <f>_xll.EVDES(D201)</f>
        <v>Tenant Bad Debt Expense</v>
      </c>
      <c r="G201" s="18">
        <f ca="1">SUMIFS(OFFSET('BPC Data'!$F:$F,0,Summary!G$2),'BPC Data'!$E:$E,Summary!$D201,'BPC Data'!$B:$B,Summary!$C201)</f>
        <v>0</v>
      </c>
      <c r="H201" s="92">
        <f ca="1">SUMIFS(OFFSET('BPC Data'!$F:$F,0,Summary!H$2),'BPC Data'!$E:$E,Summary!$D201,'BPC Data'!$B:$B,Summary!$C201)</f>
        <v>0</v>
      </c>
      <c r="I201" s="18">
        <f ca="1">SUMIFS(OFFSET('BPC Data'!$F:$F,0,Summary!I$2),'BPC Data'!$E:$E,Summary!$D201,'BPC Data'!$B:$B,Summary!$C201)</f>
        <v>0</v>
      </c>
      <c r="J201" s="92">
        <f ca="1">SUMIFS(OFFSET('BPC Data'!$F:$F,0,Summary!J$2),'BPC Data'!$E:$E,Summary!$D201,'BPC Data'!$B:$B,Summary!$C201)</f>
        <v>0</v>
      </c>
      <c r="K201" s="18">
        <f ca="1">SUMIFS(OFFSET('BPC Data'!$F:$F,0,Summary!K$2),'BPC Data'!$E:$E,Summary!$D201,'BPC Data'!$B:$B,Summary!$C201)</f>
        <v>0</v>
      </c>
      <c r="L201" s="92">
        <f ca="1">SUMIFS(OFFSET('BPC Data'!$F:$F,0,Summary!L$2),'BPC Data'!$E:$E,Summary!$D201,'BPC Data'!$B:$B,Summary!$C201)</f>
        <v>0</v>
      </c>
      <c r="M201" s="32"/>
      <c r="N201" s="110"/>
      <c r="O201" s="106">
        <f t="shared" si="67"/>
        <v>0</v>
      </c>
    </row>
    <row r="202" spans="1:15" s="16" customFormat="1" hidden="1" outlineLevel="1" x14ac:dyDescent="0.25">
      <c r="A202" s="16">
        <f t="shared" si="89"/>
        <v>18</v>
      </c>
      <c r="B202"/>
      <c r="C202">
        <f>$F196</f>
        <v>0</v>
      </c>
      <c r="D202" s="2" t="str">
        <f t="shared" si="69"/>
        <v>T_EBITDARM - EBITDARM</v>
      </c>
      <c r="E202"/>
      <c r="F202" s="22" t="str">
        <f>_xll.EVDES(D202)</f>
        <v>EBITDARM</v>
      </c>
      <c r="G202" s="18">
        <f ca="1">SUMIFS(OFFSET('BPC Data'!$F:$F,0,Summary!G$2),'BPC Data'!$E:$E,Summary!$D202,'BPC Data'!$B:$B,Summary!$C202)</f>
        <v>0</v>
      </c>
      <c r="H202" s="92">
        <f ca="1">SUMIFS(OFFSET('BPC Data'!$F:$F,0,Summary!H$2),'BPC Data'!$E:$E,Summary!$D202,'BPC Data'!$B:$B,Summary!$C202)</f>
        <v>0</v>
      </c>
      <c r="I202" s="18">
        <f ca="1">SUMIFS(OFFSET('BPC Data'!$F:$F,0,Summary!I$2),'BPC Data'!$E:$E,Summary!$D202,'BPC Data'!$B:$B,Summary!$C202)</f>
        <v>0</v>
      </c>
      <c r="J202" s="92">
        <f ca="1">SUMIFS(OFFSET('BPC Data'!$F:$F,0,Summary!J$2),'BPC Data'!$E:$E,Summary!$D202,'BPC Data'!$B:$B,Summary!$C202)</f>
        <v>0</v>
      </c>
      <c r="K202" s="18">
        <f ca="1">SUMIFS(OFFSET('BPC Data'!$F:$F,0,Summary!K$2),'BPC Data'!$E:$E,Summary!$D202,'BPC Data'!$B:$B,Summary!$C202)</f>
        <v>0</v>
      </c>
      <c r="L202" s="92">
        <f ca="1">SUMIFS(OFFSET('BPC Data'!$F:$F,0,Summary!L$2),'BPC Data'!$E:$E,Summary!$D202,'BPC Data'!$B:$B,Summary!$C202)</f>
        <v>0</v>
      </c>
      <c r="M202" s="32"/>
      <c r="N202" s="110"/>
      <c r="O202" s="106">
        <f t="shared" si="67"/>
        <v>0</v>
      </c>
    </row>
    <row r="203" spans="1:15" s="16" customFormat="1" hidden="1" outlineLevel="1" x14ac:dyDescent="0.25">
      <c r="A203" s="16">
        <f t="shared" si="89"/>
        <v>18</v>
      </c>
      <c r="B203"/>
      <c r="C203">
        <f>$F196</f>
        <v>0</v>
      </c>
      <c r="D203" s="2" t="str">
        <f t="shared" si="69"/>
        <v>T_MGMT_FEE - Tenant Management Fee - Actual</v>
      </c>
      <c r="E203"/>
      <c r="F203" s="22" t="str">
        <f>_xll.EVDES(D203)</f>
        <v>Tenant Management Fee - Actual</v>
      </c>
      <c r="G203" s="18">
        <f ca="1">SUMIFS(OFFSET('BPC Data'!$F:$F,0,Summary!G$2),'BPC Data'!$E:$E,Summary!$D203,'BPC Data'!$B:$B,Summary!$C203)</f>
        <v>0</v>
      </c>
      <c r="H203" s="92">
        <f ca="1">SUMIFS(OFFSET('BPC Data'!$F:$F,0,Summary!H$2),'BPC Data'!$E:$E,Summary!$D203,'BPC Data'!$B:$B,Summary!$C203)</f>
        <v>0</v>
      </c>
      <c r="I203" s="18">
        <f ca="1">SUMIFS(OFFSET('BPC Data'!$F:$F,0,Summary!I$2),'BPC Data'!$E:$E,Summary!$D203,'BPC Data'!$B:$B,Summary!$C203)</f>
        <v>0</v>
      </c>
      <c r="J203" s="92">
        <f ca="1">SUMIFS(OFFSET('BPC Data'!$F:$F,0,Summary!J$2),'BPC Data'!$E:$E,Summary!$D203,'BPC Data'!$B:$B,Summary!$C203)</f>
        <v>0</v>
      </c>
      <c r="K203" s="18">
        <f ca="1">SUMIFS(OFFSET('BPC Data'!$F:$F,0,Summary!K$2),'BPC Data'!$E:$E,Summary!$D203,'BPC Data'!$B:$B,Summary!$C203)</f>
        <v>0</v>
      </c>
      <c r="L203" s="92">
        <f ca="1">SUMIFS(OFFSET('BPC Data'!$F:$F,0,Summary!L$2),'BPC Data'!$E:$E,Summary!$D203,'BPC Data'!$B:$B,Summary!$C203)</f>
        <v>0</v>
      </c>
      <c r="M203" s="32"/>
      <c r="N203" s="110"/>
      <c r="O203" s="106">
        <f t="shared" si="67"/>
        <v>0</v>
      </c>
    </row>
    <row r="204" spans="1:15" s="16" customFormat="1" hidden="1" outlineLevel="1" x14ac:dyDescent="0.25">
      <c r="A204" s="16">
        <f t="shared" si="89"/>
        <v>18</v>
      </c>
      <c r="B204"/>
      <c r="C204">
        <f>$F196</f>
        <v>0</v>
      </c>
      <c r="D204" s="1" t="str">
        <f t="shared" si="69"/>
        <v>T_EBITDAR - EBITDAR</v>
      </c>
      <c r="E204"/>
      <c r="F204" s="22" t="str">
        <f>_xll.EVDES(D204)</f>
        <v>EBITDAR</v>
      </c>
      <c r="G204" s="18">
        <f ca="1">SUMIFS(OFFSET('BPC Data'!$F:$F,0,Summary!G$2),'BPC Data'!$E:$E,Summary!$D204,'BPC Data'!$B:$B,Summary!$C204)</f>
        <v>0</v>
      </c>
      <c r="H204" s="92">
        <f ca="1">SUMIFS(OFFSET('BPC Data'!$F:$F,0,Summary!H$2),'BPC Data'!$E:$E,Summary!$D204,'BPC Data'!$B:$B,Summary!$C204)</f>
        <v>0</v>
      </c>
      <c r="I204" s="18">
        <f ca="1">SUMIFS(OFFSET('BPC Data'!$F:$F,0,Summary!I$2),'BPC Data'!$E:$E,Summary!$D204,'BPC Data'!$B:$B,Summary!$C204)</f>
        <v>0</v>
      </c>
      <c r="J204" s="92">
        <f ca="1">SUMIFS(OFFSET('BPC Data'!$F:$F,0,Summary!J$2),'BPC Data'!$E:$E,Summary!$D204,'BPC Data'!$B:$B,Summary!$C204)</f>
        <v>0</v>
      </c>
      <c r="K204" s="18">
        <f ca="1">SUMIFS(OFFSET('BPC Data'!$F:$F,0,Summary!K$2),'BPC Data'!$E:$E,Summary!$D204,'BPC Data'!$B:$B,Summary!$C204)</f>
        <v>0</v>
      </c>
      <c r="L204" s="92">
        <f ca="1">SUMIFS(OFFSET('BPC Data'!$F:$F,0,Summary!L$2),'BPC Data'!$E:$E,Summary!$D204,'BPC Data'!$B:$B,Summary!$C204)</f>
        <v>0</v>
      </c>
      <c r="M204" s="32"/>
      <c r="N204" s="110"/>
      <c r="O204" s="106">
        <f t="shared" ref="O204:O267" si="90">N204-M204</f>
        <v>0</v>
      </c>
    </row>
    <row r="205" spans="1:15" s="16" customFormat="1" hidden="1" outlineLevel="1" x14ac:dyDescent="0.25">
      <c r="A205" s="16">
        <f t="shared" si="89"/>
        <v>18</v>
      </c>
      <c r="B205"/>
      <c r="C205">
        <f>$F196</f>
        <v>0</v>
      </c>
      <c r="D205" s="1" t="str">
        <f t="shared" si="69"/>
        <v>T_RENT_EXP - Tenant Rent Expense</v>
      </c>
      <c r="E205"/>
      <c r="F205" s="22" t="str">
        <f>_xll.EVDES(D205)</f>
        <v>Tenant Rent Expense</v>
      </c>
      <c r="G205" s="18">
        <f ca="1">SUMIFS(OFFSET('BPC Data'!$F:$F,0,Summary!G$2),'BPC Data'!$E:$E,Summary!$D205,'BPC Data'!$B:$B,Summary!$C205)</f>
        <v>0</v>
      </c>
      <c r="H205" s="92">
        <f ca="1">SUMIFS(OFFSET('BPC Data'!$F:$F,0,Summary!H$2),'BPC Data'!$E:$E,Summary!$D205,'BPC Data'!$B:$B,Summary!$C205)</f>
        <v>0</v>
      </c>
      <c r="I205" s="18">
        <f ca="1">SUMIFS(OFFSET('BPC Data'!$F:$F,0,Summary!I$2),'BPC Data'!$E:$E,Summary!$D205,'BPC Data'!$B:$B,Summary!$C205)</f>
        <v>0</v>
      </c>
      <c r="J205" s="92">
        <f ca="1">SUMIFS(OFFSET('BPC Data'!$F:$F,0,Summary!J$2),'BPC Data'!$E:$E,Summary!$D205,'BPC Data'!$B:$B,Summary!$C205)</f>
        <v>0</v>
      </c>
      <c r="K205" s="18">
        <f ca="1">SUMIFS(OFFSET('BPC Data'!$F:$F,0,Summary!K$2),'BPC Data'!$E:$E,Summary!$D205,'BPC Data'!$B:$B,Summary!$C205)</f>
        <v>0</v>
      </c>
      <c r="L205" s="92">
        <f ca="1">SUMIFS(OFFSET('BPC Data'!$F:$F,0,Summary!L$2),'BPC Data'!$E:$E,Summary!$D205,'BPC Data'!$B:$B,Summary!$C205)</f>
        <v>0</v>
      </c>
      <c r="M205" s="32"/>
      <c r="N205" s="110"/>
      <c r="O205" s="106">
        <f t="shared" si="90"/>
        <v>0</v>
      </c>
    </row>
    <row r="206" spans="1:15" s="16" customFormat="1" hidden="1" outlineLevel="1" x14ac:dyDescent="0.25">
      <c r="A206" s="16">
        <f t="shared" si="89"/>
        <v>18</v>
      </c>
      <c r="B206"/>
      <c r="C206"/>
      <c r="D206" s="1" t="str">
        <f t="shared" si="69"/>
        <v>x</v>
      </c>
      <c r="E206"/>
      <c r="F206" s="22" t="s">
        <v>0</v>
      </c>
      <c r="G206" s="11" t="e">
        <f t="shared" ref="G206:H206" ca="1" si="91">G204/G205</f>
        <v>#DIV/0!</v>
      </c>
      <c r="H206" s="93" t="e">
        <f t="shared" ca="1" si="91"/>
        <v>#DIV/0!</v>
      </c>
      <c r="I206" s="11" t="e">
        <f t="shared" ref="I206:J206" ca="1" si="92">I204/I205</f>
        <v>#DIV/0!</v>
      </c>
      <c r="J206" s="93" t="e">
        <f t="shared" ca="1" si="92"/>
        <v>#DIV/0!</v>
      </c>
      <c r="K206" s="11" t="e">
        <f t="shared" ref="K206:L206" ca="1" si="93">K204/K205</f>
        <v>#DIV/0!</v>
      </c>
      <c r="L206" s="93" t="e">
        <f t="shared" ca="1" si="93"/>
        <v>#DIV/0!</v>
      </c>
      <c r="M206" s="32"/>
      <c r="N206" s="110"/>
      <c r="O206" s="106">
        <f t="shared" si="90"/>
        <v>0</v>
      </c>
    </row>
    <row r="207" spans="1:15" s="16" customFormat="1" hidden="1" outlineLevel="1" x14ac:dyDescent="0.25">
      <c r="A207" s="16">
        <f>IF(AND(D207&lt;&gt;"",C207=""),A206+1,A206)</f>
        <v>19</v>
      </c>
      <c r="B207" s="4"/>
      <c r="C207" s="4"/>
      <c r="D207" s="4" t="str">
        <f t="shared" si="69"/>
        <v>x</v>
      </c>
      <c r="E207" s="4"/>
      <c r="F207" s="21">
        <f>INDEX(PropertyList!$D:$D,MATCH(Summary!$A207,PropertyList!$C:$C,0))</f>
        <v>0</v>
      </c>
      <c r="G207" s="10"/>
      <c r="H207" s="91"/>
      <c r="I207" s="10"/>
      <c r="J207" s="91"/>
      <c r="K207" s="10"/>
      <c r="L207" s="91"/>
      <c r="M207" s="32"/>
      <c r="N207" s="110"/>
      <c r="O207" s="106">
        <f t="shared" si="90"/>
        <v>0</v>
      </c>
    </row>
    <row r="208" spans="1:15" s="16" customFormat="1" hidden="1" outlineLevel="1" x14ac:dyDescent="0.25">
      <c r="A208" s="16">
        <f>IF(AND(F208&lt;&gt;"",D208=""),A207+1,A207)</f>
        <v>19</v>
      </c>
      <c r="C208">
        <f>$F207</f>
        <v>0</v>
      </c>
      <c r="D208" s="3" t="str">
        <f t="shared" si="69"/>
        <v>PAY_PAT_DAYS - Total Payor Patient Days</v>
      </c>
      <c r="F208" s="22" t="str">
        <f>_xll.EVDES(D208)</f>
        <v>Total Payor Patient Days</v>
      </c>
      <c r="G208" s="18">
        <f ca="1">SUMIFS(OFFSET('BPC Data'!$F:$F,0,Summary!G$2),'BPC Data'!$E:$E,Summary!$D208,'BPC Data'!$B:$B,Summary!$C208)</f>
        <v>0</v>
      </c>
      <c r="H208" s="92">
        <f ca="1">SUMIFS(OFFSET('BPC Data'!$F:$F,0,Summary!H$2),'BPC Data'!$E:$E,Summary!$D208,'BPC Data'!$B:$B,Summary!$C208)</f>
        <v>0</v>
      </c>
      <c r="I208" s="18">
        <f ca="1">SUMIFS(OFFSET('BPC Data'!$F:$F,0,Summary!I$2),'BPC Data'!$E:$E,Summary!$D208,'BPC Data'!$B:$B,Summary!$C208)</f>
        <v>0</v>
      </c>
      <c r="J208" s="92">
        <f ca="1">SUMIFS(OFFSET('BPC Data'!$F:$F,0,Summary!J$2),'BPC Data'!$E:$E,Summary!$D208,'BPC Data'!$B:$B,Summary!$C208)</f>
        <v>0</v>
      </c>
      <c r="K208" s="18">
        <f ca="1">SUMIFS(OFFSET('BPC Data'!$F:$F,0,Summary!K$2),'BPC Data'!$E:$E,Summary!$D208,'BPC Data'!$B:$B,Summary!$C208)</f>
        <v>0</v>
      </c>
      <c r="L208" s="92">
        <f ca="1">SUMIFS(OFFSET('BPC Data'!$F:$F,0,Summary!L$2),'BPC Data'!$E:$E,Summary!$D208,'BPC Data'!$B:$B,Summary!$C208)</f>
        <v>0</v>
      </c>
      <c r="M208" s="32"/>
      <c r="N208" s="110"/>
      <c r="O208" s="106">
        <f t="shared" si="90"/>
        <v>0</v>
      </c>
    </row>
    <row r="209" spans="1:15" s="16" customFormat="1" hidden="1" outlineLevel="1" x14ac:dyDescent="0.25">
      <c r="A209" s="16">
        <f t="shared" ref="A209:A217" si="94">IF(AND(F209&lt;&gt;"",D209=""),A208+1,A208)</f>
        <v>19</v>
      </c>
      <c r="C209">
        <f>$F207</f>
        <v>0</v>
      </c>
      <c r="D209" s="3" t="str">
        <f t="shared" si="69"/>
        <v>A_BEDS_TOTAL - Total Available Beds</v>
      </c>
      <c r="F209" s="22" t="str">
        <f>_xll.EVDES(D209)</f>
        <v>Total Available Beds</v>
      </c>
      <c r="G209" s="18">
        <f ca="1">SUMIFS(OFFSET('BPC Data'!$F:$F,0,Summary!G$2),'BPC Data'!$E:$E,Summary!$D209,'BPC Data'!$B:$B,Summary!$C209)</f>
        <v>0</v>
      </c>
      <c r="H209" s="92">
        <f ca="1">SUMIFS(OFFSET('BPC Data'!$F:$F,0,Summary!H$2),'BPC Data'!$E:$E,Summary!$D209,'BPC Data'!$B:$B,Summary!$C209)</f>
        <v>0</v>
      </c>
      <c r="I209" s="18">
        <f ca="1">SUMIFS(OFFSET('BPC Data'!$F:$F,0,Summary!I$2),'BPC Data'!$E:$E,Summary!$D209,'BPC Data'!$B:$B,Summary!$C209)</f>
        <v>0</v>
      </c>
      <c r="J209" s="92">
        <f ca="1">SUMIFS(OFFSET('BPC Data'!$F:$F,0,Summary!J$2),'BPC Data'!$E:$E,Summary!$D209,'BPC Data'!$B:$B,Summary!$C209)</f>
        <v>0</v>
      </c>
      <c r="K209" s="18">
        <f ca="1">SUMIFS(OFFSET('BPC Data'!$F:$F,0,Summary!K$2),'BPC Data'!$E:$E,Summary!$D209,'BPC Data'!$B:$B,Summary!$C209)</f>
        <v>0</v>
      </c>
      <c r="L209" s="92">
        <f ca="1">SUMIFS(OFFSET('BPC Data'!$F:$F,0,Summary!L$2),'BPC Data'!$E:$E,Summary!$D209,'BPC Data'!$B:$B,Summary!$C209)</f>
        <v>0</v>
      </c>
      <c r="M209" s="32"/>
      <c r="N209" s="110"/>
      <c r="O209" s="106">
        <f t="shared" si="90"/>
        <v>0</v>
      </c>
    </row>
    <row r="210" spans="1:15" s="16" customFormat="1" hidden="1" outlineLevel="1" x14ac:dyDescent="0.25">
      <c r="A210" s="16">
        <f t="shared" si="94"/>
        <v>19</v>
      </c>
      <c r="B210"/>
      <c r="C210">
        <f>$F207</f>
        <v>0</v>
      </c>
      <c r="D210" s="3" t="str">
        <f t="shared" si="69"/>
        <v>T_REVENUES - Total Tenant Revenues</v>
      </c>
      <c r="E210"/>
      <c r="F210" s="22" t="str">
        <f>_xll.EVDES(D210)</f>
        <v>Total Tenant Revenues</v>
      </c>
      <c r="G210" s="18">
        <f ca="1">SUMIFS(OFFSET('BPC Data'!$F:$F,0,Summary!G$2),'BPC Data'!$E:$E,Summary!$D210,'BPC Data'!$B:$B,Summary!$C210)</f>
        <v>0</v>
      </c>
      <c r="H210" s="92">
        <f ca="1">SUMIFS(OFFSET('BPC Data'!$F:$F,0,Summary!H$2),'BPC Data'!$E:$E,Summary!$D210,'BPC Data'!$B:$B,Summary!$C210)</f>
        <v>0</v>
      </c>
      <c r="I210" s="18">
        <f ca="1">SUMIFS(OFFSET('BPC Data'!$F:$F,0,Summary!I$2),'BPC Data'!$E:$E,Summary!$D210,'BPC Data'!$B:$B,Summary!$C210)</f>
        <v>0</v>
      </c>
      <c r="J210" s="92">
        <f ca="1">SUMIFS(OFFSET('BPC Data'!$F:$F,0,Summary!J$2),'BPC Data'!$E:$E,Summary!$D210,'BPC Data'!$B:$B,Summary!$C210)</f>
        <v>0</v>
      </c>
      <c r="K210" s="18">
        <f ca="1">SUMIFS(OFFSET('BPC Data'!$F:$F,0,Summary!K$2),'BPC Data'!$E:$E,Summary!$D210,'BPC Data'!$B:$B,Summary!$C210)</f>
        <v>0</v>
      </c>
      <c r="L210" s="92">
        <f ca="1">SUMIFS(OFFSET('BPC Data'!$F:$F,0,Summary!L$2),'BPC Data'!$E:$E,Summary!$D210,'BPC Data'!$B:$B,Summary!$C210)</f>
        <v>0</v>
      </c>
      <c r="M210" s="32"/>
      <c r="N210" s="110"/>
      <c r="O210" s="106">
        <f t="shared" si="90"/>
        <v>0</v>
      </c>
    </row>
    <row r="211" spans="1:15" s="16" customFormat="1" hidden="1" outlineLevel="1" x14ac:dyDescent="0.25">
      <c r="A211" s="16">
        <f t="shared" si="94"/>
        <v>19</v>
      </c>
      <c r="B211"/>
      <c r="C211">
        <f>$F207</f>
        <v>0</v>
      </c>
      <c r="D211" s="3" t="str">
        <f t="shared" si="69"/>
        <v>T_OPEX - Tenant Operating Expenses</v>
      </c>
      <c r="E211"/>
      <c r="F211" s="22" t="str">
        <f>_xll.EVDES(D211)</f>
        <v>Tenant Operating Expenses</v>
      </c>
      <c r="G211" s="18">
        <f ca="1">SUMIFS(OFFSET('BPC Data'!$F:$F,0,Summary!G$2),'BPC Data'!$E:$E,Summary!$D211,'BPC Data'!$B:$B,Summary!$C211)</f>
        <v>0</v>
      </c>
      <c r="H211" s="92">
        <f ca="1">SUMIFS(OFFSET('BPC Data'!$F:$F,0,Summary!H$2),'BPC Data'!$E:$E,Summary!$D211,'BPC Data'!$B:$B,Summary!$C211)</f>
        <v>0</v>
      </c>
      <c r="I211" s="18">
        <f ca="1">SUMIFS(OFFSET('BPC Data'!$F:$F,0,Summary!I$2),'BPC Data'!$E:$E,Summary!$D211,'BPC Data'!$B:$B,Summary!$C211)</f>
        <v>0</v>
      </c>
      <c r="J211" s="92">
        <f ca="1">SUMIFS(OFFSET('BPC Data'!$F:$F,0,Summary!J$2),'BPC Data'!$E:$E,Summary!$D211,'BPC Data'!$B:$B,Summary!$C211)</f>
        <v>0</v>
      </c>
      <c r="K211" s="18">
        <f ca="1">SUMIFS(OFFSET('BPC Data'!$F:$F,0,Summary!K$2),'BPC Data'!$E:$E,Summary!$D211,'BPC Data'!$B:$B,Summary!$C211)</f>
        <v>0</v>
      </c>
      <c r="L211" s="92">
        <f ca="1">SUMIFS(OFFSET('BPC Data'!$F:$F,0,Summary!L$2),'BPC Data'!$E:$E,Summary!$D211,'BPC Data'!$B:$B,Summary!$C211)</f>
        <v>0</v>
      </c>
      <c r="M211" s="32"/>
      <c r="N211" s="110"/>
      <c r="O211" s="106">
        <f t="shared" si="90"/>
        <v>0</v>
      </c>
    </row>
    <row r="212" spans="1:15" s="16" customFormat="1" hidden="1" outlineLevel="1" x14ac:dyDescent="0.25">
      <c r="A212" s="16">
        <f t="shared" si="94"/>
        <v>19</v>
      </c>
      <c r="B212"/>
      <c r="C212">
        <f>$F207</f>
        <v>0</v>
      </c>
      <c r="D212" s="3" t="str">
        <f t="shared" si="69"/>
        <v>T_BAD_DEBT - Tenant Bad Debt Expense</v>
      </c>
      <c r="E212"/>
      <c r="F212" s="22" t="str">
        <f>_xll.EVDES(D212)</f>
        <v>Tenant Bad Debt Expense</v>
      </c>
      <c r="G212" s="18">
        <f ca="1">SUMIFS(OFFSET('BPC Data'!$F:$F,0,Summary!G$2),'BPC Data'!$E:$E,Summary!$D212,'BPC Data'!$B:$B,Summary!$C212)</f>
        <v>0</v>
      </c>
      <c r="H212" s="92">
        <f ca="1">SUMIFS(OFFSET('BPC Data'!$F:$F,0,Summary!H$2),'BPC Data'!$E:$E,Summary!$D212,'BPC Data'!$B:$B,Summary!$C212)</f>
        <v>0</v>
      </c>
      <c r="I212" s="18">
        <f ca="1">SUMIFS(OFFSET('BPC Data'!$F:$F,0,Summary!I$2),'BPC Data'!$E:$E,Summary!$D212,'BPC Data'!$B:$B,Summary!$C212)</f>
        <v>0</v>
      </c>
      <c r="J212" s="92">
        <f ca="1">SUMIFS(OFFSET('BPC Data'!$F:$F,0,Summary!J$2),'BPC Data'!$E:$E,Summary!$D212,'BPC Data'!$B:$B,Summary!$C212)</f>
        <v>0</v>
      </c>
      <c r="K212" s="18">
        <f ca="1">SUMIFS(OFFSET('BPC Data'!$F:$F,0,Summary!K$2),'BPC Data'!$E:$E,Summary!$D212,'BPC Data'!$B:$B,Summary!$C212)</f>
        <v>0</v>
      </c>
      <c r="L212" s="92">
        <f ca="1">SUMIFS(OFFSET('BPC Data'!$F:$F,0,Summary!L$2),'BPC Data'!$E:$E,Summary!$D212,'BPC Data'!$B:$B,Summary!$C212)</f>
        <v>0</v>
      </c>
      <c r="M212" s="32"/>
      <c r="N212" s="110"/>
      <c r="O212" s="106">
        <f t="shared" si="90"/>
        <v>0</v>
      </c>
    </row>
    <row r="213" spans="1:15" s="16" customFormat="1" hidden="1" outlineLevel="1" x14ac:dyDescent="0.25">
      <c r="A213" s="16">
        <f t="shared" si="94"/>
        <v>19</v>
      </c>
      <c r="B213"/>
      <c r="C213">
        <f>$F207</f>
        <v>0</v>
      </c>
      <c r="D213" s="2" t="str">
        <f t="shared" si="69"/>
        <v>T_EBITDARM - EBITDARM</v>
      </c>
      <c r="E213"/>
      <c r="F213" s="22" t="str">
        <f>_xll.EVDES(D213)</f>
        <v>EBITDARM</v>
      </c>
      <c r="G213" s="18">
        <f ca="1">SUMIFS(OFFSET('BPC Data'!$F:$F,0,Summary!G$2),'BPC Data'!$E:$E,Summary!$D213,'BPC Data'!$B:$B,Summary!$C213)</f>
        <v>0</v>
      </c>
      <c r="H213" s="92">
        <f ca="1">SUMIFS(OFFSET('BPC Data'!$F:$F,0,Summary!H$2),'BPC Data'!$E:$E,Summary!$D213,'BPC Data'!$B:$B,Summary!$C213)</f>
        <v>0</v>
      </c>
      <c r="I213" s="18">
        <f ca="1">SUMIFS(OFFSET('BPC Data'!$F:$F,0,Summary!I$2),'BPC Data'!$E:$E,Summary!$D213,'BPC Data'!$B:$B,Summary!$C213)</f>
        <v>0</v>
      </c>
      <c r="J213" s="92">
        <f ca="1">SUMIFS(OFFSET('BPC Data'!$F:$F,0,Summary!J$2),'BPC Data'!$E:$E,Summary!$D213,'BPC Data'!$B:$B,Summary!$C213)</f>
        <v>0</v>
      </c>
      <c r="K213" s="18">
        <f ca="1">SUMIFS(OFFSET('BPC Data'!$F:$F,0,Summary!K$2),'BPC Data'!$E:$E,Summary!$D213,'BPC Data'!$B:$B,Summary!$C213)</f>
        <v>0</v>
      </c>
      <c r="L213" s="92">
        <f ca="1">SUMIFS(OFFSET('BPC Data'!$F:$F,0,Summary!L$2),'BPC Data'!$E:$E,Summary!$D213,'BPC Data'!$B:$B,Summary!$C213)</f>
        <v>0</v>
      </c>
      <c r="M213" s="32"/>
      <c r="N213" s="110"/>
      <c r="O213" s="106">
        <f t="shared" si="90"/>
        <v>0</v>
      </c>
    </row>
    <row r="214" spans="1:15" s="16" customFormat="1" hidden="1" outlineLevel="1" x14ac:dyDescent="0.25">
      <c r="A214" s="16">
        <f t="shared" si="94"/>
        <v>19</v>
      </c>
      <c r="B214"/>
      <c r="C214">
        <f>$F207</f>
        <v>0</v>
      </c>
      <c r="D214" s="2" t="str">
        <f t="shared" ref="D214:D277" si="95">$D203</f>
        <v>T_MGMT_FEE - Tenant Management Fee - Actual</v>
      </c>
      <c r="E214"/>
      <c r="F214" s="22" t="str">
        <f>_xll.EVDES(D214)</f>
        <v>Tenant Management Fee - Actual</v>
      </c>
      <c r="G214" s="18">
        <f ca="1">SUMIFS(OFFSET('BPC Data'!$F:$F,0,Summary!G$2),'BPC Data'!$E:$E,Summary!$D214,'BPC Data'!$B:$B,Summary!$C214)</f>
        <v>0</v>
      </c>
      <c r="H214" s="92">
        <f ca="1">SUMIFS(OFFSET('BPC Data'!$F:$F,0,Summary!H$2),'BPC Data'!$E:$E,Summary!$D214,'BPC Data'!$B:$B,Summary!$C214)</f>
        <v>0</v>
      </c>
      <c r="I214" s="18">
        <f ca="1">SUMIFS(OFFSET('BPC Data'!$F:$F,0,Summary!I$2),'BPC Data'!$E:$E,Summary!$D214,'BPC Data'!$B:$B,Summary!$C214)</f>
        <v>0</v>
      </c>
      <c r="J214" s="92">
        <f ca="1">SUMIFS(OFFSET('BPC Data'!$F:$F,0,Summary!J$2),'BPC Data'!$E:$E,Summary!$D214,'BPC Data'!$B:$B,Summary!$C214)</f>
        <v>0</v>
      </c>
      <c r="K214" s="18">
        <f ca="1">SUMIFS(OFFSET('BPC Data'!$F:$F,0,Summary!K$2),'BPC Data'!$E:$E,Summary!$D214,'BPC Data'!$B:$B,Summary!$C214)</f>
        <v>0</v>
      </c>
      <c r="L214" s="92">
        <f ca="1">SUMIFS(OFFSET('BPC Data'!$F:$F,0,Summary!L$2),'BPC Data'!$E:$E,Summary!$D214,'BPC Data'!$B:$B,Summary!$C214)</f>
        <v>0</v>
      </c>
      <c r="M214" s="32"/>
      <c r="N214" s="110"/>
      <c r="O214" s="106">
        <f t="shared" si="90"/>
        <v>0</v>
      </c>
    </row>
    <row r="215" spans="1:15" s="16" customFormat="1" hidden="1" outlineLevel="1" x14ac:dyDescent="0.25">
      <c r="A215" s="16">
        <f t="shared" si="94"/>
        <v>19</v>
      </c>
      <c r="B215"/>
      <c r="C215">
        <f>$F207</f>
        <v>0</v>
      </c>
      <c r="D215" s="1" t="str">
        <f t="shared" si="95"/>
        <v>T_EBITDAR - EBITDAR</v>
      </c>
      <c r="E215"/>
      <c r="F215" s="22" t="str">
        <f>_xll.EVDES(D215)</f>
        <v>EBITDAR</v>
      </c>
      <c r="G215" s="18">
        <f ca="1">SUMIFS(OFFSET('BPC Data'!$F:$F,0,Summary!G$2),'BPC Data'!$E:$E,Summary!$D215,'BPC Data'!$B:$B,Summary!$C215)</f>
        <v>0</v>
      </c>
      <c r="H215" s="92">
        <f ca="1">SUMIFS(OFFSET('BPC Data'!$F:$F,0,Summary!H$2),'BPC Data'!$E:$E,Summary!$D215,'BPC Data'!$B:$B,Summary!$C215)</f>
        <v>0</v>
      </c>
      <c r="I215" s="18">
        <f ca="1">SUMIFS(OFFSET('BPC Data'!$F:$F,0,Summary!I$2),'BPC Data'!$E:$E,Summary!$D215,'BPC Data'!$B:$B,Summary!$C215)</f>
        <v>0</v>
      </c>
      <c r="J215" s="92">
        <f ca="1">SUMIFS(OFFSET('BPC Data'!$F:$F,0,Summary!J$2),'BPC Data'!$E:$E,Summary!$D215,'BPC Data'!$B:$B,Summary!$C215)</f>
        <v>0</v>
      </c>
      <c r="K215" s="18">
        <f ca="1">SUMIFS(OFFSET('BPC Data'!$F:$F,0,Summary!K$2),'BPC Data'!$E:$E,Summary!$D215,'BPC Data'!$B:$B,Summary!$C215)</f>
        <v>0</v>
      </c>
      <c r="L215" s="92">
        <f ca="1">SUMIFS(OFFSET('BPC Data'!$F:$F,0,Summary!L$2),'BPC Data'!$E:$E,Summary!$D215,'BPC Data'!$B:$B,Summary!$C215)</f>
        <v>0</v>
      </c>
      <c r="M215" s="32"/>
      <c r="N215" s="110"/>
      <c r="O215" s="106">
        <f t="shared" si="90"/>
        <v>0</v>
      </c>
    </row>
    <row r="216" spans="1:15" s="16" customFormat="1" hidden="1" outlineLevel="1" x14ac:dyDescent="0.25">
      <c r="A216" s="16">
        <f t="shared" si="94"/>
        <v>19</v>
      </c>
      <c r="B216"/>
      <c r="C216">
        <f>$F207</f>
        <v>0</v>
      </c>
      <c r="D216" s="1" t="str">
        <f t="shared" si="95"/>
        <v>T_RENT_EXP - Tenant Rent Expense</v>
      </c>
      <c r="E216"/>
      <c r="F216" s="22" t="str">
        <f>_xll.EVDES(D216)</f>
        <v>Tenant Rent Expense</v>
      </c>
      <c r="G216" s="18">
        <f ca="1">SUMIFS(OFFSET('BPC Data'!$F:$F,0,Summary!G$2),'BPC Data'!$E:$E,Summary!$D216,'BPC Data'!$B:$B,Summary!$C216)</f>
        <v>0</v>
      </c>
      <c r="H216" s="92">
        <f ca="1">SUMIFS(OFFSET('BPC Data'!$F:$F,0,Summary!H$2),'BPC Data'!$E:$E,Summary!$D216,'BPC Data'!$B:$B,Summary!$C216)</f>
        <v>0</v>
      </c>
      <c r="I216" s="18">
        <f ca="1">SUMIFS(OFFSET('BPC Data'!$F:$F,0,Summary!I$2),'BPC Data'!$E:$E,Summary!$D216,'BPC Data'!$B:$B,Summary!$C216)</f>
        <v>0</v>
      </c>
      <c r="J216" s="92">
        <f ca="1">SUMIFS(OFFSET('BPC Data'!$F:$F,0,Summary!J$2),'BPC Data'!$E:$E,Summary!$D216,'BPC Data'!$B:$B,Summary!$C216)</f>
        <v>0</v>
      </c>
      <c r="K216" s="18">
        <f ca="1">SUMIFS(OFFSET('BPC Data'!$F:$F,0,Summary!K$2),'BPC Data'!$E:$E,Summary!$D216,'BPC Data'!$B:$B,Summary!$C216)</f>
        <v>0</v>
      </c>
      <c r="L216" s="92">
        <f ca="1">SUMIFS(OFFSET('BPC Data'!$F:$F,0,Summary!L$2),'BPC Data'!$E:$E,Summary!$D216,'BPC Data'!$B:$B,Summary!$C216)</f>
        <v>0</v>
      </c>
      <c r="M216" s="32"/>
      <c r="N216" s="110"/>
      <c r="O216" s="106">
        <f t="shared" si="90"/>
        <v>0</v>
      </c>
    </row>
    <row r="217" spans="1:15" s="16" customFormat="1" hidden="1" outlineLevel="1" x14ac:dyDescent="0.25">
      <c r="A217" s="16">
        <f t="shared" si="94"/>
        <v>19</v>
      </c>
      <c r="B217"/>
      <c r="C217"/>
      <c r="D217" s="1" t="str">
        <f t="shared" si="95"/>
        <v>x</v>
      </c>
      <c r="E217"/>
      <c r="F217" s="22" t="s">
        <v>0</v>
      </c>
      <c r="G217" s="11" t="e">
        <f t="shared" ref="G217:H217" ca="1" si="96">G215/G216</f>
        <v>#DIV/0!</v>
      </c>
      <c r="H217" s="93" t="e">
        <f t="shared" ca="1" si="96"/>
        <v>#DIV/0!</v>
      </c>
      <c r="I217" s="11" t="e">
        <f t="shared" ref="I217:J217" ca="1" si="97">I215/I216</f>
        <v>#DIV/0!</v>
      </c>
      <c r="J217" s="93" t="e">
        <f t="shared" ca="1" si="97"/>
        <v>#DIV/0!</v>
      </c>
      <c r="K217" s="11" t="e">
        <f t="shared" ref="K217:L217" ca="1" si="98">K215/K216</f>
        <v>#DIV/0!</v>
      </c>
      <c r="L217" s="93" t="e">
        <f t="shared" ca="1" si="98"/>
        <v>#DIV/0!</v>
      </c>
      <c r="M217" s="32"/>
      <c r="N217" s="110"/>
      <c r="O217" s="106">
        <f t="shared" si="90"/>
        <v>0</v>
      </c>
    </row>
    <row r="218" spans="1:15" s="16" customFormat="1" hidden="1" outlineLevel="1" x14ac:dyDescent="0.25">
      <c r="A218" s="16">
        <f>IF(AND(D218&lt;&gt;"",C218=""),A217+1,A217)</f>
        <v>20</v>
      </c>
      <c r="B218" s="4"/>
      <c r="C218" s="4"/>
      <c r="D218" s="4" t="str">
        <f t="shared" si="95"/>
        <v>x</v>
      </c>
      <c r="E218" s="4"/>
      <c r="F218" s="21">
        <f>INDEX(PropertyList!$D:$D,MATCH(Summary!$A218,PropertyList!$C:$C,0))</f>
        <v>0</v>
      </c>
      <c r="G218" s="10"/>
      <c r="H218" s="91"/>
      <c r="I218" s="10"/>
      <c r="J218" s="91"/>
      <c r="K218" s="10"/>
      <c r="L218" s="91"/>
      <c r="M218" s="32"/>
      <c r="N218" s="110"/>
      <c r="O218" s="106">
        <f t="shared" si="90"/>
        <v>0</v>
      </c>
    </row>
    <row r="219" spans="1:15" s="16" customFormat="1" hidden="1" outlineLevel="1" x14ac:dyDescent="0.25">
      <c r="A219" s="16">
        <f>IF(AND(F219&lt;&gt;"",D219=""),A218+1,A218)</f>
        <v>20</v>
      </c>
      <c r="C219">
        <f>$F218</f>
        <v>0</v>
      </c>
      <c r="D219" s="3" t="str">
        <f t="shared" si="95"/>
        <v>PAY_PAT_DAYS - Total Payor Patient Days</v>
      </c>
      <c r="F219" s="22" t="str">
        <f>_xll.EVDES(D219)</f>
        <v>Total Payor Patient Days</v>
      </c>
      <c r="G219" s="18">
        <f ca="1">SUMIFS(OFFSET('BPC Data'!$F:$F,0,Summary!G$2),'BPC Data'!$E:$E,Summary!$D219,'BPC Data'!$B:$B,Summary!$C219)</f>
        <v>0</v>
      </c>
      <c r="H219" s="92">
        <f ca="1">SUMIFS(OFFSET('BPC Data'!$F:$F,0,Summary!H$2),'BPC Data'!$E:$E,Summary!$D219,'BPC Data'!$B:$B,Summary!$C219)</f>
        <v>0</v>
      </c>
      <c r="I219" s="18">
        <f ca="1">SUMIFS(OFFSET('BPC Data'!$F:$F,0,Summary!I$2),'BPC Data'!$E:$E,Summary!$D219,'BPC Data'!$B:$B,Summary!$C219)</f>
        <v>0</v>
      </c>
      <c r="J219" s="92">
        <f ca="1">SUMIFS(OFFSET('BPC Data'!$F:$F,0,Summary!J$2),'BPC Data'!$E:$E,Summary!$D219,'BPC Data'!$B:$B,Summary!$C219)</f>
        <v>0</v>
      </c>
      <c r="K219" s="18">
        <f ca="1">SUMIFS(OFFSET('BPC Data'!$F:$F,0,Summary!K$2),'BPC Data'!$E:$E,Summary!$D219,'BPC Data'!$B:$B,Summary!$C219)</f>
        <v>0</v>
      </c>
      <c r="L219" s="92">
        <f ca="1">SUMIFS(OFFSET('BPC Data'!$F:$F,0,Summary!L$2),'BPC Data'!$E:$E,Summary!$D219,'BPC Data'!$B:$B,Summary!$C219)</f>
        <v>0</v>
      </c>
      <c r="M219" s="32"/>
      <c r="N219" s="110"/>
      <c r="O219" s="106">
        <f t="shared" si="90"/>
        <v>0</v>
      </c>
    </row>
    <row r="220" spans="1:15" s="16" customFormat="1" hidden="1" outlineLevel="1" x14ac:dyDescent="0.25">
      <c r="A220" s="16">
        <f t="shared" ref="A220:A228" si="99">IF(AND(F220&lt;&gt;"",D220=""),A219+1,A219)</f>
        <v>20</v>
      </c>
      <c r="C220">
        <f>$F218</f>
        <v>0</v>
      </c>
      <c r="D220" s="3" t="str">
        <f t="shared" si="95"/>
        <v>A_BEDS_TOTAL - Total Available Beds</v>
      </c>
      <c r="F220" s="22" t="str">
        <f>_xll.EVDES(D220)</f>
        <v>Total Available Beds</v>
      </c>
      <c r="G220" s="18">
        <f ca="1">SUMIFS(OFFSET('BPC Data'!$F:$F,0,Summary!G$2),'BPC Data'!$E:$E,Summary!$D220,'BPC Data'!$B:$B,Summary!$C220)</f>
        <v>0</v>
      </c>
      <c r="H220" s="92">
        <f ca="1">SUMIFS(OFFSET('BPC Data'!$F:$F,0,Summary!H$2),'BPC Data'!$E:$E,Summary!$D220,'BPC Data'!$B:$B,Summary!$C220)</f>
        <v>0</v>
      </c>
      <c r="I220" s="18">
        <f ca="1">SUMIFS(OFFSET('BPC Data'!$F:$F,0,Summary!I$2),'BPC Data'!$E:$E,Summary!$D220,'BPC Data'!$B:$B,Summary!$C220)</f>
        <v>0</v>
      </c>
      <c r="J220" s="92">
        <f ca="1">SUMIFS(OFFSET('BPC Data'!$F:$F,0,Summary!J$2),'BPC Data'!$E:$E,Summary!$D220,'BPC Data'!$B:$B,Summary!$C220)</f>
        <v>0</v>
      </c>
      <c r="K220" s="18">
        <f ca="1">SUMIFS(OFFSET('BPC Data'!$F:$F,0,Summary!K$2),'BPC Data'!$E:$E,Summary!$D220,'BPC Data'!$B:$B,Summary!$C220)</f>
        <v>0</v>
      </c>
      <c r="L220" s="92">
        <f ca="1">SUMIFS(OFFSET('BPC Data'!$F:$F,0,Summary!L$2),'BPC Data'!$E:$E,Summary!$D220,'BPC Data'!$B:$B,Summary!$C220)</f>
        <v>0</v>
      </c>
      <c r="M220" s="32"/>
      <c r="N220" s="110"/>
      <c r="O220" s="106">
        <f t="shared" si="90"/>
        <v>0</v>
      </c>
    </row>
    <row r="221" spans="1:15" s="16" customFormat="1" hidden="1" outlineLevel="1" x14ac:dyDescent="0.25">
      <c r="A221" s="16">
        <f t="shared" si="99"/>
        <v>20</v>
      </c>
      <c r="B221"/>
      <c r="C221">
        <f>$F218</f>
        <v>0</v>
      </c>
      <c r="D221" s="3" t="str">
        <f t="shared" si="95"/>
        <v>T_REVENUES - Total Tenant Revenues</v>
      </c>
      <c r="E221"/>
      <c r="F221" s="22" t="str">
        <f>_xll.EVDES(D221)</f>
        <v>Total Tenant Revenues</v>
      </c>
      <c r="G221" s="18">
        <f ca="1">SUMIFS(OFFSET('BPC Data'!$F:$F,0,Summary!G$2),'BPC Data'!$E:$E,Summary!$D221,'BPC Data'!$B:$B,Summary!$C221)</f>
        <v>0</v>
      </c>
      <c r="H221" s="92">
        <f ca="1">SUMIFS(OFFSET('BPC Data'!$F:$F,0,Summary!H$2),'BPC Data'!$E:$E,Summary!$D221,'BPC Data'!$B:$B,Summary!$C221)</f>
        <v>0</v>
      </c>
      <c r="I221" s="18">
        <f ca="1">SUMIFS(OFFSET('BPC Data'!$F:$F,0,Summary!I$2),'BPC Data'!$E:$E,Summary!$D221,'BPC Data'!$B:$B,Summary!$C221)</f>
        <v>0</v>
      </c>
      <c r="J221" s="92">
        <f ca="1">SUMIFS(OFFSET('BPC Data'!$F:$F,0,Summary!J$2),'BPC Data'!$E:$E,Summary!$D221,'BPC Data'!$B:$B,Summary!$C221)</f>
        <v>0</v>
      </c>
      <c r="K221" s="18">
        <f ca="1">SUMIFS(OFFSET('BPC Data'!$F:$F,0,Summary!K$2),'BPC Data'!$E:$E,Summary!$D221,'BPC Data'!$B:$B,Summary!$C221)</f>
        <v>0</v>
      </c>
      <c r="L221" s="92">
        <f ca="1">SUMIFS(OFFSET('BPC Data'!$F:$F,0,Summary!L$2),'BPC Data'!$E:$E,Summary!$D221,'BPC Data'!$B:$B,Summary!$C221)</f>
        <v>0</v>
      </c>
      <c r="M221" s="32"/>
      <c r="N221" s="110"/>
      <c r="O221" s="106">
        <f t="shared" si="90"/>
        <v>0</v>
      </c>
    </row>
    <row r="222" spans="1:15" s="16" customFormat="1" hidden="1" outlineLevel="1" x14ac:dyDescent="0.25">
      <c r="A222" s="16">
        <f t="shared" si="99"/>
        <v>20</v>
      </c>
      <c r="B222"/>
      <c r="C222">
        <f>$F218</f>
        <v>0</v>
      </c>
      <c r="D222" s="3" t="str">
        <f t="shared" si="95"/>
        <v>T_OPEX - Tenant Operating Expenses</v>
      </c>
      <c r="E222"/>
      <c r="F222" s="22" t="str">
        <f>_xll.EVDES(D222)</f>
        <v>Tenant Operating Expenses</v>
      </c>
      <c r="G222" s="18">
        <f ca="1">SUMIFS(OFFSET('BPC Data'!$F:$F,0,Summary!G$2),'BPC Data'!$E:$E,Summary!$D222,'BPC Data'!$B:$B,Summary!$C222)</f>
        <v>0</v>
      </c>
      <c r="H222" s="92">
        <f ca="1">SUMIFS(OFFSET('BPC Data'!$F:$F,0,Summary!H$2),'BPC Data'!$E:$E,Summary!$D222,'BPC Data'!$B:$B,Summary!$C222)</f>
        <v>0</v>
      </c>
      <c r="I222" s="18">
        <f ca="1">SUMIFS(OFFSET('BPC Data'!$F:$F,0,Summary!I$2),'BPC Data'!$E:$E,Summary!$D222,'BPC Data'!$B:$B,Summary!$C222)</f>
        <v>0</v>
      </c>
      <c r="J222" s="92">
        <f ca="1">SUMIFS(OFFSET('BPC Data'!$F:$F,0,Summary!J$2),'BPC Data'!$E:$E,Summary!$D222,'BPC Data'!$B:$B,Summary!$C222)</f>
        <v>0</v>
      </c>
      <c r="K222" s="18">
        <f ca="1">SUMIFS(OFFSET('BPC Data'!$F:$F,0,Summary!K$2),'BPC Data'!$E:$E,Summary!$D222,'BPC Data'!$B:$B,Summary!$C222)</f>
        <v>0</v>
      </c>
      <c r="L222" s="92">
        <f ca="1">SUMIFS(OFFSET('BPC Data'!$F:$F,0,Summary!L$2),'BPC Data'!$E:$E,Summary!$D222,'BPC Data'!$B:$B,Summary!$C222)</f>
        <v>0</v>
      </c>
      <c r="M222" s="32"/>
      <c r="N222" s="110"/>
      <c r="O222" s="106">
        <f t="shared" si="90"/>
        <v>0</v>
      </c>
    </row>
    <row r="223" spans="1:15" s="16" customFormat="1" hidden="1" outlineLevel="1" x14ac:dyDescent="0.25">
      <c r="A223" s="16">
        <f t="shared" si="99"/>
        <v>20</v>
      </c>
      <c r="B223"/>
      <c r="C223">
        <f>$F218</f>
        <v>0</v>
      </c>
      <c r="D223" s="3" t="str">
        <f t="shared" si="95"/>
        <v>T_BAD_DEBT - Tenant Bad Debt Expense</v>
      </c>
      <c r="E223"/>
      <c r="F223" s="22" t="str">
        <f>_xll.EVDES(D223)</f>
        <v>Tenant Bad Debt Expense</v>
      </c>
      <c r="G223" s="18">
        <f ca="1">SUMIFS(OFFSET('BPC Data'!$F:$F,0,Summary!G$2),'BPC Data'!$E:$E,Summary!$D223,'BPC Data'!$B:$B,Summary!$C223)</f>
        <v>0</v>
      </c>
      <c r="H223" s="92">
        <f ca="1">SUMIFS(OFFSET('BPC Data'!$F:$F,0,Summary!H$2),'BPC Data'!$E:$E,Summary!$D223,'BPC Data'!$B:$B,Summary!$C223)</f>
        <v>0</v>
      </c>
      <c r="I223" s="18">
        <f ca="1">SUMIFS(OFFSET('BPC Data'!$F:$F,0,Summary!I$2),'BPC Data'!$E:$E,Summary!$D223,'BPC Data'!$B:$B,Summary!$C223)</f>
        <v>0</v>
      </c>
      <c r="J223" s="92">
        <f ca="1">SUMIFS(OFFSET('BPC Data'!$F:$F,0,Summary!J$2),'BPC Data'!$E:$E,Summary!$D223,'BPC Data'!$B:$B,Summary!$C223)</f>
        <v>0</v>
      </c>
      <c r="K223" s="18">
        <f ca="1">SUMIFS(OFFSET('BPC Data'!$F:$F,0,Summary!K$2),'BPC Data'!$E:$E,Summary!$D223,'BPC Data'!$B:$B,Summary!$C223)</f>
        <v>0</v>
      </c>
      <c r="L223" s="92">
        <f ca="1">SUMIFS(OFFSET('BPC Data'!$F:$F,0,Summary!L$2),'BPC Data'!$E:$E,Summary!$D223,'BPC Data'!$B:$B,Summary!$C223)</f>
        <v>0</v>
      </c>
      <c r="M223" s="32"/>
      <c r="N223" s="110"/>
      <c r="O223" s="106">
        <f t="shared" si="90"/>
        <v>0</v>
      </c>
    </row>
    <row r="224" spans="1:15" s="16" customFormat="1" hidden="1" outlineLevel="1" x14ac:dyDescent="0.25">
      <c r="A224" s="16">
        <f t="shared" si="99"/>
        <v>20</v>
      </c>
      <c r="B224"/>
      <c r="C224">
        <f>$F218</f>
        <v>0</v>
      </c>
      <c r="D224" s="2" t="str">
        <f t="shared" si="95"/>
        <v>T_EBITDARM - EBITDARM</v>
      </c>
      <c r="E224"/>
      <c r="F224" s="22" t="str">
        <f>_xll.EVDES(D224)</f>
        <v>EBITDARM</v>
      </c>
      <c r="G224" s="18">
        <f ca="1">SUMIFS(OFFSET('BPC Data'!$F:$F,0,Summary!G$2),'BPC Data'!$E:$E,Summary!$D224,'BPC Data'!$B:$B,Summary!$C224)</f>
        <v>0</v>
      </c>
      <c r="H224" s="92">
        <f ca="1">SUMIFS(OFFSET('BPC Data'!$F:$F,0,Summary!H$2),'BPC Data'!$E:$E,Summary!$D224,'BPC Data'!$B:$B,Summary!$C224)</f>
        <v>0</v>
      </c>
      <c r="I224" s="18">
        <f ca="1">SUMIFS(OFFSET('BPC Data'!$F:$F,0,Summary!I$2),'BPC Data'!$E:$E,Summary!$D224,'BPC Data'!$B:$B,Summary!$C224)</f>
        <v>0</v>
      </c>
      <c r="J224" s="92">
        <f ca="1">SUMIFS(OFFSET('BPC Data'!$F:$F,0,Summary!J$2),'BPC Data'!$E:$E,Summary!$D224,'BPC Data'!$B:$B,Summary!$C224)</f>
        <v>0</v>
      </c>
      <c r="K224" s="18">
        <f ca="1">SUMIFS(OFFSET('BPC Data'!$F:$F,0,Summary!K$2),'BPC Data'!$E:$E,Summary!$D224,'BPC Data'!$B:$B,Summary!$C224)</f>
        <v>0</v>
      </c>
      <c r="L224" s="92">
        <f ca="1">SUMIFS(OFFSET('BPC Data'!$F:$F,0,Summary!L$2),'BPC Data'!$E:$E,Summary!$D224,'BPC Data'!$B:$B,Summary!$C224)</f>
        <v>0</v>
      </c>
      <c r="M224" s="32"/>
      <c r="N224" s="110"/>
      <c r="O224" s="106">
        <f t="shared" si="90"/>
        <v>0</v>
      </c>
    </row>
    <row r="225" spans="1:15" s="16" customFormat="1" hidden="1" outlineLevel="1" x14ac:dyDescent="0.25">
      <c r="A225" s="16">
        <f t="shared" si="99"/>
        <v>20</v>
      </c>
      <c r="B225"/>
      <c r="C225">
        <f>$F218</f>
        <v>0</v>
      </c>
      <c r="D225" s="2" t="str">
        <f t="shared" si="95"/>
        <v>T_MGMT_FEE - Tenant Management Fee - Actual</v>
      </c>
      <c r="E225"/>
      <c r="F225" s="22" t="str">
        <f>_xll.EVDES(D225)</f>
        <v>Tenant Management Fee - Actual</v>
      </c>
      <c r="G225" s="18">
        <f ca="1">SUMIFS(OFFSET('BPC Data'!$F:$F,0,Summary!G$2),'BPC Data'!$E:$E,Summary!$D225,'BPC Data'!$B:$B,Summary!$C225)</f>
        <v>0</v>
      </c>
      <c r="H225" s="92">
        <f ca="1">SUMIFS(OFFSET('BPC Data'!$F:$F,0,Summary!H$2),'BPC Data'!$E:$E,Summary!$D225,'BPC Data'!$B:$B,Summary!$C225)</f>
        <v>0</v>
      </c>
      <c r="I225" s="18">
        <f ca="1">SUMIFS(OFFSET('BPC Data'!$F:$F,0,Summary!I$2),'BPC Data'!$E:$E,Summary!$D225,'BPC Data'!$B:$B,Summary!$C225)</f>
        <v>0</v>
      </c>
      <c r="J225" s="92">
        <f ca="1">SUMIFS(OFFSET('BPC Data'!$F:$F,0,Summary!J$2),'BPC Data'!$E:$E,Summary!$D225,'BPC Data'!$B:$B,Summary!$C225)</f>
        <v>0</v>
      </c>
      <c r="K225" s="18">
        <f ca="1">SUMIFS(OFFSET('BPC Data'!$F:$F,0,Summary!K$2),'BPC Data'!$E:$E,Summary!$D225,'BPC Data'!$B:$B,Summary!$C225)</f>
        <v>0</v>
      </c>
      <c r="L225" s="92">
        <f ca="1">SUMIFS(OFFSET('BPC Data'!$F:$F,0,Summary!L$2),'BPC Data'!$E:$E,Summary!$D225,'BPC Data'!$B:$B,Summary!$C225)</f>
        <v>0</v>
      </c>
      <c r="M225" s="32"/>
      <c r="N225" s="110"/>
      <c r="O225" s="106">
        <f t="shared" si="90"/>
        <v>0</v>
      </c>
    </row>
    <row r="226" spans="1:15" s="16" customFormat="1" hidden="1" outlineLevel="1" x14ac:dyDescent="0.25">
      <c r="A226" s="16">
        <f t="shared" si="99"/>
        <v>20</v>
      </c>
      <c r="B226"/>
      <c r="C226">
        <f>$F218</f>
        <v>0</v>
      </c>
      <c r="D226" s="1" t="str">
        <f t="shared" si="95"/>
        <v>T_EBITDAR - EBITDAR</v>
      </c>
      <c r="E226"/>
      <c r="F226" s="22" t="str">
        <f>_xll.EVDES(D226)</f>
        <v>EBITDAR</v>
      </c>
      <c r="G226" s="18">
        <f ca="1">SUMIFS(OFFSET('BPC Data'!$F:$F,0,Summary!G$2),'BPC Data'!$E:$E,Summary!$D226,'BPC Data'!$B:$B,Summary!$C226)</f>
        <v>0</v>
      </c>
      <c r="H226" s="92">
        <f ca="1">SUMIFS(OFFSET('BPC Data'!$F:$F,0,Summary!H$2),'BPC Data'!$E:$E,Summary!$D226,'BPC Data'!$B:$B,Summary!$C226)</f>
        <v>0</v>
      </c>
      <c r="I226" s="18">
        <f ca="1">SUMIFS(OFFSET('BPC Data'!$F:$F,0,Summary!I$2),'BPC Data'!$E:$E,Summary!$D226,'BPC Data'!$B:$B,Summary!$C226)</f>
        <v>0</v>
      </c>
      <c r="J226" s="92">
        <f ca="1">SUMIFS(OFFSET('BPC Data'!$F:$F,0,Summary!J$2),'BPC Data'!$E:$E,Summary!$D226,'BPC Data'!$B:$B,Summary!$C226)</f>
        <v>0</v>
      </c>
      <c r="K226" s="18">
        <f ca="1">SUMIFS(OFFSET('BPC Data'!$F:$F,0,Summary!K$2),'BPC Data'!$E:$E,Summary!$D226,'BPC Data'!$B:$B,Summary!$C226)</f>
        <v>0</v>
      </c>
      <c r="L226" s="92">
        <f ca="1">SUMIFS(OFFSET('BPC Data'!$F:$F,0,Summary!L$2),'BPC Data'!$E:$E,Summary!$D226,'BPC Data'!$B:$B,Summary!$C226)</f>
        <v>0</v>
      </c>
      <c r="M226" s="32"/>
      <c r="N226" s="110"/>
      <c r="O226" s="106">
        <f t="shared" si="90"/>
        <v>0</v>
      </c>
    </row>
    <row r="227" spans="1:15" s="16" customFormat="1" hidden="1" outlineLevel="1" x14ac:dyDescent="0.25">
      <c r="A227" s="16">
        <f t="shared" si="99"/>
        <v>20</v>
      </c>
      <c r="B227"/>
      <c r="C227">
        <f>$F218</f>
        <v>0</v>
      </c>
      <c r="D227" s="1" t="str">
        <f t="shared" si="95"/>
        <v>T_RENT_EXP - Tenant Rent Expense</v>
      </c>
      <c r="E227"/>
      <c r="F227" s="22" t="str">
        <f>_xll.EVDES(D227)</f>
        <v>Tenant Rent Expense</v>
      </c>
      <c r="G227" s="18">
        <f ca="1">SUMIFS(OFFSET('BPC Data'!$F:$F,0,Summary!G$2),'BPC Data'!$E:$E,Summary!$D227,'BPC Data'!$B:$B,Summary!$C227)</f>
        <v>0</v>
      </c>
      <c r="H227" s="92">
        <f ca="1">SUMIFS(OFFSET('BPC Data'!$F:$F,0,Summary!H$2),'BPC Data'!$E:$E,Summary!$D227,'BPC Data'!$B:$B,Summary!$C227)</f>
        <v>0</v>
      </c>
      <c r="I227" s="18">
        <f ca="1">SUMIFS(OFFSET('BPC Data'!$F:$F,0,Summary!I$2),'BPC Data'!$E:$E,Summary!$D227,'BPC Data'!$B:$B,Summary!$C227)</f>
        <v>0</v>
      </c>
      <c r="J227" s="92">
        <f ca="1">SUMIFS(OFFSET('BPC Data'!$F:$F,0,Summary!J$2),'BPC Data'!$E:$E,Summary!$D227,'BPC Data'!$B:$B,Summary!$C227)</f>
        <v>0</v>
      </c>
      <c r="K227" s="18">
        <f ca="1">SUMIFS(OFFSET('BPC Data'!$F:$F,0,Summary!K$2),'BPC Data'!$E:$E,Summary!$D227,'BPC Data'!$B:$B,Summary!$C227)</f>
        <v>0</v>
      </c>
      <c r="L227" s="92">
        <f ca="1">SUMIFS(OFFSET('BPC Data'!$F:$F,0,Summary!L$2),'BPC Data'!$E:$E,Summary!$D227,'BPC Data'!$B:$B,Summary!$C227)</f>
        <v>0</v>
      </c>
      <c r="M227" s="32"/>
      <c r="N227" s="110"/>
      <c r="O227" s="106">
        <f t="shared" si="90"/>
        <v>0</v>
      </c>
    </row>
    <row r="228" spans="1:15" s="16" customFormat="1" hidden="1" outlineLevel="1" x14ac:dyDescent="0.25">
      <c r="A228" s="16">
        <f t="shared" si="99"/>
        <v>20</v>
      </c>
      <c r="B228"/>
      <c r="C228"/>
      <c r="D228" s="1" t="str">
        <f t="shared" si="95"/>
        <v>x</v>
      </c>
      <c r="E228"/>
      <c r="F228" s="22" t="s">
        <v>0</v>
      </c>
      <c r="G228" s="11" t="e">
        <f t="shared" ref="G228:H228" ca="1" si="100">G226/G227</f>
        <v>#DIV/0!</v>
      </c>
      <c r="H228" s="93" t="e">
        <f t="shared" ca="1" si="100"/>
        <v>#DIV/0!</v>
      </c>
      <c r="I228" s="11" t="e">
        <f t="shared" ref="I228:J228" ca="1" si="101">I226/I227</f>
        <v>#DIV/0!</v>
      </c>
      <c r="J228" s="93" t="e">
        <f t="shared" ca="1" si="101"/>
        <v>#DIV/0!</v>
      </c>
      <c r="K228" s="11" t="e">
        <f t="shared" ref="K228:L228" ca="1" si="102">K226/K227</f>
        <v>#DIV/0!</v>
      </c>
      <c r="L228" s="93" t="e">
        <f t="shared" ca="1" si="102"/>
        <v>#DIV/0!</v>
      </c>
      <c r="M228" s="32"/>
      <c r="N228" s="110"/>
      <c r="O228" s="106">
        <f t="shared" si="90"/>
        <v>0</v>
      </c>
    </row>
    <row r="229" spans="1:15" s="16" customFormat="1" hidden="1" outlineLevel="1" x14ac:dyDescent="0.25">
      <c r="A229" s="16">
        <f>IF(AND(D229&lt;&gt;"",C229=""),A228+1,A228)</f>
        <v>21</v>
      </c>
      <c r="B229" s="4"/>
      <c r="C229" s="4"/>
      <c r="D229" s="4" t="str">
        <f t="shared" si="95"/>
        <v>x</v>
      </c>
      <c r="E229" s="4"/>
      <c r="F229" s="21">
        <f>INDEX(PropertyList!$D:$D,MATCH(Summary!$A229,PropertyList!$C:$C,0))</f>
        <v>0</v>
      </c>
      <c r="G229" s="10"/>
      <c r="H229" s="91"/>
      <c r="I229" s="10"/>
      <c r="J229" s="91"/>
      <c r="K229" s="10"/>
      <c r="L229" s="91"/>
      <c r="M229" s="32"/>
      <c r="N229" s="110"/>
      <c r="O229" s="106">
        <f t="shared" si="90"/>
        <v>0</v>
      </c>
    </row>
    <row r="230" spans="1:15" s="16" customFormat="1" hidden="1" outlineLevel="1" x14ac:dyDescent="0.25">
      <c r="A230" s="16">
        <f>IF(AND(F230&lt;&gt;"",D230=""),A229+1,A229)</f>
        <v>21</v>
      </c>
      <c r="C230">
        <f>$F229</f>
        <v>0</v>
      </c>
      <c r="D230" s="3" t="str">
        <f t="shared" si="95"/>
        <v>PAY_PAT_DAYS - Total Payor Patient Days</v>
      </c>
      <c r="F230" s="22" t="str">
        <f>_xll.EVDES(D230)</f>
        <v>Total Payor Patient Days</v>
      </c>
      <c r="G230" s="18">
        <f ca="1">SUMIFS(OFFSET('BPC Data'!$F:$F,0,Summary!G$2),'BPC Data'!$E:$E,Summary!$D230,'BPC Data'!$B:$B,Summary!$C230)</f>
        <v>0</v>
      </c>
      <c r="H230" s="92">
        <f ca="1">SUMIFS(OFFSET('BPC Data'!$F:$F,0,Summary!H$2),'BPC Data'!$E:$E,Summary!$D230,'BPC Data'!$B:$B,Summary!$C230)</f>
        <v>0</v>
      </c>
      <c r="I230" s="18">
        <f ca="1">SUMIFS(OFFSET('BPC Data'!$F:$F,0,Summary!I$2),'BPC Data'!$E:$E,Summary!$D230,'BPC Data'!$B:$B,Summary!$C230)</f>
        <v>0</v>
      </c>
      <c r="J230" s="92">
        <f ca="1">SUMIFS(OFFSET('BPC Data'!$F:$F,0,Summary!J$2),'BPC Data'!$E:$E,Summary!$D230,'BPC Data'!$B:$B,Summary!$C230)</f>
        <v>0</v>
      </c>
      <c r="K230" s="18">
        <f ca="1">SUMIFS(OFFSET('BPC Data'!$F:$F,0,Summary!K$2),'BPC Data'!$E:$E,Summary!$D230,'BPC Data'!$B:$B,Summary!$C230)</f>
        <v>0</v>
      </c>
      <c r="L230" s="92">
        <f ca="1">SUMIFS(OFFSET('BPC Data'!$F:$F,0,Summary!L$2),'BPC Data'!$E:$E,Summary!$D230,'BPC Data'!$B:$B,Summary!$C230)</f>
        <v>0</v>
      </c>
      <c r="M230" s="32"/>
      <c r="N230" s="110"/>
      <c r="O230" s="106">
        <f t="shared" si="90"/>
        <v>0</v>
      </c>
    </row>
    <row r="231" spans="1:15" s="16" customFormat="1" hidden="1" outlineLevel="1" x14ac:dyDescent="0.25">
      <c r="A231" s="16">
        <f t="shared" ref="A231:A239" si="103">IF(AND(F231&lt;&gt;"",D231=""),A230+1,A230)</f>
        <v>21</v>
      </c>
      <c r="C231">
        <f>$F229</f>
        <v>0</v>
      </c>
      <c r="D231" s="3" t="str">
        <f t="shared" si="95"/>
        <v>A_BEDS_TOTAL - Total Available Beds</v>
      </c>
      <c r="F231" s="22" t="str">
        <f>_xll.EVDES(D231)</f>
        <v>Total Available Beds</v>
      </c>
      <c r="G231" s="18">
        <f ca="1">SUMIFS(OFFSET('BPC Data'!$F:$F,0,Summary!G$2),'BPC Data'!$E:$E,Summary!$D231,'BPC Data'!$B:$B,Summary!$C231)</f>
        <v>0</v>
      </c>
      <c r="H231" s="92">
        <f ca="1">SUMIFS(OFFSET('BPC Data'!$F:$F,0,Summary!H$2),'BPC Data'!$E:$E,Summary!$D231,'BPC Data'!$B:$B,Summary!$C231)</f>
        <v>0</v>
      </c>
      <c r="I231" s="18">
        <f ca="1">SUMIFS(OFFSET('BPC Data'!$F:$F,0,Summary!I$2),'BPC Data'!$E:$E,Summary!$D231,'BPC Data'!$B:$B,Summary!$C231)</f>
        <v>0</v>
      </c>
      <c r="J231" s="92">
        <f ca="1">SUMIFS(OFFSET('BPC Data'!$F:$F,0,Summary!J$2),'BPC Data'!$E:$E,Summary!$D231,'BPC Data'!$B:$B,Summary!$C231)</f>
        <v>0</v>
      </c>
      <c r="K231" s="18">
        <f ca="1">SUMIFS(OFFSET('BPC Data'!$F:$F,0,Summary!K$2),'BPC Data'!$E:$E,Summary!$D231,'BPC Data'!$B:$B,Summary!$C231)</f>
        <v>0</v>
      </c>
      <c r="L231" s="92">
        <f ca="1">SUMIFS(OFFSET('BPC Data'!$F:$F,0,Summary!L$2),'BPC Data'!$E:$E,Summary!$D231,'BPC Data'!$B:$B,Summary!$C231)</f>
        <v>0</v>
      </c>
      <c r="M231" s="32"/>
      <c r="N231" s="110"/>
      <c r="O231" s="106">
        <f t="shared" si="90"/>
        <v>0</v>
      </c>
    </row>
    <row r="232" spans="1:15" s="16" customFormat="1" hidden="1" outlineLevel="1" x14ac:dyDescent="0.25">
      <c r="A232" s="16">
        <f t="shared" si="103"/>
        <v>21</v>
      </c>
      <c r="B232"/>
      <c r="C232">
        <f>$F229</f>
        <v>0</v>
      </c>
      <c r="D232" s="3" t="str">
        <f t="shared" si="95"/>
        <v>T_REVENUES - Total Tenant Revenues</v>
      </c>
      <c r="E232"/>
      <c r="F232" s="22" t="str">
        <f>_xll.EVDES(D232)</f>
        <v>Total Tenant Revenues</v>
      </c>
      <c r="G232" s="18">
        <f ca="1">SUMIFS(OFFSET('BPC Data'!$F:$F,0,Summary!G$2),'BPC Data'!$E:$E,Summary!$D232,'BPC Data'!$B:$B,Summary!$C232)</f>
        <v>0</v>
      </c>
      <c r="H232" s="92">
        <f ca="1">SUMIFS(OFFSET('BPC Data'!$F:$F,0,Summary!H$2),'BPC Data'!$E:$E,Summary!$D232,'BPC Data'!$B:$B,Summary!$C232)</f>
        <v>0</v>
      </c>
      <c r="I232" s="18">
        <f ca="1">SUMIFS(OFFSET('BPC Data'!$F:$F,0,Summary!I$2),'BPC Data'!$E:$E,Summary!$D232,'BPC Data'!$B:$B,Summary!$C232)</f>
        <v>0</v>
      </c>
      <c r="J232" s="92">
        <f ca="1">SUMIFS(OFFSET('BPC Data'!$F:$F,0,Summary!J$2),'BPC Data'!$E:$E,Summary!$D232,'BPC Data'!$B:$B,Summary!$C232)</f>
        <v>0</v>
      </c>
      <c r="K232" s="18">
        <f ca="1">SUMIFS(OFFSET('BPC Data'!$F:$F,0,Summary!K$2),'BPC Data'!$E:$E,Summary!$D232,'BPC Data'!$B:$B,Summary!$C232)</f>
        <v>0</v>
      </c>
      <c r="L232" s="92">
        <f ca="1">SUMIFS(OFFSET('BPC Data'!$F:$F,0,Summary!L$2),'BPC Data'!$E:$E,Summary!$D232,'BPC Data'!$B:$B,Summary!$C232)</f>
        <v>0</v>
      </c>
      <c r="M232" s="32"/>
      <c r="N232" s="110"/>
      <c r="O232" s="106">
        <f t="shared" si="90"/>
        <v>0</v>
      </c>
    </row>
    <row r="233" spans="1:15" s="16" customFormat="1" hidden="1" outlineLevel="1" x14ac:dyDescent="0.25">
      <c r="A233" s="16">
        <f t="shared" si="103"/>
        <v>21</v>
      </c>
      <c r="B233"/>
      <c r="C233">
        <f>$F229</f>
        <v>0</v>
      </c>
      <c r="D233" s="3" t="str">
        <f t="shared" si="95"/>
        <v>T_OPEX - Tenant Operating Expenses</v>
      </c>
      <c r="E233"/>
      <c r="F233" s="22" t="str">
        <f>_xll.EVDES(D233)</f>
        <v>Tenant Operating Expenses</v>
      </c>
      <c r="G233" s="18">
        <f ca="1">SUMIFS(OFFSET('BPC Data'!$F:$F,0,Summary!G$2),'BPC Data'!$E:$E,Summary!$D233,'BPC Data'!$B:$B,Summary!$C233)</f>
        <v>0</v>
      </c>
      <c r="H233" s="92">
        <f ca="1">SUMIFS(OFFSET('BPC Data'!$F:$F,0,Summary!H$2),'BPC Data'!$E:$E,Summary!$D233,'BPC Data'!$B:$B,Summary!$C233)</f>
        <v>0</v>
      </c>
      <c r="I233" s="18">
        <f ca="1">SUMIFS(OFFSET('BPC Data'!$F:$F,0,Summary!I$2),'BPC Data'!$E:$E,Summary!$D233,'BPC Data'!$B:$B,Summary!$C233)</f>
        <v>0</v>
      </c>
      <c r="J233" s="92">
        <f ca="1">SUMIFS(OFFSET('BPC Data'!$F:$F,0,Summary!J$2),'BPC Data'!$E:$E,Summary!$D233,'BPC Data'!$B:$B,Summary!$C233)</f>
        <v>0</v>
      </c>
      <c r="K233" s="18">
        <f ca="1">SUMIFS(OFFSET('BPC Data'!$F:$F,0,Summary!K$2),'BPC Data'!$E:$E,Summary!$D233,'BPC Data'!$B:$B,Summary!$C233)</f>
        <v>0</v>
      </c>
      <c r="L233" s="92">
        <f ca="1">SUMIFS(OFFSET('BPC Data'!$F:$F,0,Summary!L$2),'BPC Data'!$E:$E,Summary!$D233,'BPC Data'!$B:$B,Summary!$C233)</f>
        <v>0</v>
      </c>
      <c r="M233" s="32"/>
      <c r="N233" s="110"/>
      <c r="O233" s="106">
        <f t="shared" si="90"/>
        <v>0</v>
      </c>
    </row>
    <row r="234" spans="1:15" s="16" customFormat="1" hidden="1" outlineLevel="1" x14ac:dyDescent="0.25">
      <c r="A234" s="16">
        <f t="shared" si="103"/>
        <v>21</v>
      </c>
      <c r="B234"/>
      <c r="C234">
        <f>$F229</f>
        <v>0</v>
      </c>
      <c r="D234" s="3" t="str">
        <f t="shared" si="95"/>
        <v>T_BAD_DEBT - Tenant Bad Debt Expense</v>
      </c>
      <c r="E234"/>
      <c r="F234" s="22" t="str">
        <f>_xll.EVDES(D234)</f>
        <v>Tenant Bad Debt Expense</v>
      </c>
      <c r="G234" s="18">
        <f ca="1">SUMIFS(OFFSET('BPC Data'!$F:$F,0,Summary!G$2),'BPC Data'!$E:$E,Summary!$D234,'BPC Data'!$B:$B,Summary!$C234)</f>
        <v>0</v>
      </c>
      <c r="H234" s="92">
        <f ca="1">SUMIFS(OFFSET('BPC Data'!$F:$F,0,Summary!H$2),'BPC Data'!$E:$E,Summary!$D234,'BPC Data'!$B:$B,Summary!$C234)</f>
        <v>0</v>
      </c>
      <c r="I234" s="18">
        <f ca="1">SUMIFS(OFFSET('BPC Data'!$F:$F,0,Summary!I$2),'BPC Data'!$E:$E,Summary!$D234,'BPC Data'!$B:$B,Summary!$C234)</f>
        <v>0</v>
      </c>
      <c r="J234" s="92">
        <f ca="1">SUMIFS(OFFSET('BPC Data'!$F:$F,0,Summary!J$2),'BPC Data'!$E:$E,Summary!$D234,'BPC Data'!$B:$B,Summary!$C234)</f>
        <v>0</v>
      </c>
      <c r="K234" s="18">
        <f ca="1">SUMIFS(OFFSET('BPC Data'!$F:$F,0,Summary!K$2),'BPC Data'!$E:$E,Summary!$D234,'BPC Data'!$B:$B,Summary!$C234)</f>
        <v>0</v>
      </c>
      <c r="L234" s="92">
        <f ca="1">SUMIFS(OFFSET('BPC Data'!$F:$F,0,Summary!L$2),'BPC Data'!$E:$E,Summary!$D234,'BPC Data'!$B:$B,Summary!$C234)</f>
        <v>0</v>
      </c>
      <c r="M234" s="32"/>
      <c r="N234" s="110"/>
      <c r="O234" s="106">
        <f t="shared" si="90"/>
        <v>0</v>
      </c>
    </row>
    <row r="235" spans="1:15" s="16" customFormat="1" hidden="1" outlineLevel="1" x14ac:dyDescent="0.25">
      <c r="A235" s="16">
        <f t="shared" si="103"/>
        <v>21</v>
      </c>
      <c r="B235"/>
      <c r="C235">
        <f>$F229</f>
        <v>0</v>
      </c>
      <c r="D235" s="2" t="str">
        <f t="shared" si="95"/>
        <v>T_EBITDARM - EBITDARM</v>
      </c>
      <c r="E235"/>
      <c r="F235" s="22" t="str">
        <f>_xll.EVDES(D235)</f>
        <v>EBITDARM</v>
      </c>
      <c r="G235" s="18">
        <f ca="1">SUMIFS(OFFSET('BPC Data'!$F:$F,0,Summary!G$2),'BPC Data'!$E:$E,Summary!$D235,'BPC Data'!$B:$B,Summary!$C235)</f>
        <v>0</v>
      </c>
      <c r="H235" s="92">
        <f ca="1">SUMIFS(OFFSET('BPC Data'!$F:$F,0,Summary!H$2),'BPC Data'!$E:$E,Summary!$D235,'BPC Data'!$B:$B,Summary!$C235)</f>
        <v>0</v>
      </c>
      <c r="I235" s="18">
        <f ca="1">SUMIFS(OFFSET('BPC Data'!$F:$F,0,Summary!I$2),'BPC Data'!$E:$E,Summary!$D235,'BPC Data'!$B:$B,Summary!$C235)</f>
        <v>0</v>
      </c>
      <c r="J235" s="92">
        <f ca="1">SUMIFS(OFFSET('BPC Data'!$F:$F,0,Summary!J$2),'BPC Data'!$E:$E,Summary!$D235,'BPC Data'!$B:$B,Summary!$C235)</f>
        <v>0</v>
      </c>
      <c r="K235" s="18">
        <f ca="1">SUMIFS(OFFSET('BPC Data'!$F:$F,0,Summary!K$2),'BPC Data'!$E:$E,Summary!$D235,'BPC Data'!$B:$B,Summary!$C235)</f>
        <v>0</v>
      </c>
      <c r="L235" s="92">
        <f ca="1">SUMIFS(OFFSET('BPC Data'!$F:$F,0,Summary!L$2),'BPC Data'!$E:$E,Summary!$D235,'BPC Data'!$B:$B,Summary!$C235)</f>
        <v>0</v>
      </c>
      <c r="M235" s="32"/>
      <c r="N235" s="110"/>
      <c r="O235" s="106">
        <f t="shared" si="90"/>
        <v>0</v>
      </c>
    </row>
    <row r="236" spans="1:15" s="16" customFormat="1" hidden="1" outlineLevel="1" x14ac:dyDescent="0.25">
      <c r="A236" s="16">
        <f t="shared" si="103"/>
        <v>21</v>
      </c>
      <c r="B236"/>
      <c r="C236">
        <f>$F229</f>
        <v>0</v>
      </c>
      <c r="D236" s="2" t="str">
        <f t="shared" si="95"/>
        <v>T_MGMT_FEE - Tenant Management Fee - Actual</v>
      </c>
      <c r="E236"/>
      <c r="F236" s="22" t="str">
        <f>_xll.EVDES(D236)</f>
        <v>Tenant Management Fee - Actual</v>
      </c>
      <c r="G236" s="18">
        <f ca="1">SUMIFS(OFFSET('BPC Data'!$F:$F,0,Summary!G$2),'BPC Data'!$E:$E,Summary!$D236,'BPC Data'!$B:$B,Summary!$C236)</f>
        <v>0</v>
      </c>
      <c r="H236" s="92">
        <f ca="1">SUMIFS(OFFSET('BPC Data'!$F:$F,0,Summary!H$2),'BPC Data'!$E:$E,Summary!$D236,'BPC Data'!$B:$B,Summary!$C236)</f>
        <v>0</v>
      </c>
      <c r="I236" s="18">
        <f ca="1">SUMIFS(OFFSET('BPC Data'!$F:$F,0,Summary!I$2),'BPC Data'!$E:$E,Summary!$D236,'BPC Data'!$B:$B,Summary!$C236)</f>
        <v>0</v>
      </c>
      <c r="J236" s="92">
        <f ca="1">SUMIFS(OFFSET('BPC Data'!$F:$F,0,Summary!J$2),'BPC Data'!$E:$E,Summary!$D236,'BPC Data'!$B:$B,Summary!$C236)</f>
        <v>0</v>
      </c>
      <c r="K236" s="18">
        <f ca="1">SUMIFS(OFFSET('BPC Data'!$F:$F,0,Summary!K$2),'BPC Data'!$E:$E,Summary!$D236,'BPC Data'!$B:$B,Summary!$C236)</f>
        <v>0</v>
      </c>
      <c r="L236" s="92">
        <f ca="1">SUMIFS(OFFSET('BPC Data'!$F:$F,0,Summary!L$2),'BPC Data'!$E:$E,Summary!$D236,'BPC Data'!$B:$B,Summary!$C236)</f>
        <v>0</v>
      </c>
      <c r="M236" s="32"/>
      <c r="N236" s="110"/>
      <c r="O236" s="106">
        <f t="shared" si="90"/>
        <v>0</v>
      </c>
    </row>
    <row r="237" spans="1:15" s="16" customFormat="1" hidden="1" outlineLevel="1" x14ac:dyDescent="0.25">
      <c r="A237" s="16">
        <f t="shared" si="103"/>
        <v>21</v>
      </c>
      <c r="B237"/>
      <c r="C237">
        <f>$F229</f>
        <v>0</v>
      </c>
      <c r="D237" s="1" t="str">
        <f t="shared" si="95"/>
        <v>T_EBITDAR - EBITDAR</v>
      </c>
      <c r="E237"/>
      <c r="F237" s="22" t="str">
        <f>_xll.EVDES(D237)</f>
        <v>EBITDAR</v>
      </c>
      <c r="G237" s="18">
        <f ca="1">SUMIFS(OFFSET('BPC Data'!$F:$F,0,Summary!G$2),'BPC Data'!$E:$E,Summary!$D237,'BPC Data'!$B:$B,Summary!$C237)</f>
        <v>0</v>
      </c>
      <c r="H237" s="92">
        <f ca="1">SUMIFS(OFFSET('BPC Data'!$F:$F,0,Summary!H$2),'BPC Data'!$E:$E,Summary!$D237,'BPC Data'!$B:$B,Summary!$C237)</f>
        <v>0</v>
      </c>
      <c r="I237" s="18">
        <f ca="1">SUMIFS(OFFSET('BPC Data'!$F:$F,0,Summary!I$2),'BPC Data'!$E:$E,Summary!$D237,'BPC Data'!$B:$B,Summary!$C237)</f>
        <v>0</v>
      </c>
      <c r="J237" s="92">
        <f ca="1">SUMIFS(OFFSET('BPC Data'!$F:$F,0,Summary!J$2),'BPC Data'!$E:$E,Summary!$D237,'BPC Data'!$B:$B,Summary!$C237)</f>
        <v>0</v>
      </c>
      <c r="K237" s="18">
        <f ca="1">SUMIFS(OFFSET('BPC Data'!$F:$F,0,Summary!K$2),'BPC Data'!$E:$E,Summary!$D237,'BPC Data'!$B:$B,Summary!$C237)</f>
        <v>0</v>
      </c>
      <c r="L237" s="92">
        <f ca="1">SUMIFS(OFFSET('BPC Data'!$F:$F,0,Summary!L$2),'BPC Data'!$E:$E,Summary!$D237,'BPC Data'!$B:$B,Summary!$C237)</f>
        <v>0</v>
      </c>
      <c r="M237" s="32"/>
      <c r="N237" s="110"/>
      <c r="O237" s="106">
        <f t="shared" si="90"/>
        <v>0</v>
      </c>
    </row>
    <row r="238" spans="1:15" s="16" customFormat="1" hidden="1" outlineLevel="1" x14ac:dyDescent="0.25">
      <c r="A238" s="16">
        <f t="shared" si="103"/>
        <v>21</v>
      </c>
      <c r="B238"/>
      <c r="C238">
        <f>$F229</f>
        <v>0</v>
      </c>
      <c r="D238" s="1" t="str">
        <f t="shared" si="95"/>
        <v>T_RENT_EXP - Tenant Rent Expense</v>
      </c>
      <c r="E238"/>
      <c r="F238" s="22" t="str">
        <f>_xll.EVDES(D238)</f>
        <v>Tenant Rent Expense</v>
      </c>
      <c r="G238" s="18">
        <f ca="1">SUMIFS(OFFSET('BPC Data'!$F:$F,0,Summary!G$2),'BPC Data'!$E:$E,Summary!$D238,'BPC Data'!$B:$B,Summary!$C238)</f>
        <v>0</v>
      </c>
      <c r="H238" s="92">
        <f ca="1">SUMIFS(OFFSET('BPC Data'!$F:$F,0,Summary!H$2),'BPC Data'!$E:$E,Summary!$D238,'BPC Data'!$B:$B,Summary!$C238)</f>
        <v>0</v>
      </c>
      <c r="I238" s="18">
        <f ca="1">SUMIFS(OFFSET('BPC Data'!$F:$F,0,Summary!I$2),'BPC Data'!$E:$E,Summary!$D238,'BPC Data'!$B:$B,Summary!$C238)</f>
        <v>0</v>
      </c>
      <c r="J238" s="92">
        <f ca="1">SUMIFS(OFFSET('BPC Data'!$F:$F,0,Summary!J$2),'BPC Data'!$E:$E,Summary!$D238,'BPC Data'!$B:$B,Summary!$C238)</f>
        <v>0</v>
      </c>
      <c r="K238" s="18">
        <f ca="1">SUMIFS(OFFSET('BPC Data'!$F:$F,0,Summary!K$2),'BPC Data'!$E:$E,Summary!$D238,'BPC Data'!$B:$B,Summary!$C238)</f>
        <v>0</v>
      </c>
      <c r="L238" s="92">
        <f ca="1">SUMIFS(OFFSET('BPC Data'!$F:$F,0,Summary!L$2),'BPC Data'!$E:$E,Summary!$D238,'BPC Data'!$B:$B,Summary!$C238)</f>
        <v>0</v>
      </c>
      <c r="M238" s="32"/>
      <c r="N238" s="110"/>
      <c r="O238" s="106">
        <f t="shared" si="90"/>
        <v>0</v>
      </c>
    </row>
    <row r="239" spans="1:15" s="16" customFormat="1" hidden="1" outlineLevel="1" x14ac:dyDescent="0.25">
      <c r="A239" s="16">
        <f t="shared" si="103"/>
        <v>21</v>
      </c>
      <c r="B239"/>
      <c r="C239"/>
      <c r="D239" s="1" t="str">
        <f t="shared" si="95"/>
        <v>x</v>
      </c>
      <c r="E239"/>
      <c r="F239" s="22" t="s">
        <v>0</v>
      </c>
      <c r="G239" s="11" t="e">
        <f t="shared" ref="G239:H239" ca="1" si="104">G237/G238</f>
        <v>#DIV/0!</v>
      </c>
      <c r="H239" s="93" t="e">
        <f t="shared" ca="1" si="104"/>
        <v>#DIV/0!</v>
      </c>
      <c r="I239" s="11" t="e">
        <f t="shared" ref="I239:J239" ca="1" si="105">I237/I238</f>
        <v>#DIV/0!</v>
      </c>
      <c r="J239" s="93" t="e">
        <f t="shared" ca="1" si="105"/>
        <v>#DIV/0!</v>
      </c>
      <c r="K239" s="11" t="e">
        <f t="shared" ref="K239:L239" ca="1" si="106">K237/K238</f>
        <v>#DIV/0!</v>
      </c>
      <c r="L239" s="93" t="e">
        <f t="shared" ca="1" si="106"/>
        <v>#DIV/0!</v>
      </c>
      <c r="M239" s="32"/>
      <c r="N239" s="110"/>
      <c r="O239" s="106">
        <f t="shared" si="90"/>
        <v>0</v>
      </c>
    </row>
    <row r="240" spans="1:15" s="16" customFormat="1" hidden="1" outlineLevel="1" x14ac:dyDescent="0.25">
      <c r="A240" s="16">
        <f>IF(AND(D240&lt;&gt;"",C240=""),A239+1,A239)</f>
        <v>22</v>
      </c>
      <c r="B240" s="4"/>
      <c r="C240" s="4"/>
      <c r="D240" s="4" t="str">
        <f t="shared" si="95"/>
        <v>x</v>
      </c>
      <c r="E240" s="4"/>
      <c r="F240" s="21">
        <f>INDEX(PropertyList!$D:$D,MATCH(Summary!$A240,PropertyList!$C:$C,0))</f>
        <v>0</v>
      </c>
      <c r="G240" s="10"/>
      <c r="H240" s="91"/>
      <c r="I240" s="10"/>
      <c r="J240" s="91"/>
      <c r="K240" s="10"/>
      <c r="L240" s="91"/>
      <c r="M240" s="32"/>
      <c r="N240" s="110"/>
      <c r="O240" s="106">
        <f t="shared" si="90"/>
        <v>0</v>
      </c>
    </row>
    <row r="241" spans="1:15" s="16" customFormat="1" hidden="1" outlineLevel="1" x14ac:dyDescent="0.25">
      <c r="A241" s="16">
        <f>IF(AND(F241&lt;&gt;"",D241=""),A240+1,A240)</f>
        <v>22</v>
      </c>
      <c r="C241">
        <f>$F240</f>
        <v>0</v>
      </c>
      <c r="D241" s="3" t="str">
        <f t="shared" si="95"/>
        <v>PAY_PAT_DAYS - Total Payor Patient Days</v>
      </c>
      <c r="F241" s="22" t="str">
        <f>_xll.EVDES(D241)</f>
        <v>Total Payor Patient Days</v>
      </c>
      <c r="G241" s="18">
        <f ca="1">SUMIFS(OFFSET('BPC Data'!$F:$F,0,Summary!G$2),'BPC Data'!$E:$E,Summary!$D241,'BPC Data'!$B:$B,Summary!$C241)</f>
        <v>0</v>
      </c>
      <c r="H241" s="92">
        <f ca="1">SUMIFS(OFFSET('BPC Data'!$F:$F,0,Summary!H$2),'BPC Data'!$E:$E,Summary!$D241,'BPC Data'!$B:$B,Summary!$C241)</f>
        <v>0</v>
      </c>
      <c r="I241" s="18">
        <f ca="1">SUMIFS(OFFSET('BPC Data'!$F:$F,0,Summary!I$2),'BPC Data'!$E:$E,Summary!$D241,'BPC Data'!$B:$B,Summary!$C241)</f>
        <v>0</v>
      </c>
      <c r="J241" s="92">
        <f ca="1">SUMIFS(OFFSET('BPC Data'!$F:$F,0,Summary!J$2),'BPC Data'!$E:$E,Summary!$D241,'BPC Data'!$B:$B,Summary!$C241)</f>
        <v>0</v>
      </c>
      <c r="K241" s="18">
        <f ca="1">SUMIFS(OFFSET('BPC Data'!$F:$F,0,Summary!K$2),'BPC Data'!$E:$E,Summary!$D241,'BPC Data'!$B:$B,Summary!$C241)</f>
        <v>0</v>
      </c>
      <c r="L241" s="92">
        <f ca="1">SUMIFS(OFFSET('BPC Data'!$F:$F,0,Summary!L$2),'BPC Data'!$E:$E,Summary!$D241,'BPC Data'!$B:$B,Summary!$C241)</f>
        <v>0</v>
      </c>
      <c r="M241" s="32"/>
      <c r="N241" s="110"/>
      <c r="O241" s="106">
        <f t="shared" si="90"/>
        <v>0</v>
      </c>
    </row>
    <row r="242" spans="1:15" s="16" customFormat="1" hidden="1" outlineLevel="1" x14ac:dyDescent="0.25">
      <c r="A242" s="16">
        <f t="shared" ref="A242:A250" si="107">IF(AND(F242&lt;&gt;"",D242=""),A241+1,A241)</f>
        <v>22</v>
      </c>
      <c r="C242">
        <f>$F240</f>
        <v>0</v>
      </c>
      <c r="D242" s="3" t="str">
        <f t="shared" si="95"/>
        <v>A_BEDS_TOTAL - Total Available Beds</v>
      </c>
      <c r="F242" s="22" t="str">
        <f>_xll.EVDES(D242)</f>
        <v>Total Available Beds</v>
      </c>
      <c r="G242" s="18">
        <f ca="1">SUMIFS(OFFSET('BPC Data'!$F:$F,0,Summary!G$2),'BPC Data'!$E:$E,Summary!$D242,'BPC Data'!$B:$B,Summary!$C242)</f>
        <v>0</v>
      </c>
      <c r="H242" s="92">
        <f ca="1">SUMIFS(OFFSET('BPC Data'!$F:$F,0,Summary!H$2),'BPC Data'!$E:$E,Summary!$D242,'BPC Data'!$B:$B,Summary!$C242)</f>
        <v>0</v>
      </c>
      <c r="I242" s="18">
        <f ca="1">SUMIFS(OFFSET('BPC Data'!$F:$F,0,Summary!I$2),'BPC Data'!$E:$E,Summary!$D242,'BPC Data'!$B:$B,Summary!$C242)</f>
        <v>0</v>
      </c>
      <c r="J242" s="92">
        <f ca="1">SUMIFS(OFFSET('BPC Data'!$F:$F,0,Summary!J$2),'BPC Data'!$E:$E,Summary!$D242,'BPC Data'!$B:$B,Summary!$C242)</f>
        <v>0</v>
      </c>
      <c r="K242" s="18">
        <f ca="1">SUMIFS(OFFSET('BPC Data'!$F:$F,0,Summary!K$2),'BPC Data'!$E:$E,Summary!$D242,'BPC Data'!$B:$B,Summary!$C242)</f>
        <v>0</v>
      </c>
      <c r="L242" s="92">
        <f ca="1">SUMIFS(OFFSET('BPC Data'!$F:$F,0,Summary!L$2),'BPC Data'!$E:$E,Summary!$D242,'BPC Data'!$B:$B,Summary!$C242)</f>
        <v>0</v>
      </c>
      <c r="M242" s="32"/>
      <c r="N242" s="110"/>
      <c r="O242" s="106">
        <f t="shared" si="90"/>
        <v>0</v>
      </c>
    </row>
    <row r="243" spans="1:15" s="16" customFormat="1" hidden="1" outlineLevel="1" x14ac:dyDescent="0.25">
      <c r="A243" s="16">
        <f t="shared" si="107"/>
        <v>22</v>
      </c>
      <c r="B243"/>
      <c r="C243">
        <f>$F240</f>
        <v>0</v>
      </c>
      <c r="D243" s="3" t="str">
        <f t="shared" si="95"/>
        <v>T_REVENUES - Total Tenant Revenues</v>
      </c>
      <c r="E243"/>
      <c r="F243" s="22" t="str">
        <f>_xll.EVDES(D243)</f>
        <v>Total Tenant Revenues</v>
      </c>
      <c r="G243" s="18">
        <f ca="1">SUMIFS(OFFSET('BPC Data'!$F:$F,0,Summary!G$2),'BPC Data'!$E:$E,Summary!$D243,'BPC Data'!$B:$B,Summary!$C243)</f>
        <v>0</v>
      </c>
      <c r="H243" s="92">
        <f ca="1">SUMIFS(OFFSET('BPC Data'!$F:$F,0,Summary!H$2),'BPC Data'!$E:$E,Summary!$D243,'BPC Data'!$B:$B,Summary!$C243)</f>
        <v>0</v>
      </c>
      <c r="I243" s="18">
        <f ca="1">SUMIFS(OFFSET('BPC Data'!$F:$F,0,Summary!I$2),'BPC Data'!$E:$E,Summary!$D243,'BPC Data'!$B:$B,Summary!$C243)</f>
        <v>0</v>
      </c>
      <c r="J243" s="92">
        <f ca="1">SUMIFS(OFFSET('BPC Data'!$F:$F,0,Summary!J$2),'BPC Data'!$E:$E,Summary!$D243,'BPC Data'!$B:$B,Summary!$C243)</f>
        <v>0</v>
      </c>
      <c r="K243" s="18">
        <f ca="1">SUMIFS(OFFSET('BPC Data'!$F:$F,0,Summary!K$2),'BPC Data'!$E:$E,Summary!$D243,'BPC Data'!$B:$B,Summary!$C243)</f>
        <v>0</v>
      </c>
      <c r="L243" s="92">
        <f ca="1">SUMIFS(OFFSET('BPC Data'!$F:$F,0,Summary!L$2),'BPC Data'!$E:$E,Summary!$D243,'BPC Data'!$B:$B,Summary!$C243)</f>
        <v>0</v>
      </c>
      <c r="M243" s="32"/>
      <c r="N243" s="110"/>
      <c r="O243" s="106">
        <f t="shared" si="90"/>
        <v>0</v>
      </c>
    </row>
    <row r="244" spans="1:15" s="16" customFormat="1" hidden="1" outlineLevel="1" x14ac:dyDescent="0.25">
      <c r="A244" s="16">
        <f t="shared" si="107"/>
        <v>22</v>
      </c>
      <c r="B244"/>
      <c r="C244">
        <f>$F240</f>
        <v>0</v>
      </c>
      <c r="D244" s="3" t="str">
        <f t="shared" si="95"/>
        <v>T_OPEX - Tenant Operating Expenses</v>
      </c>
      <c r="E244"/>
      <c r="F244" s="22" t="str">
        <f>_xll.EVDES(D244)</f>
        <v>Tenant Operating Expenses</v>
      </c>
      <c r="G244" s="18">
        <f ca="1">SUMIFS(OFFSET('BPC Data'!$F:$F,0,Summary!G$2),'BPC Data'!$E:$E,Summary!$D244,'BPC Data'!$B:$B,Summary!$C244)</f>
        <v>0</v>
      </c>
      <c r="H244" s="92">
        <f ca="1">SUMIFS(OFFSET('BPC Data'!$F:$F,0,Summary!H$2),'BPC Data'!$E:$E,Summary!$D244,'BPC Data'!$B:$B,Summary!$C244)</f>
        <v>0</v>
      </c>
      <c r="I244" s="18">
        <f ca="1">SUMIFS(OFFSET('BPC Data'!$F:$F,0,Summary!I$2),'BPC Data'!$E:$E,Summary!$D244,'BPC Data'!$B:$B,Summary!$C244)</f>
        <v>0</v>
      </c>
      <c r="J244" s="92">
        <f ca="1">SUMIFS(OFFSET('BPC Data'!$F:$F,0,Summary!J$2),'BPC Data'!$E:$E,Summary!$D244,'BPC Data'!$B:$B,Summary!$C244)</f>
        <v>0</v>
      </c>
      <c r="K244" s="18">
        <f ca="1">SUMIFS(OFFSET('BPC Data'!$F:$F,0,Summary!K$2),'BPC Data'!$E:$E,Summary!$D244,'BPC Data'!$B:$B,Summary!$C244)</f>
        <v>0</v>
      </c>
      <c r="L244" s="92">
        <f ca="1">SUMIFS(OFFSET('BPC Data'!$F:$F,0,Summary!L$2),'BPC Data'!$E:$E,Summary!$D244,'BPC Data'!$B:$B,Summary!$C244)</f>
        <v>0</v>
      </c>
      <c r="M244" s="32"/>
      <c r="N244" s="110"/>
      <c r="O244" s="106">
        <f t="shared" si="90"/>
        <v>0</v>
      </c>
    </row>
    <row r="245" spans="1:15" s="16" customFormat="1" hidden="1" outlineLevel="1" x14ac:dyDescent="0.25">
      <c r="A245" s="16">
        <f t="shared" si="107"/>
        <v>22</v>
      </c>
      <c r="B245"/>
      <c r="C245">
        <f>$F240</f>
        <v>0</v>
      </c>
      <c r="D245" s="3" t="str">
        <f t="shared" si="95"/>
        <v>T_BAD_DEBT - Tenant Bad Debt Expense</v>
      </c>
      <c r="E245"/>
      <c r="F245" s="22" t="str">
        <f>_xll.EVDES(D245)</f>
        <v>Tenant Bad Debt Expense</v>
      </c>
      <c r="G245" s="18">
        <f ca="1">SUMIFS(OFFSET('BPC Data'!$F:$F,0,Summary!G$2),'BPC Data'!$E:$E,Summary!$D245,'BPC Data'!$B:$B,Summary!$C245)</f>
        <v>0</v>
      </c>
      <c r="H245" s="92">
        <f ca="1">SUMIFS(OFFSET('BPC Data'!$F:$F,0,Summary!H$2),'BPC Data'!$E:$E,Summary!$D245,'BPC Data'!$B:$B,Summary!$C245)</f>
        <v>0</v>
      </c>
      <c r="I245" s="18">
        <f ca="1">SUMIFS(OFFSET('BPC Data'!$F:$F,0,Summary!I$2),'BPC Data'!$E:$E,Summary!$D245,'BPC Data'!$B:$B,Summary!$C245)</f>
        <v>0</v>
      </c>
      <c r="J245" s="92">
        <f ca="1">SUMIFS(OFFSET('BPC Data'!$F:$F,0,Summary!J$2),'BPC Data'!$E:$E,Summary!$D245,'BPC Data'!$B:$B,Summary!$C245)</f>
        <v>0</v>
      </c>
      <c r="K245" s="18">
        <f ca="1">SUMIFS(OFFSET('BPC Data'!$F:$F,0,Summary!K$2),'BPC Data'!$E:$E,Summary!$D245,'BPC Data'!$B:$B,Summary!$C245)</f>
        <v>0</v>
      </c>
      <c r="L245" s="92">
        <f ca="1">SUMIFS(OFFSET('BPC Data'!$F:$F,0,Summary!L$2),'BPC Data'!$E:$E,Summary!$D245,'BPC Data'!$B:$B,Summary!$C245)</f>
        <v>0</v>
      </c>
      <c r="M245" s="32"/>
      <c r="N245" s="110"/>
      <c r="O245" s="106">
        <f t="shared" si="90"/>
        <v>0</v>
      </c>
    </row>
    <row r="246" spans="1:15" s="16" customFormat="1" hidden="1" outlineLevel="1" x14ac:dyDescent="0.25">
      <c r="A246" s="16">
        <f t="shared" si="107"/>
        <v>22</v>
      </c>
      <c r="B246"/>
      <c r="C246">
        <f>$F240</f>
        <v>0</v>
      </c>
      <c r="D246" s="2" t="str">
        <f t="shared" si="95"/>
        <v>T_EBITDARM - EBITDARM</v>
      </c>
      <c r="E246"/>
      <c r="F246" s="22" t="str">
        <f>_xll.EVDES(D246)</f>
        <v>EBITDARM</v>
      </c>
      <c r="G246" s="18">
        <f ca="1">SUMIFS(OFFSET('BPC Data'!$F:$F,0,Summary!G$2),'BPC Data'!$E:$E,Summary!$D246,'BPC Data'!$B:$B,Summary!$C246)</f>
        <v>0</v>
      </c>
      <c r="H246" s="92">
        <f ca="1">SUMIFS(OFFSET('BPC Data'!$F:$F,0,Summary!H$2),'BPC Data'!$E:$E,Summary!$D246,'BPC Data'!$B:$B,Summary!$C246)</f>
        <v>0</v>
      </c>
      <c r="I246" s="18">
        <f ca="1">SUMIFS(OFFSET('BPC Data'!$F:$F,0,Summary!I$2),'BPC Data'!$E:$E,Summary!$D246,'BPC Data'!$B:$B,Summary!$C246)</f>
        <v>0</v>
      </c>
      <c r="J246" s="92">
        <f ca="1">SUMIFS(OFFSET('BPC Data'!$F:$F,0,Summary!J$2),'BPC Data'!$E:$E,Summary!$D246,'BPC Data'!$B:$B,Summary!$C246)</f>
        <v>0</v>
      </c>
      <c r="K246" s="18">
        <f ca="1">SUMIFS(OFFSET('BPC Data'!$F:$F,0,Summary!K$2),'BPC Data'!$E:$E,Summary!$D246,'BPC Data'!$B:$B,Summary!$C246)</f>
        <v>0</v>
      </c>
      <c r="L246" s="92">
        <f ca="1">SUMIFS(OFFSET('BPC Data'!$F:$F,0,Summary!L$2),'BPC Data'!$E:$E,Summary!$D246,'BPC Data'!$B:$B,Summary!$C246)</f>
        <v>0</v>
      </c>
      <c r="M246" s="32"/>
      <c r="N246" s="110"/>
      <c r="O246" s="106">
        <f t="shared" si="90"/>
        <v>0</v>
      </c>
    </row>
    <row r="247" spans="1:15" s="16" customFormat="1" hidden="1" outlineLevel="1" x14ac:dyDescent="0.25">
      <c r="A247" s="16">
        <f t="shared" si="107"/>
        <v>22</v>
      </c>
      <c r="B247"/>
      <c r="C247">
        <f>$F240</f>
        <v>0</v>
      </c>
      <c r="D247" s="2" t="str">
        <f t="shared" si="95"/>
        <v>T_MGMT_FEE - Tenant Management Fee - Actual</v>
      </c>
      <c r="E247"/>
      <c r="F247" s="22" t="str">
        <f>_xll.EVDES(D247)</f>
        <v>Tenant Management Fee - Actual</v>
      </c>
      <c r="G247" s="18">
        <f ca="1">SUMIFS(OFFSET('BPC Data'!$F:$F,0,Summary!G$2),'BPC Data'!$E:$E,Summary!$D247,'BPC Data'!$B:$B,Summary!$C247)</f>
        <v>0</v>
      </c>
      <c r="H247" s="92">
        <f ca="1">SUMIFS(OFFSET('BPC Data'!$F:$F,0,Summary!H$2),'BPC Data'!$E:$E,Summary!$D247,'BPC Data'!$B:$B,Summary!$C247)</f>
        <v>0</v>
      </c>
      <c r="I247" s="18">
        <f ca="1">SUMIFS(OFFSET('BPC Data'!$F:$F,0,Summary!I$2),'BPC Data'!$E:$E,Summary!$D247,'BPC Data'!$B:$B,Summary!$C247)</f>
        <v>0</v>
      </c>
      <c r="J247" s="92">
        <f ca="1">SUMIFS(OFFSET('BPC Data'!$F:$F,0,Summary!J$2),'BPC Data'!$E:$E,Summary!$D247,'BPC Data'!$B:$B,Summary!$C247)</f>
        <v>0</v>
      </c>
      <c r="K247" s="18">
        <f ca="1">SUMIFS(OFFSET('BPC Data'!$F:$F,0,Summary!K$2),'BPC Data'!$E:$E,Summary!$D247,'BPC Data'!$B:$B,Summary!$C247)</f>
        <v>0</v>
      </c>
      <c r="L247" s="92">
        <f ca="1">SUMIFS(OFFSET('BPC Data'!$F:$F,0,Summary!L$2),'BPC Data'!$E:$E,Summary!$D247,'BPC Data'!$B:$B,Summary!$C247)</f>
        <v>0</v>
      </c>
      <c r="M247" s="32"/>
      <c r="N247" s="110"/>
      <c r="O247" s="106">
        <f t="shared" si="90"/>
        <v>0</v>
      </c>
    </row>
    <row r="248" spans="1:15" s="16" customFormat="1" hidden="1" outlineLevel="1" x14ac:dyDescent="0.25">
      <c r="A248" s="16">
        <f t="shared" si="107"/>
        <v>22</v>
      </c>
      <c r="B248"/>
      <c r="C248">
        <f>$F240</f>
        <v>0</v>
      </c>
      <c r="D248" s="1" t="str">
        <f t="shared" si="95"/>
        <v>T_EBITDAR - EBITDAR</v>
      </c>
      <c r="E248"/>
      <c r="F248" s="22" t="str">
        <f>_xll.EVDES(D248)</f>
        <v>EBITDAR</v>
      </c>
      <c r="G248" s="18">
        <f ca="1">SUMIFS(OFFSET('BPC Data'!$F:$F,0,Summary!G$2),'BPC Data'!$E:$E,Summary!$D248,'BPC Data'!$B:$B,Summary!$C248)</f>
        <v>0</v>
      </c>
      <c r="H248" s="92">
        <f ca="1">SUMIFS(OFFSET('BPC Data'!$F:$F,0,Summary!H$2),'BPC Data'!$E:$E,Summary!$D248,'BPC Data'!$B:$B,Summary!$C248)</f>
        <v>0</v>
      </c>
      <c r="I248" s="18">
        <f ca="1">SUMIFS(OFFSET('BPC Data'!$F:$F,0,Summary!I$2),'BPC Data'!$E:$E,Summary!$D248,'BPC Data'!$B:$B,Summary!$C248)</f>
        <v>0</v>
      </c>
      <c r="J248" s="92">
        <f ca="1">SUMIFS(OFFSET('BPC Data'!$F:$F,0,Summary!J$2),'BPC Data'!$E:$E,Summary!$D248,'BPC Data'!$B:$B,Summary!$C248)</f>
        <v>0</v>
      </c>
      <c r="K248" s="18">
        <f ca="1">SUMIFS(OFFSET('BPC Data'!$F:$F,0,Summary!K$2),'BPC Data'!$E:$E,Summary!$D248,'BPC Data'!$B:$B,Summary!$C248)</f>
        <v>0</v>
      </c>
      <c r="L248" s="92">
        <f ca="1">SUMIFS(OFFSET('BPC Data'!$F:$F,0,Summary!L$2),'BPC Data'!$E:$E,Summary!$D248,'BPC Data'!$B:$B,Summary!$C248)</f>
        <v>0</v>
      </c>
      <c r="M248" s="32"/>
      <c r="N248" s="110"/>
      <c r="O248" s="106">
        <f t="shared" si="90"/>
        <v>0</v>
      </c>
    </row>
    <row r="249" spans="1:15" s="16" customFormat="1" hidden="1" outlineLevel="1" x14ac:dyDescent="0.25">
      <c r="A249" s="16">
        <f t="shared" si="107"/>
        <v>22</v>
      </c>
      <c r="B249"/>
      <c r="C249">
        <f>$F240</f>
        <v>0</v>
      </c>
      <c r="D249" s="1" t="str">
        <f t="shared" si="95"/>
        <v>T_RENT_EXP - Tenant Rent Expense</v>
      </c>
      <c r="E249"/>
      <c r="F249" s="22" t="str">
        <f>_xll.EVDES(D249)</f>
        <v>Tenant Rent Expense</v>
      </c>
      <c r="G249" s="18">
        <f ca="1">SUMIFS(OFFSET('BPC Data'!$F:$F,0,Summary!G$2),'BPC Data'!$E:$E,Summary!$D249,'BPC Data'!$B:$B,Summary!$C249)</f>
        <v>0</v>
      </c>
      <c r="H249" s="92">
        <f ca="1">SUMIFS(OFFSET('BPC Data'!$F:$F,0,Summary!H$2),'BPC Data'!$E:$E,Summary!$D249,'BPC Data'!$B:$B,Summary!$C249)</f>
        <v>0</v>
      </c>
      <c r="I249" s="18">
        <f ca="1">SUMIFS(OFFSET('BPC Data'!$F:$F,0,Summary!I$2),'BPC Data'!$E:$E,Summary!$D249,'BPC Data'!$B:$B,Summary!$C249)</f>
        <v>0</v>
      </c>
      <c r="J249" s="92">
        <f ca="1">SUMIFS(OFFSET('BPC Data'!$F:$F,0,Summary!J$2),'BPC Data'!$E:$E,Summary!$D249,'BPC Data'!$B:$B,Summary!$C249)</f>
        <v>0</v>
      </c>
      <c r="K249" s="18">
        <f ca="1">SUMIFS(OFFSET('BPC Data'!$F:$F,0,Summary!K$2),'BPC Data'!$E:$E,Summary!$D249,'BPC Data'!$B:$B,Summary!$C249)</f>
        <v>0</v>
      </c>
      <c r="L249" s="92">
        <f ca="1">SUMIFS(OFFSET('BPC Data'!$F:$F,0,Summary!L$2),'BPC Data'!$E:$E,Summary!$D249,'BPC Data'!$B:$B,Summary!$C249)</f>
        <v>0</v>
      </c>
      <c r="M249" s="32"/>
      <c r="N249" s="110"/>
      <c r="O249" s="106">
        <f t="shared" si="90"/>
        <v>0</v>
      </c>
    </row>
    <row r="250" spans="1:15" s="16" customFormat="1" hidden="1" outlineLevel="1" x14ac:dyDescent="0.25">
      <c r="A250" s="16">
        <f t="shared" si="107"/>
        <v>22</v>
      </c>
      <c r="B250"/>
      <c r="C250"/>
      <c r="D250" s="1" t="str">
        <f t="shared" si="95"/>
        <v>x</v>
      </c>
      <c r="E250"/>
      <c r="F250" s="22" t="s">
        <v>0</v>
      </c>
      <c r="G250" s="11" t="e">
        <f t="shared" ref="G250:H250" ca="1" si="108">G248/G249</f>
        <v>#DIV/0!</v>
      </c>
      <c r="H250" s="93" t="e">
        <f t="shared" ca="1" si="108"/>
        <v>#DIV/0!</v>
      </c>
      <c r="I250" s="11" t="e">
        <f t="shared" ref="I250:J250" ca="1" si="109">I248/I249</f>
        <v>#DIV/0!</v>
      </c>
      <c r="J250" s="93" t="e">
        <f t="shared" ca="1" si="109"/>
        <v>#DIV/0!</v>
      </c>
      <c r="K250" s="11" t="e">
        <f t="shared" ref="K250:L250" ca="1" si="110">K248/K249</f>
        <v>#DIV/0!</v>
      </c>
      <c r="L250" s="93" t="e">
        <f t="shared" ca="1" si="110"/>
        <v>#DIV/0!</v>
      </c>
      <c r="M250" s="32"/>
      <c r="N250" s="110"/>
      <c r="O250" s="106">
        <f t="shared" si="90"/>
        <v>0</v>
      </c>
    </row>
    <row r="251" spans="1:15" s="16" customFormat="1" hidden="1" outlineLevel="1" x14ac:dyDescent="0.25">
      <c r="A251" s="16">
        <f>IF(AND(D251&lt;&gt;"",C251=""),A250+1,A250)</f>
        <v>23</v>
      </c>
      <c r="B251" s="4"/>
      <c r="C251" s="4"/>
      <c r="D251" s="4" t="str">
        <f t="shared" si="95"/>
        <v>x</v>
      </c>
      <c r="E251" s="4"/>
      <c r="F251" s="21">
        <f>INDEX(PropertyList!$D:$D,MATCH(Summary!$A251,PropertyList!$C:$C,0))</f>
        <v>0</v>
      </c>
      <c r="G251" s="10"/>
      <c r="H251" s="91"/>
      <c r="I251" s="10"/>
      <c r="J251" s="91"/>
      <c r="K251" s="10"/>
      <c r="L251" s="91"/>
      <c r="M251" s="32"/>
      <c r="N251" s="110"/>
      <c r="O251" s="106">
        <f t="shared" si="90"/>
        <v>0</v>
      </c>
    </row>
    <row r="252" spans="1:15" s="16" customFormat="1" hidden="1" outlineLevel="1" x14ac:dyDescent="0.25">
      <c r="A252" s="16">
        <f>IF(AND(F252&lt;&gt;"",D252=""),A251+1,A251)</f>
        <v>23</v>
      </c>
      <c r="C252">
        <f>$F251</f>
        <v>0</v>
      </c>
      <c r="D252" s="3" t="str">
        <f t="shared" si="95"/>
        <v>PAY_PAT_DAYS - Total Payor Patient Days</v>
      </c>
      <c r="F252" s="22" t="str">
        <f>_xll.EVDES(D252)</f>
        <v>Total Payor Patient Days</v>
      </c>
      <c r="G252" s="18">
        <f ca="1">SUMIFS(OFFSET('BPC Data'!$F:$F,0,Summary!G$2),'BPC Data'!$E:$E,Summary!$D252,'BPC Data'!$B:$B,Summary!$C252)</f>
        <v>0</v>
      </c>
      <c r="H252" s="92">
        <f ca="1">SUMIFS(OFFSET('BPC Data'!$F:$F,0,Summary!H$2),'BPC Data'!$E:$E,Summary!$D252,'BPC Data'!$B:$B,Summary!$C252)</f>
        <v>0</v>
      </c>
      <c r="I252" s="18">
        <f ca="1">SUMIFS(OFFSET('BPC Data'!$F:$F,0,Summary!I$2),'BPC Data'!$E:$E,Summary!$D252,'BPC Data'!$B:$B,Summary!$C252)</f>
        <v>0</v>
      </c>
      <c r="J252" s="92">
        <f ca="1">SUMIFS(OFFSET('BPC Data'!$F:$F,0,Summary!J$2),'BPC Data'!$E:$E,Summary!$D252,'BPC Data'!$B:$B,Summary!$C252)</f>
        <v>0</v>
      </c>
      <c r="K252" s="18">
        <f ca="1">SUMIFS(OFFSET('BPC Data'!$F:$F,0,Summary!K$2),'BPC Data'!$E:$E,Summary!$D252,'BPC Data'!$B:$B,Summary!$C252)</f>
        <v>0</v>
      </c>
      <c r="L252" s="92">
        <f ca="1">SUMIFS(OFFSET('BPC Data'!$F:$F,0,Summary!L$2),'BPC Data'!$E:$E,Summary!$D252,'BPC Data'!$B:$B,Summary!$C252)</f>
        <v>0</v>
      </c>
      <c r="M252" s="32"/>
      <c r="N252" s="110"/>
      <c r="O252" s="106">
        <f t="shared" si="90"/>
        <v>0</v>
      </c>
    </row>
    <row r="253" spans="1:15" s="16" customFormat="1" hidden="1" outlineLevel="1" x14ac:dyDescent="0.25">
      <c r="A253" s="16">
        <f t="shared" ref="A253:A261" si="111">IF(AND(F253&lt;&gt;"",D253=""),A252+1,A252)</f>
        <v>23</v>
      </c>
      <c r="C253">
        <f>$F251</f>
        <v>0</v>
      </c>
      <c r="D253" s="3" t="str">
        <f t="shared" si="95"/>
        <v>A_BEDS_TOTAL - Total Available Beds</v>
      </c>
      <c r="F253" s="22" t="str">
        <f>_xll.EVDES(D253)</f>
        <v>Total Available Beds</v>
      </c>
      <c r="G253" s="18">
        <f ca="1">SUMIFS(OFFSET('BPC Data'!$F:$F,0,Summary!G$2),'BPC Data'!$E:$E,Summary!$D253,'BPC Data'!$B:$B,Summary!$C253)</f>
        <v>0</v>
      </c>
      <c r="H253" s="92">
        <f ca="1">SUMIFS(OFFSET('BPC Data'!$F:$F,0,Summary!H$2),'BPC Data'!$E:$E,Summary!$D253,'BPC Data'!$B:$B,Summary!$C253)</f>
        <v>0</v>
      </c>
      <c r="I253" s="18">
        <f ca="1">SUMIFS(OFFSET('BPC Data'!$F:$F,0,Summary!I$2),'BPC Data'!$E:$E,Summary!$D253,'BPC Data'!$B:$B,Summary!$C253)</f>
        <v>0</v>
      </c>
      <c r="J253" s="92">
        <f ca="1">SUMIFS(OFFSET('BPC Data'!$F:$F,0,Summary!J$2),'BPC Data'!$E:$E,Summary!$D253,'BPC Data'!$B:$B,Summary!$C253)</f>
        <v>0</v>
      </c>
      <c r="K253" s="18">
        <f ca="1">SUMIFS(OFFSET('BPC Data'!$F:$F,0,Summary!K$2),'BPC Data'!$E:$E,Summary!$D253,'BPC Data'!$B:$B,Summary!$C253)</f>
        <v>0</v>
      </c>
      <c r="L253" s="92">
        <f ca="1">SUMIFS(OFFSET('BPC Data'!$F:$F,0,Summary!L$2),'BPC Data'!$E:$E,Summary!$D253,'BPC Data'!$B:$B,Summary!$C253)</f>
        <v>0</v>
      </c>
      <c r="M253" s="32"/>
      <c r="N253" s="110"/>
      <c r="O253" s="106">
        <f t="shared" si="90"/>
        <v>0</v>
      </c>
    </row>
    <row r="254" spans="1:15" s="16" customFormat="1" hidden="1" outlineLevel="1" x14ac:dyDescent="0.25">
      <c r="A254" s="16">
        <f t="shared" si="111"/>
        <v>23</v>
      </c>
      <c r="B254"/>
      <c r="C254">
        <f>$F251</f>
        <v>0</v>
      </c>
      <c r="D254" s="3" t="str">
        <f t="shared" si="95"/>
        <v>T_REVENUES - Total Tenant Revenues</v>
      </c>
      <c r="E254"/>
      <c r="F254" s="22" t="str">
        <f>_xll.EVDES(D254)</f>
        <v>Total Tenant Revenues</v>
      </c>
      <c r="G254" s="18">
        <f ca="1">SUMIFS(OFFSET('BPC Data'!$F:$F,0,Summary!G$2),'BPC Data'!$E:$E,Summary!$D254,'BPC Data'!$B:$B,Summary!$C254)</f>
        <v>0</v>
      </c>
      <c r="H254" s="92">
        <f ca="1">SUMIFS(OFFSET('BPC Data'!$F:$F,0,Summary!H$2),'BPC Data'!$E:$E,Summary!$D254,'BPC Data'!$B:$B,Summary!$C254)</f>
        <v>0</v>
      </c>
      <c r="I254" s="18">
        <f ca="1">SUMIFS(OFFSET('BPC Data'!$F:$F,0,Summary!I$2),'BPC Data'!$E:$E,Summary!$D254,'BPC Data'!$B:$B,Summary!$C254)</f>
        <v>0</v>
      </c>
      <c r="J254" s="92">
        <f ca="1">SUMIFS(OFFSET('BPC Data'!$F:$F,0,Summary!J$2),'BPC Data'!$E:$E,Summary!$D254,'BPC Data'!$B:$B,Summary!$C254)</f>
        <v>0</v>
      </c>
      <c r="K254" s="18">
        <f ca="1">SUMIFS(OFFSET('BPC Data'!$F:$F,0,Summary!K$2),'BPC Data'!$E:$E,Summary!$D254,'BPC Data'!$B:$B,Summary!$C254)</f>
        <v>0</v>
      </c>
      <c r="L254" s="92">
        <f ca="1">SUMIFS(OFFSET('BPC Data'!$F:$F,0,Summary!L$2),'BPC Data'!$E:$E,Summary!$D254,'BPC Data'!$B:$B,Summary!$C254)</f>
        <v>0</v>
      </c>
      <c r="M254" s="32"/>
      <c r="N254" s="110"/>
      <c r="O254" s="106">
        <f t="shared" si="90"/>
        <v>0</v>
      </c>
    </row>
    <row r="255" spans="1:15" s="16" customFormat="1" hidden="1" outlineLevel="1" x14ac:dyDescent="0.25">
      <c r="A255" s="16">
        <f t="shared" si="111"/>
        <v>23</v>
      </c>
      <c r="B255"/>
      <c r="C255">
        <f>$F251</f>
        <v>0</v>
      </c>
      <c r="D255" s="3" t="str">
        <f t="shared" si="95"/>
        <v>T_OPEX - Tenant Operating Expenses</v>
      </c>
      <c r="E255"/>
      <c r="F255" s="22" t="str">
        <f>_xll.EVDES(D255)</f>
        <v>Tenant Operating Expenses</v>
      </c>
      <c r="G255" s="18">
        <f ca="1">SUMIFS(OFFSET('BPC Data'!$F:$F,0,Summary!G$2),'BPC Data'!$E:$E,Summary!$D255,'BPC Data'!$B:$B,Summary!$C255)</f>
        <v>0</v>
      </c>
      <c r="H255" s="92">
        <f ca="1">SUMIFS(OFFSET('BPC Data'!$F:$F,0,Summary!H$2),'BPC Data'!$E:$E,Summary!$D255,'BPC Data'!$B:$B,Summary!$C255)</f>
        <v>0</v>
      </c>
      <c r="I255" s="18">
        <f ca="1">SUMIFS(OFFSET('BPC Data'!$F:$F,0,Summary!I$2),'BPC Data'!$E:$E,Summary!$D255,'BPC Data'!$B:$B,Summary!$C255)</f>
        <v>0</v>
      </c>
      <c r="J255" s="92">
        <f ca="1">SUMIFS(OFFSET('BPC Data'!$F:$F,0,Summary!J$2),'BPC Data'!$E:$E,Summary!$D255,'BPC Data'!$B:$B,Summary!$C255)</f>
        <v>0</v>
      </c>
      <c r="K255" s="18">
        <f ca="1">SUMIFS(OFFSET('BPC Data'!$F:$F,0,Summary!K$2),'BPC Data'!$E:$E,Summary!$D255,'BPC Data'!$B:$B,Summary!$C255)</f>
        <v>0</v>
      </c>
      <c r="L255" s="92">
        <f ca="1">SUMIFS(OFFSET('BPC Data'!$F:$F,0,Summary!L$2),'BPC Data'!$E:$E,Summary!$D255,'BPC Data'!$B:$B,Summary!$C255)</f>
        <v>0</v>
      </c>
      <c r="M255" s="32"/>
      <c r="N255" s="110"/>
      <c r="O255" s="106">
        <f t="shared" si="90"/>
        <v>0</v>
      </c>
    </row>
    <row r="256" spans="1:15" s="16" customFormat="1" hidden="1" outlineLevel="1" x14ac:dyDescent="0.25">
      <c r="A256" s="16">
        <f t="shared" si="111"/>
        <v>23</v>
      </c>
      <c r="B256"/>
      <c r="C256">
        <f>$F251</f>
        <v>0</v>
      </c>
      <c r="D256" s="3" t="str">
        <f t="shared" si="95"/>
        <v>T_BAD_DEBT - Tenant Bad Debt Expense</v>
      </c>
      <c r="E256"/>
      <c r="F256" s="22" t="str">
        <f>_xll.EVDES(D256)</f>
        <v>Tenant Bad Debt Expense</v>
      </c>
      <c r="G256" s="18">
        <f ca="1">SUMIFS(OFFSET('BPC Data'!$F:$F,0,Summary!G$2),'BPC Data'!$E:$E,Summary!$D256,'BPC Data'!$B:$B,Summary!$C256)</f>
        <v>0</v>
      </c>
      <c r="H256" s="92">
        <f ca="1">SUMIFS(OFFSET('BPC Data'!$F:$F,0,Summary!H$2),'BPC Data'!$E:$E,Summary!$D256,'BPC Data'!$B:$B,Summary!$C256)</f>
        <v>0</v>
      </c>
      <c r="I256" s="18">
        <f ca="1">SUMIFS(OFFSET('BPC Data'!$F:$F,0,Summary!I$2),'BPC Data'!$E:$E,Summary!$D256,'BPC Data'!$B:$B,Summary!$C256)</f>
        <v>0</v>
      </c>
      <c r="J256" s="92">
        <f ca="1">SUMIFS(OFFSET('BPC Data'!$F:$F,0,Summary!J$2),'BPC Data'!$E:$E,Summary!$D256,'BPC Data'!$B:$B,Summary!$C256)</f>
        <v>0</v>
      </c>
      <c r="K256" s="18">
        <f ca="1">SUMIFS(OFFSET('BPC Data'!$F:$F,0,Summary!K$2),'BPC Data'!$E:$E,Summary!$D256,'BPC Data'!$B:$B,Summary!$C256)</f>
        <v>0</v>
      </c>
      <c r="L256" s="92">
        <f ca="1">SUMIFS(OFFSET('BPC Data'!$F:$F,0,Summary!L$2),'BPC Data'!$E:$E,Summary!$D256,'BPC Data'!$B:$B,Summary!$C256)</f>
        <v>0</v>
      </c>
      <c r="M256" s="32"/>
      <c r="N256" s="110"/>
      <c r="O256" s="106">
        <f t="shared" si="90"/>
        <v>0</v>
      </c>
    </row>
    <row r="257" spans="1:15" s="16" customFormat="1" hidden="1" outlineLevel="1" x14ac:dyDescent="0.25">
      <c r="A257" s="16">
        <f t="shared" si="111"/>
        <v>23</v>
      </c>
      <c r="B257"/>
      <c r="C257">
        <f>$F251</f>
        <v>0</v>
      </c>
      <c r="D257" s="2" t="str">
        <f t="shared" si="95"/>
        <v>T_EBITDARM - EBITDARM</v>
      </c>
      <c r="E257"/>
      <c r="F257" s="22" t="str">
        <f>_xll.EVDES(D257)</f>
        <v>EBITDARM</v>
      </c>
      <c r="G257" s="18">
        <f ca="1">SUMIFS(OFFSET('BPC Data'!$F:$F,0,Summary!G$2),'BPC Data'!$E:$E,Summary!$D257,'BPC Data'!$B:$B,Summary!$C257)</f>
        <v>0</v>
      </c>
      <c r="H257" s="92">
        <f ca="1">SUMIFS(OFFSET('BPC Data'!$F:$F,0,Summary!H$2),'BPC Data'!$E:$E,Summary!$D257,'BPC Data'!$B:$B,Summary!$C257)</f>
        <v>0</v>
      </c>
      <c r="I257" s="18">
        <f ca="1">SUMIFS(OFFSET('BPC Data'!$F:$F,0,Summary!I$2),'BPC Data'!$E:$E,Summary!$D257,'BPC Data'!$B:$B,Summary!$C257)</f>
        <v>0</v>
      </c>
      <c r="J257" s="92">
        <f ca="1">SUMIFS(OFFSET('BPC Data'!$F:$F,0,Summary!J$2),'BPC Data'!$E:$E,Summary!$D257,'BPC Data'!$B:$B,Summary!$C257)</f>
        <v>0</v>
      </c>
      <c r="K257" s="18">
        <f ca="1">SUMIFS(OFFSET('BPC Data'!$F:$F,0,Summary!K$2),'BPC Data'!$E:$E,Summary!$D257,'BPC Data'!$B:$B,Summary!$C257)</f>
        <v>0</v>
      </c>
      <c r="L257" s="92">
        <f ca="1">SUMIFS(OFFSET('BPC Data'!$F:$F,0,Summary!L$2),'BPC Data'!$E:$E,Summary!$D257,'BPC Data'!$B:$B,Summary!$C257)</f>
        <v>0</v>
      </c>
      <c r="M257" s="32"/>
      <c r="N257" s="110"/>
      <c r="O257" s="106">
        <f t="shared" si="90"/>
        <v>0</v>
      </c>
    </row>
    <row r="258" spans="1:15" s="16" customFormat="1" hidden="1" outlineLevel="1" x14ac:dyDescent="0.25">
      <c r="A258" s="16">
        <f t="shared" si="111"/>
        <v>23</v>
      </c>
      <c r="B258"/>
      <c r="C258">
        <f>$F251</f>
        <v>0</v>
      </c>
      <c r="D258" s="2" t="str">
        <f t="shared" si="95"/>
        <v>T_MGMT_FEE - Tenant Management Fee - Actual</v>
      </c>
      <c r="E258"/>
      <c r="F258" s="22" t="str">
        <f>_xll.EVDES(D258)</f>
        <v>Tenant Management Fee - Actual</v>
      </c>
      <c r="G258" s="18">
        <f ca="1">SUMIFS(OFFSET('BPC Data'!$F:$F,0,Summary!G$2),'BPC Data'!$E:$E,Summary!$D258,'BPC Data'!$B:$B,Summary!$C258)</f>
        <v>0</v>
      </c>
      <c r="H258" s="92">
        <f ca="1">SUMIFS(OFFSET('BPC Data'!$F:$F,0,Summary!H$2),'BPC Data'!$E:$E,Summary!$D258,'BPC Data'!$B:$B,Summary!$C258)</f>
        <v>0</v>
      </c>
      <c r="I258" s="18">
        <f ca="1">SUMIFS(OFFSET('BPC Data'!$F:$F,0,Summary!I$2),'BPC Data'!$E:$E,Summary!$D258,'BPC Data'!$B:$B,Summary!$C258)</f>
        <v>0</v>
      </c>
      <c r="J258" s="92">
        <f ca="1">SUMIFS(OFFSET('BPC Data'!$F:$F,0,Summary!J$2),'BPC Data'!$E:$E,Summary!$D258,'BPC Data'!$B:$B,Summary!$C258)</f>
        <v>0</v>
      </c>
      <c r="K258" s="18">
        <f ca="1">SUMIFS(OFFSET('BPC Data'!$F:$F,0,Summary!K$2),'BPC Data'!$E:$E,Summary!$D258,'BPC Data'!$B:$B,Summary!$C258)</f>
        <v>0</v>
      </c>
      <c r="L258" s="92">
        <f ca="1">SUMIFS(OFFSET('BPC Data'!$F:$F,0,Summary!L$2),'BPC Data'!$E:$E,Summary!$D258,'BPC Data'!$B:$B,Summary!$C258)</f>
        <v>0</v>
      </c>
      <c r="M258" s="32"/>
      <c r="N258" s="110"/>
      <c r="O258" s="106">
        <f t="shared" si="90"/>
        <v>0</v>
      </c>
    </row>
    <row r="259" spans="1:15" s="16" customFormat="1" hidden="1" outlineLevel="1" x14ac:dyDescent="0.25">
      <c r="A259" s="16">
        <f t="shared" si="111"/>
        <v>23</v>
      </c>
      <c r="B259"/>
      <c r="C259">
        <f>$F251</f>
        <v>0</v>
      </c>
      <c r="D259" s="1" t="str">
        <f t="shared" si="95"/>
        <v>T_EBITDAR - EBITDAR</v>
      </c>
      <c r="E259"/>
      <c r="F259" s="22" t="str">
        <f>_xll.EVDES(D259)</f>
        <v>EBITDAR</v>
      </c>
      <c r="G259" s="18">
        <f ca="1">SUMIFS(OFFSET('BPC Data'!$F:$F,0,Summary!G$2),'BPC Data'!$E:$E,Summary!$D259,'BPC Data'!$B:$B,Summary!$C259)</f>
        <v>0</v>
      </c>
      <c r="H259" s="92">
        <f ca="1">SUMIFS(OFFSET('BPC Data'!$F:$F,0,Summary!H$2),'BPC Data'!$E:$E,Summary!$D259,'BPC Data'!$B:$B,Summary!$C259)</f>
        <v>0</v>
      </c>
      <c r="I259" s="18">
        <f ca="1">SUMIFS(OFFSET('BPC Data'!$F:$F,0,Summary!I$2),'BPC Data'!$E:$E,Summary!$D259,'BPC Data'!$B:$B,Summary!$C259)</f>
        <v>0</v>
      </c>
      <c r="J259" s="92">
        <f ca="1">SUMIFS(OFFSET('BPC Data'!$F:$F,0,Summary!J$2),'BPC Data'!$E:$E,Summary!$D259,'BPC Data'!$B:$B,Summary!$C259)</f>
        <v>0</v>
      </c>
      <c r="K259" s="18">
        <f ca="1">SUMIFS(OFFSET('BPC Data'!$F:$F,0,Summary!K$2),'BPC Data'!$E:$E,Summary!$D259,'BPC Data'!$B:$B,Summary!$C259)</f>
        <v>0</v>
      </c>
      <c r="L259" s="92">
        <f ca="1">SUMIFS(OFFSET('BPC Data'!$F:$F,0,Summary!L$2),'BPC Data'!$E:$E,Summary!$D259,'BPC Data'!$B:$B,Summary!$C259)</f>
        <v>0</v>
      </c>
      <c r="M259" s="32"/>
      <c r="N259" s="110"/>
      <c r="O259" s="106">
        <f t="shared" si="90"/>
        <v>0</v>
      </c>
    </row>
    <row r="260" spans="1:15" s="16" customFormat="1" hidden="1" outlineLevel="1" x14ac:dyDescent="0.25">
      <c r="A260" s="16">
        <f t="shared" si="111"/>
        <v>23</v>
      </c>
      <c r="B260"/>
      <c r="C260">
        <f>$F251</f>
        <v>0</v>
      </c>
      <c r="D260" s="1" t="str">
        <f t="shared" si="95"/>
        <v>T_RENT_EXP - Tenant Rent Expense</v>
      </c>
      <c r="E260"/>
      <c r="F260" s="22" t="str">
        <f>_xll.EVDES(D260)</f>
        <v>Tenant Rent Expense</v>
      </c>
      <c r="G260" s="18">
        <f ca="1">SUMIFS(OFFSET('BPC Data'!$F:$F,0,Summary!G$2),'BPC Data'!$E:$E,Summary!$D260,'BPC Data'!$B:$B,Summary!$C260)</f>
        <v>0</v>
      </c>
      <c r="H260" s="92">
        <f ca="1">SUMIFS(OFFSET('BPC Data'!$F:$F,0,Summary!H$2),'BPC Data'!$E:$E,Summary!$D260,'BPC Data'!$B:$B,Summary!$C260)</f>
        <v>0</v>
      </c>
      <c r="I260" s="18">
        <f ca="1">SUMIFS(OFFSET('BPC Data'!$F:$F,0,Summary!I$2),'BPC Data'!$E:$E,Summary!$D260,'BPC Data'!$B:$B,Summary!$C260)</f>
        <v>0</v>
      </c>
      <c r="J260" s="92">
        <f ca="1">SUMIFS(OFFSET('BPC Data'!$F:$F,0,Summary!J$2),'BPC Data'!$E:$E,Summary!$D260,'BPC Data'!$B:$B,Summary!$C260)</f>
        <v>0</v>
      </c>
      <c r="K260" s="18">
        <f ca="1">SUMIFS(OFFSET('BPC Data'!$F:$F,0,Summary!K$2),'BPC Data'!$E:$E,Summary!$D260,'BPC Data'!$B:$B,Summary!$C260)</f>
        <v>0</v>
      </c>
      <c r="L260" s="92">
        <f ca="1">SUMIFS(OFFSET('BPC Data'!$F:$F,0,Summary!L$2),'BPC Data'!$E:$E,Summary!$D260,'BPC Data'!$B:$B,Summary!$C260)</f>
        <v>0</v>
      </c>
      <c r="M260" s="32"/>
      <c r="N260" s="110"/>
      <c r="O260" s="106">
        <f t="shared" si="90"/>
        <v>0</v>
      </c>
    </row>
    <row r="261" spans="1:15" s="16" customFormat="1" hidden="1" outlineLevel="1" x14ac:dyDescent="0.25">
      <c r="A261" s="16">
        <f t="shared" si="111"/>
        <v>23</v>
      </c>
      <c r="B261"/>
      <c r="C261"/>
      <c r="D261" s="1" t="str">
        <f t="shared" si="95"/>
        <v>x</v>
      </c>
      <c r="E261"/>
      <c r="F261" s="22" t="s">
        <v>0</v>
      </c>
      <c r="G261" s="11" t="e">
        <f t="shared" ref="G261:H261" ca="1" si="112">G259/G260</f>
        <v>#DIV/0!</v>
      </c>
      <c r="H261" s="93" t="e">
        <f t="shared" ca="1" si="112"/>
        <v>#DIV/0!</v>
      </c>
      <c r="I261" s="11" t="e">
        <f t="shared" ref="I261:J261" ca="1" si="113">I259/I260</f>
        <v>#DIV/0!</v>
      </c>
      <c r="J261" s="93" t="e">
        <f t="shared" ca="1" si="113"/>
        <v>#DIV/0!</v>
      </c>
      <c r="K261" s="11" t="e">
        <f t="shared" ref="K261:L261" ca="1" si="114">K259/K260</f>
        <v>#DIV/0!</v>
      </c>
      <c r="L261" s="93" t="e">
        <f t="shared" ca="1" si="114"/>
        <v>#DIV/0!</v>
      </c>
      <c r="M261" s="32"/>
      <c r="N261" s="110"/>
      <c r="O261" s="106">
        <f t="shared" si="90"/>
        <v>0</v>
      </c>
    </row>
    <row r="262" spans="1:15" s="16" customFormat="1" hidden="1" outlineLevel="1" x14ac:dyDescent="0.25">
      <c r="A262" s="16">
        <f>IF(AND(D262&lt;&gt;"",C262=""),A261+1,A261)</f>
        <v>24</v>
      </c>
      <c r="B262" s="4"/>
      <c r="C262" s="4"/>
      <c r="D262" s="4" t="str">
        <f t="shared" si="95"/>
        <v>x</v>
      </c>
      <c r="E262" s="4"/>
      <c r="F262" s="21">
        <f>INDEX(PropertyList!$D:$D,MATCH(Summary!$A262,PropertyList!$C:$C,0))</f>
        <v>0</v>
      </c>
      <c r="G262" s="10"/>
      <c r="H262" s="91"/>
      <c r="I262" s="10"/>
      <c r="J262" s="91"/>
      <c r="K262" s="10"/>
      <c r="L262" s="91"/>
      <c r="M262" s="32"/>
      <c r="N262" s="110"/>
      <c r="O262" s="106">
        <f t="shared" si="90"/>
        <v>0</v>
      </c>
    </row>
    <row r="263" spans="1:15" s="16" customFormat="1" hidden="1" outlineLevel="1" x14ac:dyDescent="0.25">
      <c r="A263" s="16">
        <f>IF(AND(F263&lt;&gt;"",D263=""),A262+1,A262)</f>
        <v>24</v>
      </c>
      <c r="C263">
        <f>$F262</f>
        <v>0</v>
      </c>
      <c r="D263" s="3" t="str">
        <f t="shared" si="95"/>
        <v>PAY_PAT_DAYS - Total Payor Patient Days</v>
      </c>
      <c r="F263" s="22" t="str">
        <f>_xll.EVDES(D263)</f>
        <v>Total Payor Patient Days</v>
      </c>
      <c r="G263" s="18">
        <f ca="1">SUMIFS(OFFSET('BPC Data'!$F:$F,0,Summary!G$2),'BPC Data'!$E:$E,Summary!$D263,'BPC Data'!$B:$B,Summary!$C263)</f>
        <v>0</v>
      </c>
      <c r="H263" s="92">
        <f ca="1">SUMIFS(OFFSET('BPC Data'!$F:$F,0,Summary!H$2),'BPC Data'!$E:$E,Summary!$D263,'BPC Data'!$B:$B,Summary!$C263)</f>
        <v>0</v>
      </c>
      <c r="I263" s="18">
        <f ca="1">SUMIFS(OFFSET('BPC Data'!$F:$F,0,Summary!I$2),'BPC Data'!$E:$E,Summary!$D263,'BPC Data'!$B:$B,Summary!$C263)</f>
        <v>0</v>
      </c>
      <c r="J263" s="92">
        <f ca="1">SUMIFS(OFFSET('BPC Data'!$F:$F,0,Summary!J$2),'BPC Data'!$E:$E,Summary!$D263,'BPC Data'!$B:$B,Summary!$C263)</f>
        <v>0</v>
      </c>
      <c r="K263" s="18">
        <f ca="1">SUMIFS(OFFSET('BPC Data'!$F:$F,0,Summary!K$2),'BPC Data'!$E:$E,Summary!$D263,'BPC Data'!$B:$B,Summary!$C263)</f>
        <v>0</v>
      </c>
      <c r="L263" s="92">
        <f ca="1">SUMIFS(OFFSET('BPC Data'!$F:$F,0,Summary!L$2),'BPC Data'!$E:$E,Summary!$D263,'BPC Data'!$B:$B,Summary!$C263)</f>
        <v>0</v>
      </c>
      <c r="M263" s="32"/>
      <c r="N263" s="110"/>
      <c r="O263" s="106">
        <f t="shared" si="90"/>
        <v>0</v>
      </c>
    </row>
    <row r="264" spans="1:15" s="16" customFormat="1" hidden="1" outlineLevel="1" x14ac:dyDescent="0.25">
      <c r="A264" s="16">
        <f t="shared" ref="A264:A272" si="115">IF(AND(F264&lt;&gt;"",D264=""),A263+1,A263)</f>
        <v>24</v>
      </c>
      <c r="C264">
        <f>$F262</f>
        <v>0</v>
      </c>
      <c r="D264" s="3" t="str">
        <f t="shared" si="95"/>
        <v>A_BEDS_TOTAL - Total Available Beds</v>
      </c>
      <c r="F264" s="22" t="str">
        <f>_xll.EVDES(D264)</f>
        <v>Total Available Beds</v>
      </c>
      <c r="G264" s="18">
        <f ca="1">SUMIFS(OFFSET('BPC Data'!$F:$F,0,Summary!G$2),'BPC Data'!$E:$E,Summary!$D264,'BPC Data'!$B:$B,Summary!$C264)</f>
        <v>0</v>
      </c>
      <c r="H264" s="92">
        <f ca="1">SUMIFS(OFFSET('BPC Data'!$F:$F,0,Summary!H$2),'BPC Data'!$E:$E,Summary!$D264,'BPC Data'!$B:$B,Summary!$C264)</f>
        <v>0</v>
      </c>
      <c r="I264" s="18">
        <f ca="1">SUMIFS(OFFSET('BPC Data'!$F:$F,0,Summary!I$2),'BPC Data'!$E:$E,Summary!$D264,'BPC Data'!$B:$B,Summary!$C264)</f>
        <v>0</v>
      </c>
      <c r="J264" s="92">
        <f ca="1">SUMIFS(OFFSET('BPC Data'!$F:$F,0,Summary!J$2),'BPC Data'!$E:$E,Summary!$D264,'BPC Data'!$B:$B,Summary!$C264)</f>
        <v>0</v>
      </c>
      <c r="K264" s="18">
        <f ca="1">SUMIFS(OFFSET('BPC Data'!$F:$F,0,Summary!K$2),'BPC Data'!$E:$E,Summary!$D264,'BPC Data'!$B:$B,Summary!$C264)</f>
        <v>0</v>
      </c>
      <c r="L264" s="92">
        <f ca="1">SUMIFS(OFFSET('BPC Data'!$F:$F,0,Summary!L$2),'BPC Data'!$E:$E,Summary!$D264,'BPC Data'!$B:$B,Summary!$C264)</f>
        <v>0</v>
      </c>
      <c r="M264" s="32"/>
      <c r="N264" s="110"/>
      <c r="O264" s="106">
        <f t="shared" si="90"/>
        <v>0</v>
      </c>
    </row>
    <row r="265" spans="1:15" s="16" customFormat="1" hidden="1" outlineLevel="1" x14ac:dyDescent="0.25">
      <c r="A265" s="16">
        <f t="shared" si="115"/>
        <v>24</v>
      </c>
      <c r="B265"/>
      <c r="C265">
        <f>$F262</f>
        <v>0</v>
      </c>
      <c r="D265" s="3" t="str">
        <f t="shared" si="95"/>
        <v>T_REVENUES - Total Tenant Revenues</v>
      </c>
      <c r="E265"/>
      <c r="F265" s="22" t="str">
        <f>_xll.EVDES(D265)</f>
        <v>Total Tenant Revenues</v>
      </c>
      <c r="G265" s="18">
        <f ca="1">SUMIFS(OFFSET('BPC Data'!$F:$F,0,Summary!G$2),'BPC Data'!$E:$E,Summary!$D265,'BPC Data'!$B:$B,Summary!$C265)</f>
        <v>0</v>
      </c>
      <c r="H265" s="92">
        <f ca="1">SUMIFS(OFFSET('BPC Data'!$F:$F,0,Summary!H$2),'BPC Data'!$E:$E,Summary!$D265,'BPC Data'!$B:$B,Summary!$C265)</f>
        <v>0</v>
      </c>
      <c r="I265" s="18">
        <f ca="1">SUMIFS(OFFSET('BPC Data'!$F:$F,0,Summary!I$2),'BPC Data'!$E:$E,Summary!$D265,'BPC Data'!$B:$B,Summary!$C265)</f>
        <v>0</v>
      </c>
      <c r="J265" s="92">
        <f ca="1">SUMIFS(OFFSET('BPC Data'!$F:$F,0,Summary!J$2),'BPC Data'!$E:$E,Summary!$D265,'BPC Data'!$B:$B,Summary!$C265)</f>
        <v>0</v>
      </c>
      <c r="K265" s="18">
        <f ca="1">SUMIFS(OFFSET('BPC Data'!$F:$F,0,Summary!K$2),'BPC Data'!$E:$E,Summary!$D265,'BPC Data'!$B:$B,Summary!$C265)</f>
        <v>0</v>
      </c>
      <c r="L265" s="92">
        <f ca="1">SUMIFS(OFFSET('BPC Data'!$F:$F,0,Summary!L$2),'BPC Data'!$E:$E,Summary!$D265,'BPC Data'!$B:$B,Summary!$C265)</f>
        <v>0</v>
      </c>
      <c r="M265" s="32"/>
      <c r="N265" s="110"/>
      <c r="O265" s="106">
        <f t="shared" si="90"/>
        <v>0</v>
      </c>
    </row>
    <row r="266" spans="1:15" s="16" customFormat="1" hidden="1" outlineLevel="1" x14ac:dyDescent="0.25">
      <c r="A266" s="16">
        <f t="shared" si="115"/>
        <v>24</v>
      </c>
      <c r="B266"/>
      <c r="C266">
        <f>$F262</f>
        <v>0</v>
      </c>
      <c r="D266" s="3" t="str">
        <f t="shared" si="95"/>
        <v>T_OPEX - Tenant Operating Expenses</v>
      </c>
      <c r="E266"/>
      <c r="F266" s="22" t="str">
        <f>_xll.EVDES(D266)</f>
        <v>Tenant Operating Expenses</v>
      </c>
      <c r="G266" s="18">
        <f ca="1">SUMIFS(OFFSET('BPC Data'!$F:$F,0,Summary!G$2),'BPC Data'!$E:$E,Summary!$D266,'BPC Data'!$B:$B,Summary!$C266)</f>
        <v>0</v>
      </c>
      <c r="H266" s="92">
        <f ca="1">SUMIFS(OFFSET('BPC Data'!$F:$F,0,Summary!H$2),'BPC Data'!$E:$E,Summary!$D266,'BPC Data'!$B:$B,Summary!$C266)</f>
        <v>0</v>
      </c>
      <c r="I266" s="18">
        <f ca="1">SUMIFS(OFFSET('BPC Data'!$F:$F,0,Summary!I$2),'BPC Data'!$E:$E,Summary!$D266,'BPC Data'!$B:$B,Summary!$C266)</f>
        <v>0</v>
      </c>
      <c r="J266" s="92">
        <f ca="1">SUMIFS(OFFSET('BPC Data'!$F:$F,0,Summary!J$2),'BPC Data'!$E:$E,Summary!$D266,'BPC Data'!$B:$B,Summary!$C266)</f>
        <v>0</v>
      </c>
      <c r="K266" s="18">
        <f ca="1">SUMIFS(OFFSET('BPC Data'!$F:$F,0,Summary!K$2),'BPC Data'!$E:$E,Summary!$D266,'BPC Data'!$B:$B,Summary!$C266)</f>
        <v>0</v>
      </c>
      <c r="L266" s="92">
        <f ca="1">SUMIFS(OFFSET('BPC Data'!$F:$F,0,Summary!L$2),'BPC Data'!$E:$E,Summary!$D266,'BPC Data'!$B:$B,Summary!$C266)</f>
        <v>0</v>
      </c>
      <c r="M266" s="32"/>
      <c r="N266" s="110"/>
      <c r="O266" s="106">
        <f t="shared" si="90"/>
        <v>0</v>
      </c>
    </row>
    <row r="267" spans="1:15" s="16" customFormat="1" hidden="1" outlineLevel="1" x14ac:dyDescent="0.25">
      <c r="A267" s="16">
        <f t="shared" si="115"/>
        <v>24</v>
      </c>
      <c r="B267"/>
      <c r="C267">
        <f>$F262</f>
        <v>0</v>
      </c>
      <c r="D267" s="3" t="str">
        <f t="shared" si="95"/>
        <v>T_BAD_DEBT - Tenant Bad Debt Expense</v>
      </c>
      <c r="E267"/>
      <c r="F267" s="22" t="str">
        <f>_xll.EVDES(D267)</f>
        <v>Tenant Bad Debt Expense</v>
      </c>
      <c r="G267" s="18">
        <f ca="1">SUMIFS(OFFSET('BPC Data'!$F:$F,0,Summary!G$2),'BPC Data'!$E:$E,Summary!$D267,'BPC Data'!$B:$B,Summary!$C267)</f>
        <v>0</v>
      </c>
      <c r="H267" s="92">
        <f ca="1">SUMIFS(OFFSET('BPC Data'!$F:$F,0,Summary!H$2),'BPC Data'!$E:$E,Summary!$D267,'BPC Data'!$B:$B,Summary!$C267)</f>
        <v>0</v>
      </c>
      <c r="I267" s="18">
        <f ca="1">SUMIFS(OFFSET('BPC Data'!$F:$F,0,Summary!I$2),'BPC Data'!$E:$E,Summary!$D267,'BPC Data'!$B:$B,Summary!$C267)</f>
        <v>0</v>
      </c>
      <c r="J267" s="92">
        <f ca="1">SUMIFS(OFFSET('BPC Data'!$F:$F,0,Summary!J$2),'BPC Data'!$E:$E,Summary!$D267,'BPC Data'!$B:$B,Summary!$C267)</f>
        <v>0</v>
      </c>
      <c r="K267" s="18">
        <f ca="1">SUMIFS(OFFSET('BPC Data'!$F:$F,0,Summary!K$2),'BPC Data'!$E:$E,Summary!$D267,'BPC Data'!$B:$B,Summary!$C267)</f>
        <v>0</v>
      </c>
      <c r="L267" s="92">
        <f ca="1">SUMIFS(OFFSET('BPC Data'!$F:$F,0,Summary!L$2),'BPC Data'!$E:$E,Summary!$D267,'BPC Data'!$B:$B,Summary!$C267)</f>
        <v>0</v>
      </c>
      <c r="M267" s="32"/>
      <c r="N267" s="110"/>
      <c r="O267" s="106">
        <f t="shared" si="90"/>
        <v>0</v>
      </c>
    </row>
    <row r="268" spans="1:15" s="16" customFormat="1" hidden="1" outlineLevel="1" x14ac:dyDescent="0.25">
      <c r="A268" s="16">
        <f t="shared" si="115"/>
        <v>24</v>
      </c>
      <c r="B268"/>
      <c r="C268">
        <f>$F262</f>
        <v>0</v>
      </c>
      <c r="D268" s="2" t="str">
        <f t="shared" si="95"/>
        <v>T_EBITDARM - EBITDARM</v>
      </c>
      <c r="E268"/>
      <c r="F268" s="22" t="str">
        <f>_xll.EVDES(D268)</f>
        <v>EBITDARM</v>
      </c>
      <c r="G268" s="18">
        <f ca="1">SUMIFS(OFFSET('BPC Data'!$F:$F,0,Summary!G$2),'BPC Data'!$E:$E,Summary!$D268,'BPC Data'!$B:$B,Summary!$C268)</f>
        <v>0</v>
      </c>
      <c r="H268" s="92">
        <f ca="1">SUMIFS(OFFSET('BPC Data'!$F:$F,0,Summary!H$2),'BPC Data'!$E:$E,Summary!$D268,'BPC Data'!$B:$B,Summary!$C268)</f>
        <v>0</v>
      </c>
      <c r="I268" s="18">
        <f ca="1">SUMIFS(OFFSET('BPC Data'!$F:$F,0,Summary!I$2),'BPC Data'!$E:$E,Summary!$D268,'BPC Data'!$B:$B,Summary!$C268)</f>
        <v>0</v>
      </c>
      <c r="J268" s="92">
        <f ca="1">SUMIFS(OFFSET('BPC Data'!$F:$F,0,Summary!J$2),'BPC Data'!$E:$E,Summary!$D268,'BPC Data'!$B:$B,Summary!$C268)</f>
        <v>0</v>
      </c>
      <c r="K268" s="18">
        <f ca="1">SUMIFS(OFFSET('BPC Data'!$F:$F,0,Summary!K$2),'BPC Data'!$E:$E,Summary!$D268,'BPC Data'!$B:$B,Summary!$C268)</f>
        <v>0</v>
      </c>
      <c r="L268" s="92">
        <f ca="1">SUMIFS(OFFSET('BPC Data'!$F:$F,0,Summary!L$2),'BPC Data'!$E:$E,Summary!$D268,'BPC Data'!$B:$B,Summary!$C268)</f>
        <v>0</v>
      </c>
      <c r="M268" s="32"/>
      <c r="N268" s="110"/>
      <c r="O268" s="106">
        <f t="shared" ref="O268:O331" si="116">N268-M268</f>
        <v>0</v>
      </c>
    </row>
    <row r="269" spans="1:15" s="16" customFormat="1" hidden="1" outlineLevel="1" x14ac:dyDescent="0.25">
      <c r="A269" s="16">
        <f t="shared" si="115"/>
        <v>24</v>
      </c>
      <c r="B269"/>
      <c r="C269">
        <f>$F262</f>
        <v>0</v>
      </c>
      <c r="D269" s="2" t="str">
        <f t="shared" si="95"/>
        <v>T_MGMT_FEE - Tenant Management Fee - Actual</v>
      </c>
      <c r="E269"/>
      <c r="F269" s="22" t="str">
        <f>_xll.EVDES(D269)</f>
        <v>Tenant Management Fee - Actual</v>
      </c>
      <c r="G269" s="18">
        <f ca="1">SUMIFS(OFFSET('BPC Data'!$F:$F,0,Summary!G$2),'BPC Data'!$E:$E,Summary!$D269,'BPC Data'!$B:$B,Summary!$C269)</f>
        <v>0</v>
      </c>
      <c r="H269" s="92">
        <f ca="1">SUMIFS(OFFSET('BPC Data'!$F:$F,0,Summary!H$2),'BPC Data'!$E:$E,Summary!$D269,'BPC Data'!$B:$B,Summary!$C269)</f>
        <v>0</v>
      </c>
      <c r="I269" s="18">
        <f ca="1">SUMIFS(OFFSET('BPC Data'!$F:$F,0,Summary!I$2),'BPC Data'!$E:$E,Summary!$D269,'BPC Data'!$B:$B,Summary!$C269)</f>
        <v>0</v>
      </c>
      <c r="J269" s="92">
        <f ca="1">SUMIFS(OFFSET('BPC Data'!$F:$F,0,Summary!J$2),'BPC Data'!$E:$E,Summary!$D269,'BPC Data'!$B:$B,Summary!$C269)</f>
        <v>0</v>
      </c>
      <c r="K269" s="18">
        <f ca="1">SUMIFS(OFFSET('BPC Data'!$F:$F,0,Summary!K$2),'BPC Data'!$E:$E,Summary!$D269,'BPC Data'!$B:$B,Summary!$C269)</f>
        <v>0</v>
      </c>
      <c r="L269" s="92">
        <f ca="1">SUMIFS(OFFSET('BPC Data'!$F:$F,0,Summary!L$2),'BPC Data'!$E:$E,Summary!$D269,'BPC Data'!$B:$B,Summary!$C269)</f>
        <v>0</v>
      </c>
      <c r="M269" s="32"/>
      <c r="N269" s="110"/>
      <c r="O269" s="106">
        <f t="shared" si="116"/>
        <v>0</v>
      </c>
    </row>
    <row r="270" spans="1:15" s="16" customFormat="1" hidden="1" outlineLevel="1" x14ac:dyDescent="0.25">
      <c r="A270" s="16">
        <f t="shared" si="115"/>
        <v>24</v>
      </c>
      <c r="B270"/>
      <c r="C270">
        <f>$F262</f>
        <v>0</v>
      </c>
      <c r="D270" s="1" t="str">
        <f t="shared" si="95"/>
        <v>T_EBITDAR - EBITDAR</v>
      </c>
      <c r="E270"/>
      <c r="F270" s="22" t="str">
        <f>_xll.EVDES(D270)</f>
        <v>EBITDAR</v>
      </c>
      <c r="G270" s="18">
        <f ca="1">SUMIFS(OFFSET('BPC Data'!$F:$F,0,Summary!G$2),'BPC Data'!$E:$E,Summary!$D270,'BPC Data'!$B:$B,Summary!$C270)</f>
        <v>0</v>
      </c>
      <c r="H270" s="92">
        <f ca="1">SUMIFS(OFFSET('BPC Data'!$F:$F,0,Summary!H$2),'BPC Data'!$E:$E,Summary!$D270,'BPC Data'!$B:$B,Summary!$C270)</f>
        <v>0</v>
      </c>
      <c r="I270" s="18">
        <f ca="1">SUMIFS(OFFSET('BPC Data'!$F:$F,0,Summary!I$2),'BPC Data'!$E:$E,Summary!$D270,'BPC Data'!$B:$B,Summary!$C270)</f>
        <v>0</v>
      </c>
      <c r="J270" s="92">
        <f ca="1">SUMIFS(OFFSET('BPC Data'!$F:$F,0,Summary!J$2),'BPC Data'!$E:$E,Summary!$D270,'BPC Data'!$B:$B,Summary!$C270)</f>
        <v>0</v>
      </c>
      <c r="K270" s="18">
        <f ca="1">SUMIFS(OFFSET('BPC Data'!$F:$F,0,Summary!K$2),'BPC Data'!$E:$E,Summary!$D270,'BPC Data'!$B:$B,Summary!$C270)</f>
        <v>0</v>
      </c>
      <c r="L270" s="92">
        <f ca="1">SUMIFS(OFFSET('BPC Data'!$F:$F,0,Summary!L$2),'BPC Data'!$E:$E,Summary!$D270,'BPC Data'!$B:$B,Summary!$C270)</f>
        <v>0</v>
      </c>
      <c r="M270" s="32"/>
      <c r="N270" s="110"/>
      <c r="O270" s="106">
        <f t="shared" si="116"/>
        <v>0</v>
      </c>
    </row>
    <row r="271" spans="1:15" s="16" customFormat="1" hidden="1" outlineLevel="1" x14ac:dyDescent="0.25">
      <c r="A271" s="16">
        <f t="shared" si="115"/>
        <v>24</v>
      </c>
      <c r="B271"/>
      <c r="C271">
        <f>$F262</f>
        <v>0</v>
      </c>
      <c r="D271" s="1" t="str">
        <f t="shared" si="95"/>
        <v>T_RENT_EXP - Tenant Rent Expense</v>
      </c>
      <c r="E271"/>
      <c r="F271" s="22" t="str">
        <f>_xll.EVDES(D271)</f>
        <v>Tenant Rent Expense</v>
      </c>
      <c r="G271" s="18">
        <f ca="1">SUMIFS(OFFSET('BPC Data'!$F:$F,0,Summary!G$2),'BPC Data'!$E:$E,Summary!$D271,'BPC Data'!$B:$B,Summary!$C271)</f>
        <v>0</v>
      </c>
      <c r="H271" s="92">
        <f ca="1">SUMIFS(OFFSET('BPC Data'!$F:$F,0,Summary!H$2),'BPC Data'!$E:$E,Summary!$D271,'BPC Data'!$B:$B,Summary!$C271)</f>
        <v>0</v>
      </c>
      <c r="I271" s="18">
        <f ca="1">SUMIFS(OFFSET('BPC Data'!$F:$F,0,Summary!I$2),'BPC Data'!$E:$E,Summary!$D271,'BPC Data'!$B:$B,Summary!$C271)</f>
        <v>0</v>
      </c>
      <c r="J271" s="92">
        <f ca="1">SUMIFS(OFFSET('BPC Data'!$F:$F,0,Summary!J$2),'BPC Data'!$E:$E,Summary!$D271,'BPC Data'!$B:$B,Summary!$C271)</f>
        <v>0</v>
      </c>
      <c r="K271" s="18">
        <f ca="1">SUMIFS(OFFSET('BPC Data'!$F:$F,0,Summary!K$2),'BPC Data'!$E:$E,Summary!$D271,'BPC Data'!$B:$B,Summary!$C271)</f>
        <v>0</v>
      </c>
      <c r="L271" s="92">
        <f ca="1">SUMIFS(OFFSET('BPC Data'!$F:$F,0,Summary!L$2),'BPC Data'!$E:$E,Summary!$D271,'BPC Data'!$B:$B,Summary!$C271)</f>
        <v>0</v>
      </c>
      <c r="M271" s="32"/>
      <c r="N271" s="110"/>
      <c r="O271" s="106">
        <f t="shared" si="116"/>
        <v>0</v>
      </c>
    </row>
    <row r="272" spans="1:15" s="16" customFormat="1" hidden="1" outlineLevel="1" x14ac:dyDescent="0.25">
      <c r="A272" s="16">
        <f t="shared" si="115"/>
        <v>24</v>
      </c>
      <c r="B272"/>
      <c r="C272"/>
      <c r="D272" s="1" t="str">
        <f t="shared" si="95"/>
        <v>x</v>
      </c>
      <c r="E272"/>
      <c r="F272" s="22" t="s">
        <v>0</v>
      </c>
      <c r="G272" s="11" t="e">
        <f t="shared" ref="G272:H272" ca="1" si="117">G270/G271</f>
        <v>#DIV/0!</v>
      </c>
      <c r="H272" s="93" t="e">
        <f t="shared" ca="1" si="117"/>
        <v>#DIV/0!</v>
      </c>
      <c r="I272" s="11" t="e">
        <f t="shared" ref="I272:J272" ca="1" si="118">I270/I271</f>
        <v>#DIV/0!</v>
      </c>
      <c r="J272" s="93" t="e">
        <f t="shared" ca="1" si="118"/>
        <v>#DIV/0!</v>
      </c>
      <c r="K272" s="11" t="e">
        <f t="shared" ref="K272:L272" ca="1" si="119">K270/K271</f>
        <v>#DIV/0!</v>
      </c>
      <c r="L272" s="93" t="e">
        <f t="shared" ca="1" si="119"/>
        <v>#DIV/0!</v>
      </c>
      <c r="M272" s="32"/>
      <c r="N272" s="110"/>
      <c r="O272" s="106">
        <f t="shared" si="116"/>
        <v>0</v>
      </c>
    </row>
    <row r="273" spans="1:15" s="16" customFormat="1" hidden="1" outlineLevel="1" x14ac:dyDescent="0.25">
      <c r="A273" s="16">
        <f>IF(AND(D273&lt;&gt;"",C273=""),A272+1,A272)</f>
        <v>25</v>
      </c>
      <c r="B273" s="4"/>
      <c r="C273" s="4"/>
      <c r="D273" s="4" t="str">
        <f t="shared" si="95"/>
        <v>x</v>
      </c>
      <c r="E273" s="4"/>
      <c r="F273" s="21">
        <f>INDEX(PropertyList!$D:$D,MATCH(Summary!$A273,PropertyList!$C:$C,0))</f>
        <v>0</v>
      </c>
      <c r="G273" s="10"/>
      <c r="H273" s="91"/>
      <c r="I273" s="10"/>
      <c r="J273" s="91"/>
      <c r="K273" s="10"/>
      <c r="L273" s="91"/>
      <c r="M273" s="32"/>
      <c r="N273" s="110"/>
      <c r="O273" s="106">
        <f t="shared" si="116"/>
        <v>0</v>
      </c>
    </row>
    <row r="274" spans="1:15" s="16" customFormat="1" hidden="1" outlineLevel="1" x14ac:dyDescent="0.25">
      <c r="A274" s="16">
        <f>IF(AND(F274&lt;&gt;"",D274=""),A273+1,A273)</f>
        <v>25</v>
      </c>
      <c r="C274">
        <f>$F273</f>
        <v>0</v>
      </c>
      <c r="D274" s="3" t="str">
        <f t="shared" si="95"/>
        <v>PAY_PAT_DAYS - Total Payor Patient Days</v>
      </c>
      <c r="F274" s="22" t="str">
        <f>_xll.EVDES(D274)</f>
        <v>Total Payor Patient Days</v>
      </c>
      <c r="G274" s="18">
        <f ca="1">SUMIFS(OFFSET('BPC Data'!$F:$F,0,Summary!G$2),'BPC Data'!$E:$E,Summary!$D274,'BPC Data'!$B:$B,Summary!$C274)</f>
        <v>0</v>
      </c>
      <c r="H274" s="92">
        <f ca="1">SUMIFS(OFFSET('BPC Data'!$F:$F,0,Summary!H$2),'BPC Data'!$E:$E,Summary!$D274,'BPC Data'!$B:$B,Summary!$C274)</f>
        <v>0</v>
      </c>
      <c r="I274" s="18">
        <f ca="1">SUMIFS(OFFSET('BPC Data'!$F:$F,0,Summary!I$2),'BPC Data'!$E:$E,Summary!$D274,'BPC Data'!$B:$B,Summary!$C274)</f>
        <v>0</v>
      </c>
      <c r="J274" s="92">
        <f ca="1">SUMIFS(OFFSET('BPC Data'!$F:$F,0,Summary!J$2),'BPC Data'!$E:$E,Summary!$D274,'BPC Data'!$B:$B,Summary!$C274)</f>
        <v>0</v>
      </c>
      <c r="K274" s="18">
        <f ca="1">SUMIFS(OFFSET('BPC Data'!$F:$F,0,Summary!K$2),'BPC Data'!$E:$E,Summary!$D274,'BPC Data'!$B:$B,Summary!$C274)</f>
        <v>0</v>
      </c>
      <c r="L274" s="92">
        <f ca="1">SUMIFS(OFFSET('BPC Data'!$F:$F,0,Summary!L$2),'BPC Data'!$E:$E,Summary!$D274,'BPC Data'!$B:$B,Summary!$C274)</f>
        <v>0</v>
      </c>
      <c r="M274" s="32"/>
      <c r="N274" s="110"/>
      <c r="O274" s="106">
        <f t="shared" si="116"/>
        <v>0</v>
      </c>
    </row>
    <row r="275" spans="1:15" s="16" customFormat="1" hidden="1" outlineLevel="1" x14ac:dyDescent="0.25">
      <c r="A275" s="16">
        <f t="shared" ref="A275:A283" si="120">IF(AND(F275&lt;&gt;"",D275=""),A274+1,A274)</f>
        <v>25</v>
      </c>
      <c r="C275">
        <f>$F273</f>
        <v>0</v>
      </c>
      <c r="D275" s="3" t="str">
        <f t="shared" si="95"/>
        <v>A_BEDS_TOTAL - Total Available Beds</v>
      </c>
      <c r="F275" s="22" t="str">
        <f>_xll.EVDES(D275)</f>
        <v>Total Available Beds</v>
      </c>
      <c r="G275" s="18">
        <f ca="1">SUMIFS(OFFSET('BPC Data'!$F:$F,0,Summary!G$2),'BPC Data'!$E:$E,Summary!$D275,'BPC Data'!$B:$B,Summary!$C275)</f>
        <v>0</v>
      </c>
      <c r="H275" s="92">
        <f ca="1">SUMIFS(OFFSET('BPC Data'!$F:$F,0,Summary!H$2),'BPC Data'!$E:$E,Summary!$D275,'BPC Data'!$B:$B,Summary!$C275)</f>
        <v>0</v>
      </c>
      <c r="I275" s="18">
        <f ca="1">SUMIFS(OFFSET('BPC Data'!$F:$F,0,Summary!I$2),'BPC Data'!$E:$E,Summary!$D275,'BPC Data'!$B:$B,Summary!$C275)</f>
        <v>0</v>
      </c>
      <c r="J275" s="92">
        <f ca="1">SUMIFS(OFFSET('BPC Data'!$F:$F,0,Summary!J$2),'BPC Data'!$E:$E,Summary!$D275,'BPC Data'!$B:$B,Summary!$C275)</f>
        <v>0</v>
      </c>
      <c r="K275" s="18">
        <f ca="1">SUMIFS(OFFSET('BPC Data'!$F:$F,0,Summary!K$2),'BPC Data'!$E:$E,Summary!$D275,'BPC Data'!$B:$B,Summary!$C275)</f>
        <v>0</v>
      </c>
      <c r="L275" s="92">
        <f ca="1">SUMIFS(OFFSET('BPC Data'!$F:$F,0,Summary!L$2),'BPC Data'!$E:$E,Summary!$D275,'BPC Data'!$B:$B,Summary!$C275)</f>
        <v>0</v>
      </c>
      <c r="M275" s="32"/>
      <c r="N275" s="110"/>
      <c r="O275" s="106">
        <f t="shared" si="116"/>
        <v>0</v>
      </c>
    </row>
    <row r="276" spans="1:15" s="16" customFormat="1" hidden="1" outlineLevel="1" x14ac:dyDescent="0.25">
      <c r="A276" s="16">
        <f t="shared" si="120"/>
        <v>25</v>
      </c>
      <c r="B276"/>
      <c r="C276">
        <f>$F273</f>
        <v>0</v>
      </c>
      <c r="D276" s="3" t="str">
        <f t="shared" si="95"/>
        <v>T_REVENUES - Total Tenant Revenues</v>
      </c>
      <c r="E276"/>
      <c r="F276" s="22" t="str">
        <f>_xll.EVDES(D276)</f>
        <v>Total Tenant Revenues</v>
      </c>
      <c r="G276" s="18">
        <f ca="1">SUMIFS(OFFSET('BPC Data'!$F:$F,0,Summary!G$2),'BPC Data'!$E:$E,Summary!$D276,'BPC Data'!$B:$B,Summary!$C276)</f>
        <v>0</v>
      </c>
      <c r="H276" s="92">
        <f ca="1">SUMIFS(OFFSET('BPC Data'!$F:$F,0,Summary!H$2),'BPC Data'!$E:$E,Summary!$D276,'BPC Data'!$B:$B,Summary!$C276)</f>
        <v>0</v>
      </c>
      <c r="I276" s="18">
        <f ca="1">SUMIFS(OFFSET('BPC Data'!$F:$F,0,Summary!I$2),'BPC Data'!$E:$E,Summary!$D276,'BPC Data'!$B:$B,Summary!$C276)</f>
        <v>0</v>
      </c>
      <c r="J276" s="92">
        <f ca="1">SUMIFS(OFFSET('BPC Data'!$F:$F,0,Summary!J$2),'BPC Data'!$E:$E,Summary!$D276,'BPC Data'!$B:$B,Summary!$C276)</f>
        <v>0</v>
      </c>
      <c r="K276" s="18">
        <f ca="1">SUMIFS(OFFSET('BPC Data'!$F:$F,0,Summary!K$2),'BPC Data'!$E:$E,Summary!$D276,'BPC Data'!$B:$B,Summary!$C276)</f>
        <v>0</v>
      </c>
      <c r="L276" s="92">
        <f ca="1">SUMIFS(OFFSET('BPC Data'!$F:$F,0,Summary!L$2),'BPC Data'!$E:$E,Summary!$D276,'BPC Data'!$B:$B,Summary!$C276)</f>
        <v>0</v>
      </c>
      <c r="M276" s="32"/>
      <c r="N276" s="110"/>
      <c r="O276" s="106">
        <f t="shared" si="116"/>
        <v>0</v>
      </c>
    </row>
    <row r="277" spans="1:15" s="16" customFormat="1" hidden="1" outlineLevel="1" x14ac:dyDescent="0.25">
      <c r="A277" s="16">
        <f t="shared" si="120"/>
        <v>25</v>
      </c>
      <c r="B277"/>
      <c r="C277">
        <f>$F273</f>
        <v>0</v>
      </c>
      <c r="D277" s="3" t="str">
        <f t="shared" si="95"/>
        <v>T_OPEX - Tenant Operating Expenses</v>
      </c>
      <c r="E277"/>
      <c r="F277" s="22" t="str">
        <f>_xll.EVDES(D277)</f>
        <v>Tenant Operating Expenses</v>
      </c>
      <c r="G277" s="18">
        <f ca="1">SUMIFS(OFFSET('BPC Data'!$F:$F,0,Summary!G$2),'BPC Data'!$E:$E,Summary!$D277,'BPC Data'!$B:$B,Summary!$C277)</f>
        <v>0</v>
      </c>
      <c r="H277" s="92">
        <f ca="1">SUMIFS(OFFSET('BPC Data'!$F:$F,0,Summary!H$2),'BPC Data'!$E:$E,Summary!$D277,'BPC Data'!$B:$B,Summary!$C277)</f>
        <v>0</v>
      </c>
      <c r="I277" s="18">
        <f ca="1">SUMIFS(OFFSET('BPC Data'!$F:$F,0,Summary!I$2),'BPC Data'!$E:$E,Summary!$D277,'BPC Data'!$B:$B,Summary!$C277)</f>
        <v>0</v>
      </c>
      <c r="J277" s="92">
        <f ca="1">SUMIFS(OFFSET('BPC Data'!$F:$F,0,Summary!J$2),'BPC Data'!$E:$E,Summary!$D277,'BPC Data'!$B:$B,Summary!$C277)</f>
        <v>0</v>
      </c>
      <c r="K277" s="18">
        <f ca="1">SUMIFS(OFFSET('BPC Data'!$F:$F,0,Summary!K$2),'BPC Data'!$E:$E,Summary!$D277,'BPC Data'!$B:$B,Summary!$C277)</f>
        <v>0</v>
      </c>
      <c r="L277" s="92">
        <f ca="1">SUMIFS(OFFSET('BPC Data'!$F:$F,0,Summary!L$2),'BPC Data'!$E:$E,Summary!$D277,'BPC Data'!$B:$B,Summary!$C277)</f>
        <v>0</v>
      </c>
      <c r="M277" s="32"/>
      <c r="N277" s="110"/>
      <c r="O277" s="106">
        <f t="shared" si="116"/>
        <v>0</v>
      </c>
    </row>
    <row r="278" spans="1:15" s="16" customFormat="1" hidden="1" outlineLevel="1" x14ac:dyDescent="0.25">
      <c r="A278" s="16">
        <f t="shared" si="120"/>
        <v>25</v>
      </c>
      <c r="B278"/>
      <c r="C278">
        <f>$F273</f>
        <v>0</v>
      </c>
      <c r="D278" s="3" t="str">
        <f t="shared" ref="D278:D341" si="121">$D267</f>
        <v>T_BAD_DEBT - Tenant Bad Debt Expense</v>
      </c>
      <c r="E278"/>
      <c r="F278" s="22" t="str">
        <f>_xll.EVDES(D278)</f>
        <v>Tenant Bad Debt Expense</v>
      </c>
      <c r="G278" s="18">
        <f ca="1">SUMIFS(OFFSET('BPC Data'!$F:$F,0,Summary!G$2),'BPC Data'!$E:$E,Summary!$D278,'BPC Data'!$B:$B,Summary!$C278)</f>
        <v>0</v>
      </c>
      <c r="H278" s="92">
        <f ca="1">SUMIFS(OFFSET('BPC Data'!$F:$F,0,Summary!H$2),'BPC Data'!$E:$E,Summary!$D278,'BPC Data'!$B:$B,Summary!$C278)</f>
        <v>0</v>
      </c>
      <c r="I278" s="18">
        <f ca="1">SUMIFS(OFFSET('BPC Data'!$F:$F,0,Summary!I$2),'BPC Data'!$E:$E,Summary!$D278,'BPC Data'!$B:$B,Summary!$C278)</f>
        <v>0</v>
      </c>
      <c r="J278" s="92">
        <f ca="1">SUMIFS(OFFSET('BPC Data'!$F:$F,0,Summary!J$2),'BPC Data'!$E:$E,Summary!$D278,'BPC Data'!$B:$B,Summary!$C278)</f>
        <v>0</v>
      </c>
      <c r="K278" s="18">
        <f ca="1">SUMIFS(OFFSET('BPC Data'!$F:$F,0,Summary!K$2),'BPC Data'!$E:$E,Summary!$D278,'BPC Data'!$B:$B,Summary!$C278)</f>
        <v>0</v>
      </c>
      <c r="L278" s="92">
        <f ca="1">SUMIFS(OFFSET('BPC Data'!$F:$F,0,Summary!L$2),'BPC Data'!$E:$E,Summary!$D278,'BPC Data'!$B:$B,Summary!$C278)</f>
        <v>0</v>
      </c>
      <c r="M278" s="32"/>
      <c r="N278" s="110"/>
      <c r="O278" s="106">
        <f t="shared" si="116"/>
        <v>0</v>
      </c>
    </row>
    <row r="279" spans="1:15" s="16" customFormat="1" hidden="1" outlineLevel="1" x14ac:dyDescent="0.25">
      <c r="A279" s="16">
        <f t="shared" si="120"/>
        <v>25</v>
      </c>
      <c r="B279"/>
      <c r="C279">
        <f>$F273</f>
        <v>0</v>
      </c>
      <c r="D279" s="2" t="str">
        <f t="shared" si="121"/>
        <v>T_EBITDARM - EBITDARM</v>
      </c>
      <c r="E279"/>
      <c r="F279" s="22" t="str">
        <f>_xll.EVDES(D279)</f>
        <v>EBITDARM</v>
      </c>
      <c r="G279" s="18">
        <f ca="1">SUMIFS(OFFSET('BPC Data'!$F:$F,0,Summary!G$2),'BPC Data'!$E:$E,Summary!$D279,'BPC Data'!$B:$B,Summary!$C279)</f>
        <v>0</v>
      </c>
      <c r="H279" s="92">
        <f ca="1">SUMIFS(OFFSET('BPC Data'!$F:$F,0,Summary!H$2),'BPC Data'!$E:$E,Summary!$D279,'BPC Data'!$B:$B,Summary!$C279)</f>
        <v>0</v>
      </c>
      <c r="I279" s="18">
        <f ca="1">SUMIFS(OFFSET('BPC Data'!$F:$F,0,Summary!I$2),'BPC Data'!$E:$E,Summary!$D279,'BPC Data'!$B:$B,Summary!$C279)</f>
        <v>0</v>
      </c>
      <c r="J279" s="92">
        <f ca="1">SUMIFS(OFFSET('BPC Data'!$F:$F,0,Summary!J$2),'BPC Data'!$E:$E,Summary!$D279,'BPC Data'!$B:$B,Summary!$C279)</f>
        <v>0</v>
      </c>
      <c r="K279" s="18">
        <f ca="1">SUMIFS(OFFSET('BPC Data'!$F:$F,0,Summary!K$2),'BPC Data'!$E:$E,Summary!$D279,'BPC Data'!$B:$B,Summary!$C279)</f>
        <v>0</v>
      </c>
      <c r="L279" s="92">
        <f ca="1">SUMIFS(OFFSET('BPC Data'!$F:$F,0,Summary!L$2),'BPC Data'!$E:$E,Summary!$D279,'BPC Data'!$B:$B,Summary!$C279)</f>
        <v>0</v>
      </c>
      <c r="M279" s="32"/>
      <c r="N279" s="110"/>
      <c r="O279" s="106">
        <f t="shared" si="116"/>
        <v>0</v>
      </c>
    </row>
    <row r="280" spans="1:15" s="16" customFormat="1" hidden="1" outlineLevel="1" x14ac:dyDescent="0.25">
      <c r="A280" s="16">
        <f t="shared" si="120"/>
        <v>25</v>
      </c>
      <c r="B280"/>
      <c r="C280">
        <f>$F273</f>
        <v>0</v>
      </c>
      <c r="D280" s="2" t="str">
        <f t="shared" si="121"/>
        <v>T_MGMT_FEE - Tenant Management Fee - Actual</v>
      </c>
      <c r="E280"/>
      <c r="F280" s="22" t="str">
        <f>_xll.EVDES(D280)</f>
        <v>Tenant Management Fee - Actual</v>
      </c>
      <c r="G280" s="18">
        <f ca="1">SUMIFS(OFFSET('BPC Data'!$F:$F,0,Summary!G$2),'BPC Data'!$E:$E,Summary!$D280,'BPC Data'!$B:$B,Summary!$C280)</f>
        <v>0</v>
      </c>
      <c r="H280" s="92">
        <f ca="1">SUMIFS(OFFSET('BPC Data'!$F:$F,0,Summary!H$2),'BPC Data'!$E:$E,Summary!$D280,'BPC Data'!$B:$B,Summary!$C280)</f>
        <v>0</v>
      </c>
      <c r="I280" s="18">
        <f ca="1">SUMIFS(OFFSET('BPC Data'!$F:$F,0,Summary!I$2),'BPC Data'!$E:$E,Summary!$D280,'BPC Data'!$B:$B,Summary!$C280)</f>
        <v>0</v>
      </c>
      <c r="J280" s="92">
        <f ca="1">SUMIFS(OFFSET('BPC Data'!$F:$F,0,Summary!J$2),'BPC Data'!$E:$E,Summary!$D280,'BPC Data'!$B:$B,Summary!$C280)</f>
        <v>0</v>
      </c>
      <c r="K280" s="18">
        <f ca="1">SUMIFS(OFFSET('BPC Data'!$F:$F,0,Summary!K$2),'BPC Data'!$E:$E,Summary!$D280,'BPC Data'!$B:$B,Summary!$C280)</f>
        <v>0</v>
      </c>
      <c r="L280" s="92">
        <f ca="1">SUMIFS(OFFSET('BPC Data'!$F:$F,0,Summary!L$2),'BPC Data'!$E:$E,Summary!$D280,'BPC Data'!$B:$B,Summary!$C280)</f>
        <v>0</v>
      </c>
      <c r="M280" s="32"/>
      <c r="N280" s="110"/>
      <c r="O280" s="106">
        <f t="shared" si="116"/>
        <v>0</v>
      </c>
    </row>
    <row r="281" spans="1:15" s="16" customFormat="1" hidden="1" outlineLevel="1" x14ac:dyDescent="0.25">
      <c r="A281" s="16">
        <f t="shared" si="120"/>
        <v>25</v>
      </c>
      <c r="B281"/>
      <c r="C281">
        <f>$F273</f>
        <v>0</v>
      </c>
      <c r="D281" s="1" t="str">
        <f t="shared" si="121"/>
        <v>T_EBITDAR - EBITDAR</v>
      </c>
      <c r="E281"/>
      <c r="F281" s="22" t="str">
        <f>_xll.EVDES(D281)</f>
        <v>EBITDAR</v>
      </c>
      <c r="G281" s="18">
        <f ca="1">SUMIFS(OFFSET('BPC Data'!$F:$F,0,Summary!G$2),'BPC Data'!$E:$E,Summary!$D281,'BPC Data'!$B:$B,Summary!$C281)</f>
        <v>0</v>
      </c>
      <c r="H281" s="92">
        <f ca="1">SUMIFS(OFFSET('BPC Data'!$F:$F,0,Summary!H$2),'BPC Data'!$E:$E,Summary!$D281,'BPC Data'!$B:$B,Summary!$C281)</f>
        <v>0</v>
      </c>
      <c r="I281" s="18">
        <f ca="1">SUMIFS(OFFSET('BPC Data'!$F:$F,0,Summary!I$2),'BPC Data'!$E:$E,Summary!$D281,'BPC Data'!$B:$B,Summary!$C281)</f>
        <v>0</v>
      </c>
      <c r="J281" s="92">
        <f ca="1">SUMIFS(OFFSET('BPC Data'!$F:$F,0,Summary!J$2),'BPC Data'!$E:$E,Summary!$D281,'BPC Data'!$B:$B,Summary!$C281)</f>
        <v>0</v>
      </c>
      <c r="K281" s="18">
        <f ca="1">SUMIFS(OFFSET('BPC Data'!$F:$F,0,Summary!K$2),'BPC Data'!$E:$E,Summary!$D281,'BPC Data'!$B:$B,Summary!$C281)</f>
        <v>0</v>
      </c>
      <c r="L281" s="92">
        <f ca="1">SUMIFS(OFFSET('BPC Data'!$F:$F,0,Summary!L$2),'BPC Data'!$E:$E,Summary!$D281,'BPC Data'!$B:$B,Summary!$C281)</f>
        <v>0</v>
      </c>
      <c r="M281" s="32"/>
      <c r="N281" s="110"/>
      <c r="O281" s="106">
        <f t="shared" si="116"/>
        <v>0</v>
      </c>
    </row>
    <row r="282" spans="1:15" s="16" customFormat="1" hidden="1" outlineLevel="1" x14ac:dyDescent="0.25">
      <c r="A282" s="16">
        <f t="shared" si="120"/>
        <v>25</v>
      </c>
      <c r="B282"/>
      <c r="C282">
        <f>$F273</f>
        <v>0</v>
      </c>
      <c r="D282" s="1" t="str">
        <f t="shared" si="121"/>
        <v>T_RENT_EXP - Tenant Rent Expense</v>
      </c>
      <c r="E282"/>
      <c r="F282" s="22" t="str">
        <f>_xll.EVDES(D282)</f>
        <v>Tenant Rent Expense</v>
      </c>
      <c r="G282" s="18">
        <f ca="1">SUMIFS(OFFSET('BPC Data'!$F:$F,0,Summary!G$2),'BPC Data'!$E:$E,Summary!$D282,'BPC Data'!$B:$B,Summary!$C282)</f>
        <v>0</v>
      </c>
      <c r="H282" s="92">
        <f ca="1">SUMIFS(OFFSET('BPC Data'!$F:$F,0,Summary!H$2),'BPC Data'!$E:$E,Summary!$D282,'BPC Data'!$B:$B,Summary!$C282)</f>
        <v>0</v>
      </c>
      <c r="I282" s="18">
        <f ca="1">SUMIFS(OFFSET('BPC Data'!$F:$F,0,Summary!I$2),'BPC Data'!$E:$E,Summary!$D282,'BPC Data'!$B:$B,Summary!$C282)</f>
        <v>0</v>
      </c>
      <c r="J282" s="92">
        <f ca="1">SUMIFS(OFFSET('BPC Data'!$F:$F,0,Summary!J$2),'BPC Data'!$E:$E,Summary!$D282,'BPC Data'!$B:$B,Summary!$C282)</f>
        <v>0</v>
      </c>
      <c r="K282" s="18">
        <f ca="1">SUMIFS(OFFSET('BPC Data'!$F:$F,0,Summary!K$2),'BPC Data'!$E:$E,Summary!$D282,'BPC Data'!$B:$B,Summary!$C282)</f>
        <v>0</v>
      </c>
      <c r="L282" s="92">
        <f ca="1">SUMIFS(OFFSET('BPC Data'!$F:$F,0,Summary!L$2),'BPC Data'!$E:$E,Summary!$D282,'BPC Data'!$B:$B,Summary!$C282)</f>
        <v>0</v>
      </c>
      <c r="M282" s="32"/>
      <c r="N282" s="110"/>
      <c r="O282" s="106">
        <f t="shared" si="116"/>
        <v>0</v>
      </c>
    </row>
    <row r="283" spans="1:15" s="16" customFormat="1" hidden="1" outlineLevel="1" x14ac:dyDescent="0.25">
      <c r="A283" s="16">
        <f t="shared" si="120"/>
        <v>25</v>
      </c>
      <c r="B283"/>
      <c r="C283"/>
      <c r="D283" s="1" t="str">
        <f t="shared" si="121"/>
        <v>x</v>
      </c>
      <c r="E283"/>
      <c r="F283" s="22" t="s">
        <v>0</v>
      </c>
      <c r="G283" s="11" t="e">
        <f t="shared" ref="G283:H283" ca="1" si="122">G281/G282</f>
        <v>#DIV/0!</v>
      </c>
      <c r="H283" s="93" t="e">
        <f t="shared" ca="1" si="122"/>
        <v>#DIV/0!</v>
      </c>
      <c r="I283" s="11" t="e">
        <f t="shared" ref="I283:J283" ca="1" si="123">I281/I282</f>
        <v>#DIV/0!</v>
      </c>
      <c r="J283" s="93" t="e">
        <f t="shared" ca="1" si="123"/>
        <v>#DIV/0!</v>
      </c>
      <c r="K283" s="11" t="e">
        <f t="shared" ref="K283:L283" ca="1" si="124">K281/K282</f>
        <v>#DIV/0!</v>
      </c>
      <c r="L283" s="93" t="e">
        <f t="shared" ca="1" si="124"/>
        <v>#DIV/0!</v>
      </c>
      <c r="M283" s="32"/>
      <c r="N283" s="110"/>
      <c r="O283" s="106">
        <f t="shared" si="116"/>
        <v>0</v>
      </c>
    </row>
    <row r="284" spans="1:15" s="16" customFormat="1" hidden="1" outlineLevel="1" x14ac:dyDescent="0.25">
      <c r="A284" s="16">
        <f>IF(AND(D284&lt;&gt;"",C284=""),A283+1,A283)</f>
        <v>26</v>
      </c>
      <c r="B284" s="4"/>
      <c r="C284" s="4"/>
      <c r="D284" s="4" t="str">
        <f t="shared" si="121"/>
        <v>x</v>
      </c>
      <c r="E284" s="4"/>
      <c r="F284" s="21">
        <f>INDEX(PropertyList!$D:$D,MATCH(Summary!$A284,PropertyList!$C:$C,0))</f>
        <v>0</v>
      </c>
      <c r="G284" s="10"/>
      <c r="H284" s="91"/>
      <c r="I284" s="10"/>
      <c r="J284" s="91"/>
      <c r="K284" s="10"/>
      <c r="L284" s="91"/>
      <c r="M284" s="32"/>
      <c r="N284" s="110"/>
      <c r="O284" s="106">
        <f t="shared" si="116"/>
        <v>0</v>
      </c>
    </row>
    <row r="285" spans="1:15" s="16" customFormat="1" hidden="1" outlineLevel="1" x14ac:dyDescent="0.25">
      <c r="A285" s="16">
        <f>IF(AND(F285&lt;&gt;"",D285=""),A284+1,A284)</f>
        <v>26</v>
      </c>
      <c r="C285">
        <f>$F284</f>
        <v>0</v>
      </c>
      <c r="D285" s="3" t="str">
        <f t="shared" si="121"/>
        <v>PAY_PAT_DAYS - Total Payor Patient Days</v>
      </c>
      <c r="F285" s="22" t="str">
        <f>_xll.EVDES(D285)</f>
        <v>Total Payor Patient Days</v>
      </c>
      <c r="G285" s="18">
        <f ca="1">SUMIFS(OFFSET('BPC Data'!$F:$F,0,Summary!G$2),'BPC Data'!$E:$E,Summary!$D285,'BPC Data'!$B:$B,Summary!$C285)</f>
        <v>0</v>
      </c>
      <c r="H285" s="92">
        <f ca="1">SUMIFS(OFFSET('BPC Data'!$F:$F,0,Summary!H$2),'BPC Data'!$E:$E,Summary!$D285,'BPC Data'!$B:$B,Summary!$C285)</f>
        <v>0</v>
      </c>
      <c r="I285" s="18">
        <f ca="1">SUMIFS(OFFSET('BPC Data'!$F:$F,0,Summary!I$2),'BPC Data'!$E:$E,Summary!$D285,'BPC Data'!$B:$B,Summary!$C285)</f>
        <v>0</v>
      </c>
      <c r="J285" s="92">
        <f ca="1">SUMIFS(OFFSET('BPC Data'!$F:$F,0,Summary!J$2),'BPC Data'!$E:$E,Summary!$D285,'BPC Data'!$B:$B,Summary!$C285)</f>
        <v>0</v>
      </c>
      <c r="K285" s="18">
        <f ca="1">SUMIFS(OFFSET('BPC Data'!$F:$F,0,Summary!K$2),'BPC Data'!$E:$E,Summary!$D285,'BPC Data'!$B:$B,Summary!$C285)</f>
        <v>0</v>
      </c>
      <c r="L285" s="92">
        <f ca="1">SUMIFS(OFFSET('BPC Data'!$F:$F,0,Summary!L$2),'BPC Data'!$E:$E,Summary!$D285,'BPC Data'!$B:$B,Summary!$C285)</f>
        <v>0</v>
      </c>
      <c r="M285" s="32"/>
      <c r="N285" s="110"/>
      <c r="O285" s="106">
        <f t="shared" si="116"/>
        <v>0</v>
      </c>
    </row>
    <row r="286" spans="1:15" s="16" customFormat="1" hidden="1" outlineLevel="1" x14ac:dyDescent="0.25">
      <c r="A286" s="16">
        <f t="shared" ref="A286:A294" si="125">IF(AND(F286&lt;&gt;"",D286=""),A285+1,A285)</f>
        <v>26</v>
      </c>
      <c r="C286">
        <f>$F284</f>
        <v>0</v>
      </c>
      <c r="D286" s="3" t="str">
        <f t="shared" si="121"/>
        <v>A_BEDS_TOTAL - Total Available Beds</v>
      </c>
      <c r="F286" s="22" t="str">
        <f>_xll.EVDES(D286)</f>
        <v>Total Available Beds</v>
      </c>
      <c r="G286" s="18">
        <f ca="1">SUMIFS(OFFSET('BPC Data'!$F:$F,0,Summary!G$2),'BPC Data'!$E:$E,Summary!$D286,'BPC Data'!$B:$B,Summary!$C286)</f>
        <v>0</v>
      </c>
      <c r="H286" s="92">
        <f ca="1">SUMIFS(OFFSET('BPC Data'!$F:$F,0,Summary!H$2),'BPC Data'!$E:$E,Summary!$D286,'BPC Data'!$B:$B,Summary!$C286)</f>
        <v>0</v>
      </c>
      <c r="I286" s="18">
        <f ca="1">SUMIFS(OFFSET('BPC Data'!$F:$F,0,Summary!I$2),'BPC Data'!$E:$E,Summary!$D286,'BPC Data'!$B:$B,Summary!$C286)</f>
        <v>0</v>
      </c>
      <c r="J286" s="92">
        <f ca="1">SUMIFS(OFFSET('BPC Data'!$F:$F,0,Summary!J$2),'BPC Data'!$E:$E,Summary!$D286,'BPC Data'!$B:$B,Summary!$C286)</f>
        <v>0</v>
      </c>
      <c r="K286" s="18">
        <f ca="1">SUMIFS(OFFSET('BPC Data'!$F:$F,0,Summary!K$2),'BPC Data'!$E:$E,Summary!$D286,'BPC Data'!$B:$B,Summary!$C286)</f>
        <v>0</v>
      </c>
      <c r="L286" s="92">
        <f ca="1">SUMIFS(OFFSET('BPC Data'!$F:$F,0,Summary!L$2),'BPC Data'!$E:$E,Summary!$D286,'BPC Data'!$B:$B,Summary!$C286)</f>
        <v>0</v>
      </c>
      <c r="M286" s="32"/>
      <c r="N286" s="110"/>
      <c r="O286" s="106">
        <f t="shared" si="116"/>
        <v>0</v>
      </c>
    </row>
    <row r="287" spans="1:15" s="16" customFormat="1" hidden="1" outlineLevel="1" x14ac:dyDescent="0.25">
      <c r="A287" s="16">
        <f t="shared" si="125"/>
        <v>26</v>
      </c>
      <c r="B287"/>
      <c r="C287">
        <f>$F284</f>
        <v>0</v>
      </c>
      <c r="D287" s="3" t="str">
        <f t="shared" si="121"/>
        <v>T_REVENUES - Total Tenant Revenues</v>
      </c>
      <c r="E287"/>
      <c r="F287" s="22" t="str">
        <f>_xll.EVDES(D287)</f>
        <v>Total Tenant Revenues</v>
      </c>
      <c r="G287" s="18">
        <f ca="1">SUMIFS(OFFSET('BPC Data'!$F:$F,0,Summary!G$2),'BPC Data'!$E:$E,Summary!$D287,'BPC Data'!$B:$B,Summary!$C287)</f>
        <v>0</v>
      </c>
      <c r="H287" s="92">
        <f ca="1">SUMIFS(OFFSET('BPC Data'!$F:$F,0,Summary!H$2),'BPC Data'!$E:$E,Summary!$D287,'BPC Data'!$B:$B,Summary!$C287)</f>
        <v>0</v>
      </c>
      <c r="I287" s="18">
        <f ca="1">SUMIFS(OFFSET('BPC Data'!$F:$F,0,Summary!I$2),'BPC Data'!$E:$E,Summary!$D287,'BPC Data'!$B:$B,Summary!$C287)</f>
        <v>0</v>
      </c>
      <c r="J287" s="92">
        <f ca="1">SUMIFS(OFFSET('BPC Data'!$F:$F,0,Summary!J$2),'BPC Data'!$E:$E,Summary!$D287,'BPC Data'!$B:$B,Summary!$C287)</f>
        <v>0</v>
      </c>
      <c r="K287" s="18">
        <f ca="1">SUMIFS(OFFSET('BPC Data'!$F:$F,0,Summary!K$2),'BPC Data'!$E:$E,Summary!$D287,'BPC Data'!$B:$B,Summary!$C287)</f>
        <v>0</v>
      </c>
      <c r="L287" s="92">
        <f ca="1">SUMIFS(OFFSET('BPC Data'!$F:$F,0,Summary!L$2),'BPC Data'!$E:$E,Summary!$D287,'BPC Data'!$B:$B,Summary!$C287)</f>
        <v>0</v>
      </c>
      <c r="M287" s="32"/>
      <c r="N287" s="110"/>
      <c r="O287" s="106">
        <f t="shared" si="116"/>
        <v>0</v>
      </c>
    </row>
    <row r="288" spans="1:15" s="16" customFormat="1" hidden="1" outlineLevel="1" x14ac:dyDescent="0.25">
      <c r="A288" s="16">
        <f t="shared" si="125"/>
        <v>26</v>
      </c>
      <c r="B288"/>
      <c r="C288">
        <f>$F284</f>
        <v>0</v>
      </c>
      <c r="D288" s="3" t="str">
        <f t="shared" si="121"/>
        <v>T_OPEX - Tenant Operating Expenses</v>
      </c>
      <c r="E288"/>
      <c r="F288" s="22" t="str">
        <f>_xll.EVDES(D288)</f>
        <v>Tenant Operating Expenses</v>
      </c>
      <c r="G288" s="18">
        <f ca="1">SUMIFS(OFFSET('BPC Data'!$F:$F,0,Summary!G$2),'BPC Data'!$E:$E,Summary!$D288,'BPC Data'!$B:$B,Summary!$C288)</f>
        <v>0</v>
      </c>
      <c r="H288" s="92">
        <f ca="1">SUMIFS(OFFSET('BPC Data'!$F:$F,0,Summary!H$2),'BPC Data'!$E:$E,Summary!$D288,'BPC Data'!$B:$B,Summary!$C288)</f>
        <v>0</v>
      </c>
      <c r="I288" s="18">
        <f ca="1">SUMIFS(OFFSET('BPC Data'!$F:$F,0,Summary!I$2),'BPC Data'!$E:$E,Summary!$D288,'BPC Data'!$B:$B,Summary!$C288)</f>
        <v>0</v>
      </c>
      <c r="J288" s="92">
        <f ca="1">SUMIFS(OFFSET('BPC Data'!$F:$F,0,Summary!J$2),'BPC Data'!$E:$E,Summary!$D288,'BPC Data'!$B:$B,Summary!$C288)</f>
        <v>0</v>
      </c>
      <c r="K288" s="18">
        <f ca="1">SUMIFS(OFFSET('BPC Data'!$F:$F,0,Summary!K$2),'BPC Data'!$E:$E,Summary!$D288,'BPC Data'!$B:$B,Summary!$C288)</f>
        <v>0</v>
      </c>
      <c r="L288" s="92">
        <f ca="1">SUMIFS(OFFSET('BPC Data'!$F:$F,0,Summary!L$2),'BPC Data'!$E:$E,Summary!$D288,'BPC Data'!$B:$B,Summary!$C288)</f>
        <v>0</v>
      </c>
      <c r="M288" s="32"/>
      <c r="N288" s="110"/>
      <c r="O288" s="106">
        <f t="shared" si="116"/>
        <v>0</v>
      </c>
    </row>
    <row r="289" spans="1:15" s="16" customFormat="1" hidden="1" outlineLevel="1" x14ac:dyDescent="0.25">
      <c r="A289" s="16">
        <f t="shared" si="125"/>
        <v>26</v>
      </c>
      <c r="B289"/>
      <c r="C289">
        <f>$F284</f>
        <v>0</v>
      </c>
      <c r="D289" s="3" t="str">
        <f t="shared" si="121"/>
        <v>T_BAD_DEBT - Tenant Bad Debt Expense</v>
      </c>
      <c r="E289"/>
      <c r="F289" s="22" t="str">
        <f>_xll.EVDES(D289)</f>
        <v>Tenant Bad Debt Expense</v>
      </c>
      <c r="G289" s="18">
        <f ca="1">SUMIFS(OFFSET('BPC Data'!$F:$F,0,Summary!G$2),'BPC Data'!$E:$E,Summary!$D289,'BPC Data'!$B:$B,Summary!$C289)</f>
        <v>0</v>
      </c>
      <c r="H289" s="92">
        <f ca="1">SUMIFS(OFFSET('BPC Data'!$F:$F,0,Summary!H$2),'BPC Data'!$E:$E,Summary!$D289,'BPC Data'!$B:$B,Summary!$C289)</f>
        <v>0</v>
      </c>
      <c r="I289" s="18">
        <f ca="1">SUMIFS(OFFSET('BPC Data'!$F:$F,0,Summary!I$2),'BPC Data'!$E:$E,Summary!$D289,'BPC Data'!$B:$B,Summary!$C289)</f>
        <v>0</v>
      </c>
      <c r="J289" s="92">
        <f ca="1">SUMIFS(OFFSET('BPC Data'!$F:$F,0,Summary!J$2),'BPC Data'!$E:$E,Summary!$D289,'BPC Data'!$B:$B,Summary!$C289)</f>
        <v>0</v>
      </c>
      <c r="K289" s="18">
        <f ca="1">SUMIFS(OFFSET('BPC Data'!$F:$F,0,Summary!K$2),'BPC Data'!$E:$E,Summary!$D289,'BPC Data'!$B:$B,Summary!$C289)</f>
        <v>0</v>
      </c>
      <c r="L289" s="92">
        <f ca="1">SUMIFS(OFFSET('BPC Data'!$F:$F,0,Summary!L$2),'BPC Data'!$E:$E,Summary!$D289,'BPC Data'!$B:$B,Summary!$C289)</f>
        <v>0</v>
      </c>
      <c r="M289" s="32"/>
      <c r="N289" s="110"/>
      <c r="O289" s="106">
        <f t="shared" si="116"/>
        <v>0</v>
      </c>
    </row>
    <row r="290" spans="1:15" s="16" customFormat="1" hidden="1" outlineLevel="1" x14ac:dyDescent="0.25">
      <c r="A290" s="16">
        <f t="shared" si="125"/>
        <v>26</v>
      </c>
      <c r="B290"/>
      <c r="C290">
        <f>$F284</f>
        <v>0</v>
      </c>
      <c r="D290" s="2" t="str">
        <f t="shared" si="121"/>
        <v>T_EBITDARM - EBITDARM</v>
      </c>
      <c r="E290"/>
      <c r="F290" s="22" t="str">
        <f>_xll.EVDES(D290)</f>
        <v>EBITDARM</v>
      </c>
      <c r="G290" s="18">
        <f ca="1">SUMIFS(OFFSET('BPC Data'!$F:$F,0,Summary!G$2),'BPC Data'!$E:$E,Summary!$D290,'BPC Data'!$B:$B,Summary!$C290)</f>
        <v>0</v>
      </c>
      <c r="H290" s="92">
        <f ca="1">SUMIFS(OFFSET('BPC Data'!$F:$F,0,Summary!H$2),'BPC Data'!$E:$E,Summary!$D290,'BPC Data'!$B:$B,Summary!$C290)</f>
        <v>0</v>
      </c>
      <c r="I290" s="18">
        <f ca="1">SUMIFS(OFFSET('BPC Data'!$F:$F,0,Summary!I$2),'BPC Data'!$E:$E,Summary!$D290,'BPC Data'!$B:$B,Summary!$C290)</f>
        <v>0</v>
      </c>
      <c r="J290" s="92">
        <f ca="1">SUMIFS(OFFSET('BPC Data'!$F:$F,0,Summary!J$2),'BPC Data'!$E:$E,Summary!$D290,'BPC Data'!$B:$B,Summary!$C290)</f>
        <v>0</v>
      </c>
      <c r="K290" s="18">
        <f ca="1">SUMIFS(OFFSET('BPC Data'!$F:$F,0,Summary!K$2),'BPC Data'!$E:$E,Summary!$D290,'BPC Data'!$B:$B,Summary!$C290)</f>
        <v>0</v>
      </c>
      <c r="L290" s="92">
        <f ca="1">SUMIFS(OFFSET('BPC Data'!$F:$F,0,Summary!L$2),'BPC Data'!$E:$E,Summary!$D290,'BPC Data'!$B:$B,Summary!$C290)</f>
        <v>0</v>
      </c>
      <c r="M290" s="32"/>
      <c r="N290" s="110"/>
      <c r="O290" s="106">
        <f t="shared" si="116"/>
        <v>0</v>
      </c>
    </row>
    <row r="291" spans="1:15" s="16" customFormat="1" hidden="1" outlineLevel="1" x14ac:dyDescent="0.25">
      <c r="A291" s="16">
        <f t="shared" si="125"/>
        <v>26</v>
      </c>
      <c r="B291"/>
      <c r="C291">
        <f>$F284</f>
        <v>0</v>
      </c>
      <c r="D291" s="2" t="str">
        <f t="shared" si="121"/>
        <v>T_MGMT_FEE - Tenant Management Fee - Actual</v>
      </c>
      <c r="E291"/>
      <c r="F291" s="22" t="str">
        <f>_xll.EVDES(D291)</f>
        <v>Tenant Management Fee - Actual</v>
      </c>
      <c r="G291" s="18">
        <f ca="1">SUMIFS(OFFSET('BPC Data'!$F:$F,0,Summary!G$2),'BPC Data'!$E:$E,Summary!$D291,'BPC Data'!$B:$B,Summary!$C291)</f>
        <v>0</v>
      </c>
      <c r="H291" s="92">
        <f ca="1">SUMIFS(OFFSET('BPC Data'!$F:$F,0,Summary!H$2),'BPC Data'!$E:$E,Summary!$D291,'BPC Data'!$B:$B,Summary!$C291)</f>
        <v>0</v>
      </c>
      <c r="I291" s="18">
        <f ca="1">SUMIFS(OFFSET('BPC Data'!$F:$F,0,Summary!I$2),'BPC Data'!$E:$E,Summary!$D291,'BPC Data'!$B:$B,Summary!$C291)</f>
        <v>0</v>
      </c>
      <c r="J291" s="92">
        <f ca="1">SUMIFS(OFFSET('BPC Data'!$F:$F,0,Summary!J$2),'BPC Data'!$E:$E,Summary!$D291,'BPC Data'!$B:$B,Summary!$C291)</f>
        <v>0</v>
      </c>
      <c r="K291" s="18">
        <f ca="1">SUMIFS(OFFSET('BPC Data'!$F:$F,0,Summary!K$2),'BPC Data'!$E:$E,Summary!$D291,'BPC Data'!$B:$B,Summary!$C291)</f>
        <v>0</v>
      </c>
      <c r="L291" s="92">
        <f ca="1">SUMIFS(OFFSET('BPC Data'!$F:$F,0,Summary!L$2),'BPC Data'!$E:$E,Summary!$D291,'BPC Data'!$B:$B,Summary!$C291)</f>
        <v>0</v>
      </c>
      <c r="M291" s="32"/>
      <c r="N291" s="110"/>
      <c r="O291" s="106">
        <f t="shared" si="116"/>
        <v>0</v>
      </c>
    </row>
    <row r="292" spans="1:15" s="16" customFormat="1" hidden="1" outlineLevel="1" x14ac:dyDescent="0.25">
      <c r="A292" s="16">
        <f t="shared" si="125"/>
        <v>26</v>
      </c>
      <c r="B292"/>
      <c r="C292">
        <f>$F284</f>
        <v>0</v>
      </c>
      <c r="D292" s="1" t="str">
        <f t="shared" si="121"/>
        <v>T_EBITDAR - EBITDAR</v>
      </c>
      <c r="E292"/>
      <c r="F292" s="22" t="str">
        <f>_xll.EVDES(D292)</f>
        <v>EBITDAR</v>
      </c>
      <c r="G292" s="18">
        <f ca="1">SUMIFS(OFFSET('BPC Data'!$F:$F,0,Summary!G$2),'BPC Data'!$E:$E,Summary!$D292,'BPC Data'!$B:$B,Summary!$C292)</f>
        <v>0</v>
      </c>
      <c r="H292" s="92">
        <f ca="1">SUMIFS(OFFSET('BPC Data'!$F:$F,0,Summary!H$2),'BPC Data'!$E:$E,Summary!$D292,'BPC Data'!$B:$B,Summary!$C292)</f>
        <v>0</v>
      </c>
      <c r="I292" s="18">
        <f ca="1">SUMIFS(OFFSET('BPC Data'!$F:$F,0,Summary!I$2),'BPC Data'!$E:$E,Summary!$D292,'BPC Data'!$B:$B,Summary!$C292)</f>
        <v>0</v>
      </c>
      <c r="J292" s="92">
        <f ca="1">SUMIFS(OFFSET('BPC Data'!$F:$F,0,Summary!J$2),'BPC Data'!$E:$E,Summary!$D292,'BPC Data'!$B:$B,Summary!$C292)</f>
        <v>0</v>
      </c>
      <c r="K292" s="18">
        <f ca="1">SUMIFS(OFFSET('BPC Data'!$F:$F,0,Summary!K$2),'BPC Data'!$E:$E,Summary!$D292,'BPC Data'!$B:$B,Summary!$C292)</f>
        <v>0</v>
      </c>
      <c r="L292" s="92">
        <f ca="1">SUMIFS(OFFSET('BPC Data'!$F:$F,0,Summary!L$2),'BPC Data'!$E:$E,Summary!$D292,'BPC Data'!$B:$B,Summary!$C292)</f>
        <v>0</v>
      </c>
      <c r="M292" s="32"/>
      <c r="N292" s="110"/>
      <c r="O292" s="106">
        <f t="shared" si="116"/>
        <v>0</v>
      </c>
    </row>
    <row r="293" spans="1:15" s="16" customFormat="1" hidden="1" outlineLevel="1" x14ac:dyDescent="0.25">
      <c r="A293" s="16">
        <f t="shared" si="125"/>
        <v>26</v>
      </c>
      <c r="B293"/>
      <c r="C293">
        <f>$F284</f>
        <v>0</v>
      </c>
      <c r="D293" s="1" t="str">
        <f t="shared" si="121"/>
        <v>T_RENT_EXP - Tenant Rent Expense</v>
      </c>
      <c r="E293"/>
      <c r="F293" s="22" t="str">
        <f>_xll.EVDES(D293)</f>
        <v>Tenant Rent Expense</v>
      </c>
      <c r="G293" s="18">
        <f ca="1">SUMIFS(OFFSET('BPC Data'!$F:$F,0,Summary!G$2),'BPC Data'!$E:$E,Summary!$D293,'BPC Data'!$B:$B,Summary!$C293)</f>
        <v>0</v>
      </c>
      <c r="H293" s="92">
        <f ca="1">SUMIFS(OFFSET('BPC Data'!$F:$F,0,Summary!H$2),'BPC Data'!$E:$E,Summary!$D293,'BPC Data'!$B:$B,Summary!$C293)</f>
        <v>0</v>
      </c>
      <c r="I293" s="18">
        <f ca="1">SUMIFS(OFFSET('BPC Data'!$F:$F,0,Summary!I$2),'BPC Data'!$E:$E,Summary!$D293,'BPC Data'!$B:$B,Summary!$C293)</f>
        <v>0</v>
      </c>
      <c r="J293" s="92">
        <f ca="1">SUMIFS(OFFSET('BPC Data'!$F:$F,0,Summary!J$2),'BPC Data'!$E:$E,Summary!$D293,'BPC Data'!$B:$B,Summary!$C293)</f>
        <v>0</v>
      </c>
      <c r="K293" s="18">
        <f ca="1">SUMIFS(OFFSET('BPC Data'!$F:$F,0,Summary!K$2),'BPC Data'!$E:$E,Summary!$D293,'BPC Data'!$B:$B,Summary!$C293)</f>
        <v>0</v>
      </c>
      <c r="L293" s="92">
        <f ca="1">SUMIFS(OFFSET('BPC Data'!$F:$F,0,Summary!L$2),'BPC Data'!$E:$E,Summary!$D293,'BPC Data'!$B:$B,Summary!$C293)</f>
        <v>0</v>
      </c>
      <c r="M293" s="32"/>
      <c r="N293" s="110"/>
      <c r="O293" s="106">
        <f t="shared" si="116"/>
        <v>0</v>
      </c>
    </row>
    <row r="294" spans="1:15" s="16" customFormat="1" hidden="1" outlineLevel="1" x14ac:dyDescent="0.25">
      <c r="A294" s="16">
        <f t="shared" si="125"/>
        <v>26</v>
      </c>
      <c r="B294"/>
      <c r="C294"/>
      <c r="D294" s="1" t="str">
        <f t="shared" si="121"/>
        <v>x</v>
      </c>
      <c r="E294"/>
      <c r="F294" s="22" t="s">
        <v>0</v>
      </c>
      <c r="G294" s="11" t="e">
        <f t="shared" ref="G294:H294" ca="1" si="126">G292/G293</f>
        <v>#DIV/0!</v>
      </c>
      <c r="H294" s="93" t="e">
        <f t="shared" ca="1" si="126"/>
        <v>#DIV/0!</v>
      </c>
      <c r="I294" s="11" t="e">
        <f t="shared" ref="I294:J294" ca="1" si="127">I292/I293</f>
        <v>#DIV/0!</v>
      </c>
      <c r="J294" s="93" t="e">
        <f t="shared" ca="1" si="127"/>
        <v>#DIV/0!</v>
      </c>
      <c r="K294" s="11" t="e">
        <f t="shared" ref="K294:L294" ca="1" si="128">K292/K293</f>
        <v>#DIV/0!</v>
      </c>
      <c r="L294" s="93" t="e">
        <f t="shared" ca="1" si="128"/>
        <v>#DIV/0!</v>
      </c>
      <c r="M294" s="32"/>
      <c r="N294" s="110"/>
      <c r="O294" s="106">
        <f t="shared" si="116"/>
        <v>0</v>
      </c>
    </row>
    <row r="295" spans="1:15" s="16" customFormat="1" hidden="1" outlineLevel="1" x14ac:dyDescent="0.25">
      <c r="A295" s="16">
        <f>IF(AND(D295&lt;&gt;"",C295=""),A294+1,A294)</f>
        <v>27</v>
      </c>
      <c r="B295" s="4"/>
      <c r="C295" s="4"/>
      <c r="D295" s="4" t="str">
        <f t="shared" si="121"/>
        <v>x</v>
      </c>
      <c r="E295" s="4"/>
      <c r="F295" s="21">
        <f>INDEX(PropertyList!$D:$D,MATCH(Summary!$A295,PropertyList!$C:$C,0))</f>
        <v>0</v>
      </c>
      <c r="G295" s="10"/>
      <c r="H295" s="91"/>
      <c r="I295" s="10"/>
      <c r="J295" s="91"/>
      <c r="K295" s="10"/>
      <c r="L295" s="91"/>
      <c r="M295" s="32"/>
      <c r="N295" s="110"/>
      <c r="O295" s="106">
        <f t="shared" si="116"/>
        <v>0</v>
      </c>
    </row>
    <row r="296" spans="1:15" s="16" customFormat="1" hidden="1" outlineLevel="1" x14ac:dyDescent="0.25">
      <c r="A296" s="16">
        <f>IF(AND(F296&lt;&gt;"",D296=""),A295+1,A295)</f>
        <v>27</v>
      </c>
      <c r="C296">
        <f>$F295</f>
        <v>0</v>
      </c>
      <c r="D296" s="3" t="str">
        <f t="shared" si="121"/>
        <v>PAY_PAT_DAYS - Total Payor Patient Days</v>
      </c>
      <c r="F296" s="22" t="str">
        <f>_xll.EVDES(D296)</f>
        <v>Total Payor Patient Days</v>
      </c>
      <c r="G296" s="18">
        <f ca="1">SUMIFS(OFFSET('BPC Data'!$F:$F,0,Summary!G$2),'BPC Data'!$E:$E,Summary!$D296,'BPC Data'!$B:$B,Summary!$C296)</f>
        <v>0</v>
      </c>
      <c r="H296" s="92">
        <f ca="1">SUMIFS(OFFSET('BPC Data'!$F:$F,0,Summary!H$2),'BPC Data'!$E:$E,Summary!$D296,'BPC Data'!$B:$B,Summary!$C296)</f>
        <v>0</v>
      </c>
      <c r="I296" s="18">
        <f ca="1">SUMIFS(OFFSET('BPC Data'!$F:$F,0,Summary!I$2),'BPC Data'!$E:$E,Summary!$D296,'BPC Data'!$B:$B,Summary!$C296)</f>
        <v>0</v>
      </c>
      <c r="J296" s="92">
        <f ca="1">SUMIFS(OFFSET('BPC Data'!$F:$F,0,Summary!J$2),'BPC Data'!$E:$E,Summary!$D296,'BPC Data'!$B:$B,Summary!$C296)</f>
        <v>0</v>
      </c>
      <c r="K296" s="18">
        <f ca="1">SUMIFS(OFFSET('BPC Data'!$F:$F,0,Summary!K$2),'BPC Data'!$E:$E,Summary!$D296,'BPC Data'!$B:$B,Summary!$C296)</f>
        <v>0</v>
      </c>
      <c r="L296" s="92">
        <f ca="1">SUMIFS(OFFSET('BPC Data'!$F:$F,0,Summary!L$2),'BPC Data'!$E:$E,Summary!$D296,'BPC Data'!$B:$B,Summary!$C296)</f>
        <v>0</v>
      </c>
      <c r="M296" s="32"/>
      <c r="N296" s="110"/>
      <c r="O296" s="106">
        <f t="shared" si="116"/>
        <v>0</v>
      </c>
    </row>
    <row r="297" spans="1:15" s="16" customFormat="1" hidden="1" outlineLevel="1" x14ac:dyDescent="0.25">
      <c r="A297" s="16">
        <f t="shared" ref="A297:A305" si="129">IF(AND(F297&lt;&gt;"",D297=""),A296+1,A296)</f>
        <v>27</v>
      </c>
      <c r="C297">
        <f>$F295</f>
        <v>0</v>
      </c>
      <c r="D297" s="3" t="str">
        <f t="shared" si="121"/>
        <v>A_BEDS_TOTAL - Total Available Beds</v>
      </c>
      <c r="F297" s="22" t="str">
        <f>_xll.EVDES(D297)</f>
        <v>Total Available Beds</v>
      </c>
      <c r="G297" s="18">
        <f ca="1">SUMIFS(OFFSET('BPC Data'!$F:$F,0,Summary!G$2),'BPC Data'!$E:$E,Summary!$D297,'BPC Data'!$B:$B,Summary!$C297)</f>
        <v>0</v>
      </c>
      <c r="H297" s="92">
        <f ca="1">SUMIFS(OFFSET('BPC Data'!$F:$F,0,Summary!H$2),'BPC Data'!$E:$E,Summary!$D297,'BPC Data'!$B:$B,Summary!$C297)</f>
        <v>0</v>
      </c>
      <c r="I297" s="18">
        <f ca="1">SUMIFS(OFFSET('BPC Data'!$F:$F,0,Summary!I$2),'BPC Data'!$E:$E,Summary!$D297,'BPC Data'!$B:$B,Summary!$C297)</f>
        <v>0</v>
      </c>
      <c r="J297" s="92">
        <f ca="1">SUMIFS(OFFSET('BPC Data'!$F:$F,0,Summary!J$2),'BPC Data'!$E:$E,Summary!$D297,'BPC Data'!$B:$B,Summary!$C297)</f>
        <v>0</v>
      </c>
      <c r="K297" s="18">
        <f ca="1">SUMIFS(OFFSET('BPC Data'!$F:$F,0,Summary!K$2),'BPC Data'!$E:$E,Summary!$D297,'BPC Data'!$B:$B,Summary!$C297)</f>
        <v>0</v>
      </c>
      <c r="L297" s="92">
        <f ca="1">SUMIFS(OFFSET('BPC Data'!$F:$F,0,Summary!L$2),'BPC Data'!$E:$E,Summary!$D297,'BPC Data'!$B:$B,Summary!$C297)</f>
        <v>0</v>
      </c>
      <c r="M297" s="32"/>
      <c r="N297" s="110"/>
      <c r="O297" s="106">
        <f t="shared" si="116"/>
        <v>0</v>
      </c>
    </row>
    <row r="298" spans="1:15" s="16" customFormat="1" hidden="1" outlineLevel="1" x14ac:dyDescent="0.25">
      <c r="A298" s="16">
        <f t="shared" si="129"/>
        <v>27</v>
      </c>
      <c r="B298"/>
      <c r="C298">
        <f>$F295</f>
        <v>0</v>
      </c>
      <c r="D298" s="3" t="str">
        <f t="shared" si="121"/>
        <v>T_REVENUES - Total Tenant Revenues</v>
      </c>
      <c r="E298"/>
      <c r="F298" s="22" t="str">
        <f>_xll.EVDES(D298)</f>
        <v>Total Tenant Revenues</v>
      </c>
      <c r="G298" s="18">
        <f ca="1">SUMIFS(OFFSET('BPC Data'!$F:$F,0,Summary!G$2),'BPC Data'!$E:$E,Summary!$D298,'BPC Data'!$B:$B,Summary!$C298)</f>
        <v>0</v>
      </c>
      <c r="H298" s="92">
        <f ca="1">SUMIFS(OFFSET('BPC Data'!$F:$F,0,Summary!H$2),'BPC Data'!$E:$E,Summary!$D298,'BPC Data'!$B:$B,Summary!$C298)</f>
        <v>0</v>
      </c>
      <c r="I298" s="18">
        <f ca="1">SUMIFS(OFFSET('BPC Data'!$F:$F,0,Summary!I$2),'BPC Data'!$E:$E,Summary!$D298,'BPC Data'!$B:$B,Summary!$C298)</f>
        <v>0</v>
      </c>
      <c r="J298" s="92">
        <f ca="1">SUMIFS(OFFSET('BPC Data'!$F:$F,0,Summary!J$2),'BPC Data'!$E:$E,Summary!$D298,'BPC Data'!$B:$B,Summary!$C298)</f>
        <v>0</v>
      </c>
      <c r="K298" s="18">
        <f ca="1">SUMIFS(OFFSET('BPC Data'!$F:$F,0,Summary!K$2),'BPC Data'!$E:$E,Summary!$D298,'BPC Data'!$B:$B,Summary!$C298)</f>
        <v>0</v>
      </c>
      <c r="L298" s="92">
        <f ca="1">SUMIFS(OFFSET('BPC Data'!$F:$F,0,Summary!L$2),'BPC Data'!$E:$E,Summary!$D298,'BPC Data'!$B:$B,Summary!$C298)</f>
        <v>0</v>
      </c>
      <c r="M298" s="32"/>
      <c r="N298" s="110"/>
      <c r="O298" s="106">
        <f t="shared" si="116"/>
        <v>0</v>
      </c>
    </row>
    <row r="299" spans="1:15" s="16" customFormat="1" hidden="1" outlineLevel="1" x14ac:dyDescent="0.25">
      <c r="A299" s="16">
        <f t="shared" si="129"/>
        <v>27</v>
      </c>
      <c r="B299"/>
      <c r="C299">
        <f>$F295</f>
        <v>0</v>
      </c>
      <c r="D299" s="3" t="str">
        <f t="shared" si="121"/>
        <v>T_OPEX - Tenant Operating Expenses</v>
      </c>
      <c r="E299"/>
      <c r="F299" s="22" t="str">
        <f>_xll.EVDES(D299)</f>
        <v>Tenant Operating Expenses</v>
      </c>
      <c r="G299" s="18">
        <f ca="1">SUMIFS(OFFSET('BPC Data'!$F:$F,0,Summary!G$2),'BPC Data'!$E:$E,Summary!$D299,'BPC Data'!$B:$B,Summary!$C299)</f>
        <v>0</v>
      </c>
      <c r="H299" s="92">
        <f ca="1">SUMIFS(OFFSET('BPC Data'!$F:$F,0,Summary!H$2),'BPC Data'!$E:$E,Summary!$D299,'BPC Data'!$B:$B,Summary!$C299)</f>
        <v>0</v>
      </c>
      <c r="I299" s="18">
        <f ca="1">SUMIFS(OFFSET('BPC Data'!$F:$F,0,Summary!I$2),'BPC Data'!$E:$E,Summary!$D299,'BPC Data'!$B:$B,Summary!$C299)</f>
        <v>0</v>
      </c>
      <c r="J299" s="92">
        <f ca="1">SUMIFS(OFFSET('BPC Data'!$F:$F,0,Summary!J$2),'BPC Data'!$E:$E,Summary!$D299,'BPC Data'!$B:$B,Summary!$C299)</f>
        <v>0</v>
      </c>
      <c r="K299" s="18">
        <f ca="1">SUMIFS(OFFSET('BPC Data'!$F:$F,0,Summary!K$2),'BPC Data'!$E:$E,Summary!$D299,'BPC Data'!$B:$B,Summary!$C299)</f>
        <v>0</v>
      </c>
      <c r="L299" s="92">
        <f ca="1">SUMIFS(OFFSET('BPC Data'!$F:$F,0,Summary!L$2),'BPC Data'!$E:$E,Summary!$D299,'BPC Data'!$B:$B,Summary!$C299)</f>
        <v>0</v>
      </c>
      <c r="M299" s="32"/>
      <c r="N299" s="110"/>
      <c r="O299" s="106">
        <f t="shared" si="116"/>
        <v>0</v>
      </c>
    </row>
    <row r="300" spans="1:15" s="16" customFormat="1" hidden="1" outlineLevel="1" x14ac:dyDescent="0.25">
      <c r="A300" s="16">
        <f t="shared" si="129"/>
        <v>27</v>
      </c>
      <c r="B300"/>
      <c r="C300">
        <f>$F295</f>
        <v>0</v>
      </c>
      <c r="D300" s="3" t="str">
        <f t="shared" si="121"/>
        <v>T_BAD_DEBT - Tenant Bad Debt Expense</v>
      </c>
      <c r="E300"/>
      <c r="F300" s="22" t="str">
        <f>_xll.EVDES(D300)</f>
        <v>Tenant Bad Debt Expense</v>
      </c>
      <c r="G300" s="18">
        <f ca="1">SUMIFS(OFFSET('BPC Data'!$F:$F,0,Summary!G$2),'BPC Data'!$E:$E,Summary!$D300,'BPC Data'!$B:$B,Summary!$C300)</f>
        <v>0</v>
      </c>
      <c r="H300" s="92">
        <f ca="1">SUMIFS(OFFSET('BPC Data'!$F:$F,0,Summary!H$2),'BPC Data'!$E:$E,Summary!$D300,'BPC Data'!$B:$B,Summary!$C300)</f>
        <v>0</v>
      </c>
      <c r="I300" s="18">
        <f ca="1">SUMIFS(OFFSET('BPC Data'!$F:$F,0,Summary!I$2),'BPC Data'!$E:$E,Summary!$D300,'BPC Data'!$B:$B,Summary!$C300)</f>
        <v>0</v>
      </c>
      <c r="J300" s="92">
        <f ca="1">SUMIFS(OFFSET('BPC Data'!$F:$F,0,Summary!J$2),'BPC Data'!$E:$E,Summary!$D300,'BPC Data'!$B:$B,Summary!$C300)</f>
        <v>0</v>
      </c>
      <c r="K300" s="18">
        <f ca="1">SUMIFS(OFFSET('BPC Data'!$F:$F,0,Summary!K$2),'BPC Data'!$E:$E,Summary!$D300,'BPC Data'!$B:$B,Summary!$C300)</f>
        <v>0</v>
      </c>
      <c r="L300" s="92">
        <f ca="1">SUMIFS(OFFSET('BPC Data'!$F:$F,0,Summary!L$2),'BPC Data'!$E:$E,Summary!$D300,'BPC Data'!$B:$B,Summary!$C300)</f>
        <v>0</v>
      </c>
      <c r="M300" s="32"/>
      <c r="N300" s="110"/>
      <c r="O300" s="106">
        <f t="shared" si="116"/>
        <v>0</v>
      </c>
    </row>
    <row r="301" spans="1:15" s="16" customFormat="1" hidden="1" outlineLevel="1" x14ac:dyDescent="0.25">
      <c r="A301" s="16">
        <f t="shared" si="129"/>
        <v>27</v>
      </c>
      <c r="B301"/>
      <c r="C301">
        <f>$F295</f>
        <v>0</v>
      </c>
      <c r="D301" s="2" t="str">
        <f t="shared" si="121"/>
        <v>T_EBITDARM - EBITDARM</v>
      </c>
      <c r="E301"/>
      <c r="F301" s="22" t="str">
        <f>_xll.EVDES(D301)</f>
        <v>EBITDARM</v>
      </c>
      <c r="G301" s="18">
        <f ca="1">SUMIFS(OFFSET('BPC Data'!$F:$F,0,Summary!G$2),'BPC Data'!$E:$E,Summary!$D301,'BPC Data'!$B:$B,Summary!$C301)</f>
        <v>0</v>
      </c>
      <c r="H301" s="92">
        <f ca="1">SUMIFS(OFFSET('BPC Data'!$F:$F,0,Summary!H$2),'BPC Data'!$E:$E,Summary!$D301,'BPC Data'!$B:$B,Summary!$C301)</f>
        <v>0</v>
      </c>
      <c r="I301" s="18">
        <f ca="1">SUMIFS(OFFSET('BPC Data'!$F:$F,0,Summary!I$2),'BPC Data'!$E:$E,Summary!$D301,'BPC Data'!$B:$B,Summary!$C301)</f>
        <v>0</v>
      </c>
      <c r="J301" s="92">
        <f ca="1">SUMIFS(OFFSET('BPC Data'!$F:$F,0,Summary!J$2),'BPC Data'!$E:$E,Summary!$D301,'BPC Data'!$B:$B,Summary!$C301)</f>
        <v>0</v>
      </c>
      <c r="K301" s="18">
        <f ca="1">SUMIFS(OFFSET('BPC Data'!$F:$F,0,Summary!K$2),'BPC Data'!$E:$E,Summary!$D301,'BPC Data'!$B:$B,Summary!$C301)</f>
        <v>0</v>
      </c>
      <c r="L301" s="92">
        <f ca="1">SUMIFS(OFFSET('BPC Data'!$F:$F,0,Summary!L$2),'BPC Data'!$E:$E,Summary!$D301,'BPC Data'!$B:$B,Summary!$C301)</f>
        <v>0</v>
      </c>
      <c r="M301" s="32"/>
      <c r="N301" s="110"/>
      <c r="O301" s="106">
        <f t="shared" si="116"/>
        <v>0</v>
      </c>
    </row>
    <row r="302" spans="1:15" s="16" customFormat="1" hidden="1" outlineLevel="1" x14ac:dyDescent="0.25">
      <c r="A302" s="16">
        <f t="shared" si="129"/>
        <v>27</v>
      </c>
      <c r="B302"/>
      <c r="C302">
        <f>$F295</f>
        <v>0</v>
      </c>
      <c r="D302" s="2" t="str">
        <f t="shared" si="121"/>
        <v>T_MGMT_FEE - Tenant Management Fee - Actual</v>
      </c>
      <c r="E302"/>
      <c r="F302" s="22" t="str">
        <f>_xll.EVDES(D302)</f>
        <v>Tenant Management Fee - Actual</v>
      </c>
      <c r="G302" s="18">
        <f ca="1">SUMIFS(OFFSET('BPC Data'!$F:$F,0,Summary!G$2),'BPC Data'!$E:$E,Summary!$D302,'BPC Data'!$B:$B,Summary!$C302)</f>
        <v>0</v>
      </c>
      <c r="H302" s="92">
        <f ca="1">SUMIFS(OFFSET('BPC Data'!$F:$F,0,Summary!H$2),'BPC Data'!$E:$E,Summary!$D302,'BPC Data'!$B:$B,Summary!$C302)</f>
        <v>0</v>
      </c>
      <c r="I302" s="18">
        <f ca="1">SUMIFS(OFFSET('BPC Data'!$F:$F,0,Summary!I$2),'BPC Data'!$E:$E,Summary!$D302,'BPC Data'!$B:$B,Summary!$C302)</f>
        <v>0</v>
      </c>
      <c r="J302" s="92">
        <f ca="1">SUMIFS(OFFSET('BPC Data'!$F:$F,0,Summary!J$2),'BPC Data'!$E:$E,Summary!$D302,'BPC Data'!$B:$B,Summary!$C302)</f>
        <v>0</v>
      </c>
      <c r="K302" s="18">
        <f ca="1">SUMIFS(OFFSET('BPC Data'!$F:$F,0,Summary!K$2),'BPC Data'!$E:$E,Summary!$D302,'BPC Data'!$B:$B,Summary!$C302)</f>
        <v>0</v>
      </c>
      <c r="L302" s="92">
        <f ca="1">SUMIFS(OFFSET('BPC Data'!$F:$F,0,Summary!L$2),'BPC Data'!$E:$E,Summary!$D302,'BPC Data'!$B:$B,Summary!$C302)</f>
        <v>0</v>
      </c>
      <c r="M302" s="32"/>
      <c r="N302" s="110"/>
      <c r="O302" s="106">
        <f t="shared" si="116"/>
        <v>0</v>
      </c>
    </row>
    <row r="303" spans="1:15" s="16" customFormat="1" hidden="1" outlineLevel="1" x14ac:dyDescent="0.25">
      <c r="A303" s="16">
        <f t="shared" si="129"/>
        <v>27</v>
      </c>
      <c r="B303"/>
      <c r="C303">
        <f>$F295</f>
        <v>0</v>
      </c>
      <c r="D303" s="1" t="str">
        <f t="shared" si="121"/>
        <v>T_EBITDAR - EBITDAR</v>
      </c>
      <c r="E303"/>
      <c r="F303" s="22" t="str">
        <f>_xll.EVDES(D303)</f>
        <v>EBITDAR</v>
      </c>
      <c r="G303" s="18">
        <f ca="1">SUMIFS(OFFSET('BPC Data'!$F:$F,0,Summary!G$2),'BPC Data'!$E:$E,Summary!$D303,'BPC Data'!$B:$B,Summary!$C303)</f>
        <v>0</v>
      </c>
      <c r="H303" s="92">
        <f ca="1">SUMIFS(OFFSET('BPC Data'!$F:$F,0,Summary!H$2),'BPC Data'!$E:$E,Summary!$D303,'BPC Data'!$B:$B,Summary!$C303)</f>
        <v>0</v>
      </c>
      <c r="I303" s="18">
        <f ca="1">SUMIFS(OFFSET('BPC Data'!$F:$F,0,Summary!I$2),'BPC Data'!$E:$E,Summary!$D303,'BPC Data'!$B:$B,Summary!$C303)</f>
        <v>0</v>
      </c>
      <c r="J303" s="92">
        <f ca="1">SUMIFS(OFFSET('BPC Data'!$F:$F,0,Summary!J$2),'BPC Data'!$E:$E,Summary!$D303,'BPC Data'!$B:$B,Summary!$C303)</f>
        <v>0</v>
      </c>
      <c r="K303" s="18">
        <f ca="1">SUMIFS(OFFSET('BPC Data'!$F:$F,0,Summary!K$2),'BPC Data'!$E:$E,Summary!$D303,'BPC Data'!$B:$B,Summary!$C303)</f>
        <v>0</v>
      </c>
      <c r="L303" s="92">
        <f ca="1">SUMIFS(OFFSET('BPC Data'!$F:$F,0,Summary!L$2),'BPC Data'!$E:$E,Summary!$D303,'BPC Data'!$B:$B,Summary!$C303)</f>
        <v>0</v>
      </c>
      <c r="M303" s="32"/>
      <c r="N303" s="110"/>
      <c r="O303" s="106">
        <f t="shared" si="116"/>
        <v>0</v>
      </c>
    </row>
    <row r="304" spans="1:15" s="16" customFormat="1" hidden="1" outlineLevel="1" x14ac:dyDescent="0.25">
      <c r="A304" s="16">
        <f t="shared" si="129"/>
        <v>27</v>
      </c>
      <c r="B304"/>
      <c r="C304">
        <f>$F295</f>
        <v>0</v>
      </c>
      <c r="D304" s="1" t="str">
        <f t="shared" si="121"/>
        <v>T_RENT_EXP - Tenant Rent Expense</v>
      </c>
      <c r="E304"/>
      <c r="F304" s="22" t="str">
        <f>_xll.EVDES(D304)</f>
        <v>Tenant Rent Expense</v>
      </c>
      <c r="G304" s="18">
        <f ca="1">SUMIFS(OFFSET('BPC Data'!$F:$F,0,Summary!G$2),'BPC Data'!$E:$E,Summary!$D304,'BPC Data'!$B:$B,Summary!$C304)</f>
        <v>0</v>
      </c>
      <c r="H304" s="92">
        <f ca="1">SUMIFS(OFFSET('BPC Data'!$F:$F,0,Summary!H$2),'BPC Data'!$E:$E,Summary!$D304,'BPC Data'!$B:$B,Summary!$C304)</f>
        <v>0</v>
      </c>
      <c r="I304" s="18">
        <f ca="1">SUMIFS(OFFSET('BPC Data'!$F:$F,0,Summary!I$2),'BPC Data'!$E:$E,Summary!$D304,'BPC Data'!$B:$B,Summary!$C304)</f>
        <v>0</v>
      </c>
      <c r="J304" s="92">
        <f ca="1">SUMIFS(OFFSET('BPC Data'!$F:$F,0,Summary!J$2),'BPC Data'!$E:$E,Summary!$D304,'BPC Data'!$B:$B,Summary!$C304)</f>
        <v>0</v>
      </c>
      <c r="K304" s="18">
        <f ca="1">SUMIFS(OFFSET('BPC Data'!$F:$F,0,Summary!K$2),'BPC Data'!$E:$E,Summary!$D304,'BPC Data'!$B:$B,Summary!$C304)</f>
        <v>0</v>
      </c>
      <c r="L304" s="92">
        <f ca="1">SUMIFS(OFFSET('BPC Data'!$F:$F,0,Summary!L$2),'BPC Data'!$E:$E,Summary!$D304,'BPC Data'!$B:$B,Summary!$C304)</f>
        <v>0</v>
      </c>
      <c r="M304" s="32"/>
      <c r="N304" s="110"/>
      <c r="O304" s="106">
        <f t="shared" si="116"/>
        <v>0</v>
      </c>
    </row>
    <row r="305" spans="1:15" s="16" customFormat="1" hidden="1" outlineLevel="1" x14ac:dyDescent="0.25">
      <c r="A305" s="16">
        <f t="shared" si="129"/>
        <v>27</v>
      </c>
      <c r="B305"/>
      <c r="C305"/>
      <c r="D305" s="1" t="str">
        <f t="shared" si="121"/>
        <v>x</v>
      </c>
      <c r="E305"/>
      <c r="F305" s="22" t="s">
        <v>0</v>
      </c>
      <c r="G305" s="11" t="e">
        <f t="shared" ref="G305:H305" ca="1" si="130">G303/G304</f>
        <v>#DIV/0!</v>
      </c>
      <c r="H305" s="93" t="e">
        <f t="shared" ca="1" si="130"/>
        <v>#DIV/0!</v>
      </c>
      <c r="I305" s="11" t="e">
        <f t="shared" ref="I305:J305" ca="1" si="131">I303/I304</f>
        <v>#DIV/0!</v>
      </c>
      <c r="J305" s="93" t="e">
        <f t="shared" ca="1" si="131"/>
        <v>#DIV/0!</v>
      </c>
      <c r="K305" s="11" t="e">
        <f t="shared" ref="K305:L305" ca="1" si="132">K303/K304</f>
        <v>#DIV/0!</v>
      </c>
      <c r="L305" s="93" t="e">
        <f t="shared" ca="1" si="132"/>
        <v>#DIV/0!</v>
      </c>
      <c r="M305" s="32"/>
      <c r="N305" s="110"/>
      <c r="O305" s="106">
        <f t="shared" si="116"/>
        <v>0</v>
      </c>
    </row>
    <row r="306" spans="1:15" s="16" customFormat="1" hidden="1" outlineLevel="1" x14ac:dyDescent="0.25">
      <c r="A306" s="16">
        <f>IF(AND(D306&lt;&gt;"",C306=""),A305+1,A305)</f>
        <v>28</v>
      </c>
      <c r="B306" s="4"/>
      <c r="C306" s="4"/>
      <c r="D306" s="4" t="str">
        <f t="shared" si="121"/>
        <v>x</v>
      </c>
      <c r="E306" s="4"/>
      <c r="F306" s="21">
        <f>INDEX(PropertyList!$D:$D,MATCH(Summary!$A306,PropertyList!$C:$C,0))</f>
        <v>0</v>
      </c>
      <c r="G306" s="10"/>
      <c r="H306" s="91"/>
      <c r="I306" s="10"/>
      <c r="J306" s="91"/>
      <c r="K306" s="10"/>
      <c r="L306" s="91"/>
      <c r="M306" s="32"/>
      <c r="N306" s="110"/>
      <c r="O306" s="106">
        <f t="shared" si="116"/>
        <v>0</v>
      </c>
    </row>
    <row r="307" spans="1:15" s="16" customFormat="1" hidden="1" outlineLevel="1" x14ac:dyDescent="0.25">
      <c r="A307" s="16">
        <f>IF(AND(F307&lt;&gt;"",D307=""),A306+1,A306)</f>
        <v>28</v>
      </c>
      <c r="C307">
        <f>$F306</f>
        <v>0</v>
      </c>
      <c r="D307" s="3" t="str">
        <f t="shared" si="121"/>
        <v>PAY_PAT_DAYS - Total Payor Patient Days</v>
      </c>
      <c r="F307" s="22" t="str">
        <f>_xll.EVDES(D307)</f>
        <v>Total Payor Patient Days</v>
      </c>
      <c r="G307" s="18">
        <f ca="1">SUMIFS(OFFSET('BPC Data'!$F:$F,0,Summary!G$2),'BPC Data'!$E:$E,Summary!$D307,'BPC Data'!$B:$B,Summary!$C307)</f>
        <v>0</v>
      </c>
      <c r="H307" s="92">
        <f ca="1">SUMIFS(OFFSET('BPC Data'!$F:$F,0,Summary!H$2),'BPC Data'!$E:$E,Summary!$D307,'BPC Data'!$B:$B,Summary!$C307)</f>
        <v>0</v>
      </c>
      <c r="I307" s="18">
        <f ca="1">SUMIFS(OFFSET('BPC Data'!$F:$F,0,Summary!I$2),'BPC Data'!$E:$E,Summary!$D307,'BPC Data'!$B:$B,Summary!$C307)</f>
        <v>0</v>
      </c>
      <c r="J307" s="92">
        <f ca="1">SUMIFS(OFFSET('BPC Data'!$F:$F,0,Summary!J$2),'BPC Data'!$E:$E,Summary!$D307,'BPC Data'!$B:$B,Summary!$C307)</f>
        <v>0</v>
      </c>
      <c r="K307" s="18">
        <f ca="1">SUMIFS(OFFSET('BPC Data'!$F:$F,0,Summary!K$2),'BPC Data'!$E:$E,Summary!$D307,'BPC Data'!$B:$B,Summary!$C307)</f>
        <v>0</v>
      </c>
      <c r="L307" s="92">
        <f ca="1">SUMIFS(OFFSET('BPC Data'!$F:$F,0,Summary!L$2),'BPC Data'!$E:$E,Summary!$D307,'BPC Data'!$B:$B,Summary!$C307)</f>
        <v>0</v>
      </c>
      <c r="M307" s="32"/>
      <c r="N307" s="110"/>
      <c r="O307" s="106">
        <f t="shared" si="116"/>
        <v>0</v>
      </c>
    </row>
    <row r="308" spans="1:15" s="16" customFormat="1" hidden="1" outlineLevel="1" x14ac:dyDescent="0.25">
      <c r="A308" s="16">
        <f t="shared" ref="A308:A316" si="133">IF(AND(F308&lt;&gt;"",D308=""),A307+1,A307)</f>
        <v>28</v>
      </c>
      <c r="C308">
        <f>$F306</f>
        <v>0</v>
      </c>
      <c r="D308" s="3" t="str">
        <f t="shared" si="121"/>
        <v>A_BEDS_TOTAL - Total Available Beds</v>
      </c>
      <c r="F308" s="22" t="str">
        <f>_xll.EVDES(D308)</f>
        <v>Total Available Beds</v>
      </c>
      <c r="G308" s="18">
        <f ca="1">SUMIFS(OFFSET('BPC Data'!$F:$F,0,Summary!G$2),'BPC Data'!$E:$E,Summary!$D308,'BPC Data'!$B:$B,Summary!$C308)</f>
        <v>0</v>
      </c>
      <c r="H308" s="92">
        <f ca="1">SUMIFS(OFFSET('BPC Data'!$F:$F,0,Summary!H$2),'BPC Data'!$E:$E,Summary!$D308,'BPC Data'!$B:$B,Summary!$C308)</f>
        <v>0</v>
      </c>
      <c r="I308" s="18">
        <f ca="1">SUMIFS(OFFSET('BPC Data'!$F:$F,0,Summary!I$2),'BPC Data'!$E:$E,Summary!$D308,'BPC Data'!$B:$B,Summary!$C308)</f>
        <v>0</v>
      </c>
      <c r="J308" s="92">
        <f ca="1">SUMIFS(OFFSET('BPC Data'!$F:$F,0,Summary!J$2),'BPC Data'!$E:$E,Summary!$D308,'BPC Data'!$B:$B,Summary!$C308)</f>
        <v>0</v>
      </c>
      <c r="K308" s="18">
        <f ca="1">SUMIFS(OFFSET('BPC Data'!$F:$F,0,Summary!K$2),'BPC Data'!$E:$E,Summary!$D308,'BPC Data'!$B:$B,Summary!$C308)</f>
        <v>0</v>
      </c>
      <c r="L308" s="92">
        <f ca="1">SUMIFS(OFFSET('BPC Data'!$F:$F,0,Summary!L$2),'BPC Data'!$E:$E,Summary!$D308,'BPC Data'!$B:$B,Summary!$C308)</f>
        <v>0</v>
      </c>
      <c r="M308" s="32"/>
      <c r="N308" s="110"/>
      <c r="O308" s="106">
        <f t="shared" si="116"/>
        <v>0</v>
      </c>
    </row>
    <row r="309" spans="1:15" s="16" customFormat="1" hidden="1" outlineLevel="1" x14ac:dyDescent="0.25">
      <c r="A309" s="16">
        <f t="shared" si="133"/>
        <v>28</v>
      </c>
      <c r="B309"/>
      <c r="C309">
        <f>$F306</f>
        <v>0</v>
      </c>
      <c r="D309" s="3" t="str">
        <f t="shared" si="121"/>
        <v>T_REVENUES - Total Tenant Revenues</v>
      </c>
      <c r="E309"/>
      <c r="F309" s="22" t="str">
        <f>_xll.EVDES(D309)</f>
        <v>Total Tenant Revenues</v>
      </c>
      <c r="G309" s="18">
        <f ca="1">SUMIFS(OFFSET('BPC Data'!$F:$F,0,Summary!G$2),'BPC Data'!$E:$E,Summary!$D309,'BPC Data'!$B:$B,Summary!$C309)</f>
        <v>0</v>
      </c>
      <c r="H309" s="92">
        <f ca="1">SUMIFS(OFFSET('BPC Data'!$F:$F,0,Summary!H$2),'BPC Data'!$E:$E,Summary!$D309,'BPC Data'!$B:$B,Summary!$C309)</f>
        <v>0</v>
      </c>
      <c r="I309" s="18">
        <f ca="1">SUMIFS(OFFSET('BPC Data'!$F:$F,0,Summary!I$2),'BPC Data'!$E:$E,Summary!$D309,'BPC Data'!$B:$B,Summary!$C309)</f>
        <v>0</v>
      </c>
      <c r="J309" s="92">
        <f ca="1">SUMIFS(OFFSET('BPC Data'!$F:$F,0,Summary!J$2),'BPC Data'!$E:$E,Summary!$D309,'BPC Data'!$B:$B,Summary!$C309)</f>
        <v>0</v>
      </c>
      <c r="K309" s="18">
        <f ca="1">SUMIFS(OFFSET('BPC Data'!$F:$F,0,Summary!K$2),'BPC Data'!$E:$E,Summary!$D309,'BPC Data'!$B:$B,Summary!$C309)</f>
        <v>0</v>
      </c>
      <c r="L309" s="92">
        <f ca="1">SUMIFS(OFFSET('BPC Data'!$F:$F,0,Summary!L$2),'BPC Data'!$E:$E,Summary!$D309,'BPC Data'!$B:$B,Summary!$C309)</f>
        <v>0</v>
      </c>
      <c r="M309" s="32"/>
      <c r="N309" s="110"/>
      <c r="O309" s="106">
        <f t="shared" si="116"/>
        <v>0</v>
      </c>
    </row>
    <row r="310" spans="1:15" s="16" customFormat="1" hidden="1" outlineLevel="1" x14ac:dyDescent="0.25">
      <c r="A310" s="16">
        <f t="shared" si="133"/>
        <v>28</v>
      </c>
      <c r="B310"/>
      <c r="C310">
        <f>$F306</f>
        <v>0</v>
      </c>
      <c r="D310" s="3" t="str">
        <f t="shared" si="121"/>
        <v>T_OPEX - Tenant Operating Expenses</v>
      </c>
      <c r="E310"/>
      <c r="F310" s="22" t="str">
        <f>_xll.EVDES(D310)</f>
        <v>Tenant Operating Expenses</v>
      </c>
      <c r="G310" s="18">
        <f ca="1">SUMIFS(OFFSET('BPC Data'!$F:$F,0,Summary!G$2),'BPC Data'!$E:$E,Summary!$D310,'BPC Data'!$B:$B,Summary!$C310)</f>
        <v>0</v>
      </c>
      <c r="H310" s="92">
        <f ca="1">SUMIFS(OFFSET('BPC Data'!$F:$F,0,Summary!H$2),'BPC Data'!$E:$E,Summary!$D310,'BPC Data'!$B:$B,Summary!$C310)</f>
        <v>0</v>
      </c>
      <c r="I310" s="18">
        <f ca="1">SUMIFS(OFFSET('BPC Data'!$F:$F,0,Summary!I$2),'BPC Data'!$E:$E,Summary!$D310,'BPC Data'!$B:$B,Summary!$C310)</f>
        <v>0</v>
      </c>
      <c r="J310" s="92">
        <f ca="1">SUMIFS(OFFSET('BPC Data'!$F:$F,0,Summary!J$2),'BPC Data'!$E:$E,Summary!$D310,'BPC Data'!$B:$B,Summary!$C310)</f>
        <v>0</v>
      </c>
      <c r="K310" s="18">
        <f ca="1">SUMIFS(OFFSET('BPC Data'!$F:$F,0,Summary!K$2),'BPC Data'!$E:$E,Summary!$D310,'BPC Data'!$B:$B,Summary!$C310)</f>
        <v>0</v>
      </c>
      <c r="L310" s="92">
        <f ca="1">SUMIFS(OFFSET('BPC Data'!$F:$F,0,Summary!L$2),'BPC Data'!$E:$E,Summary!$D310,'BPC Data'!$B:$B,Summary!$C310)</f>
        <v>0</v>
      </c>
      <c r="M310" s="32"/>
      <c r="N310" s="110"/>
      <c r="O310" s="106">
        <f t="shared" si="116"/>
        <v>0</v>
      </c>
    </row>
    <row r="311" spans="1:15" s="16" customFormat="1" hidden="1" outlineLevel="1" x14ac:dyDescent="0.25">
      <c r="A311" s="16">
        <f t="shared" si="133"/>
        <v>28</v>
      </c>
      <c r="B311"/>
      <c r="C311">
        <f>$F306</f>
        <v>0</v>
      </c>
      <c r="D311" s="3" t="str">
        <f t="shared" si="121"/>
        <v>T_BAD_DEBT - Tenant Bad Debt Expense</v>
      </c>
      <c r="E311"/>
      <c r="F311" s="22" t="str">
        <f>_xll.EVDES(D311)</f>
        <v>Tenant Bad Debt Expense</v>
      </c>
      <c r="G311" s="18">
        <f ca="1">SUMIFS(OFFSET('BPC Data'!$F:$F,0,Summary!G$2),'BPC Data'!$E:$E,Summary!$D311,'BPC Data'!$B:$B,Summary!$C311)</f>
        <v>0</v>
      </c>
      <c r="H311" s="92">
        <f ca="1">SUMIFS(OFFSET('BPC Data'!$F:$F,0,Summary!H$2),'BPC Data'!$E:$E,Summary!$D311,'BPC Data'!$B:$B,Summary!$C311)</f>
        <v>0</v>
      </c>
      <c r="I311" s="18">
        <f ca="1">SUMIFS(OFFSET('BPC Data'!$F:$F,0,Summary!I$2),'BPC Data'!$E:$E,Summary!$D311,'BPC Data'!$B:$B,Summary!$C311)</f>
        <v>0</v>
      </c>
      <c r="J311" s="92">
        <f ca="1">SUMIFS(OFFSET('BPC Data'!$F:$F,0,Summary!J$2),'BPC Data'!$E:$E,Summary!$D311,'BPC Data'!$B:$B,Summary!$C311)</f>
        <v>0</v>
      </c>
      <c r="K311" s="18">
        <f ca="1">SUMIFS(OFFSET('BPC Data'!$F:$F,0,Summary!K$2),'BPC Data'!$E:$E,Summary!$D311,'BPC Data'!$B:$B,Summary!$C311)</f>
        <v>0</v>
      </c>
      <c r="L311" s="92">
        <f ca="1">SUMIFS(OFFSET('BPC Data'!$F:$F,0,Summary!L$2),'BPC Data'!$E:$E,Summary!$D311,'BPC Data'!$B:$B,Summary!$C311)</f>
        <v>0</v>
      </c>
      <c r="M311" s="32"/>
      <c r="N311" s="110"/>
      <c r="O311" s="106">
        <f t="shared" si="116"/>
        <v>0</v>
      </c>
    </row>
    <row r="312" spans="1:15" s="16" customFormat="1" hidden="1" outlineLevel="1" x14ac:dyDescent="0.25">
      <c r="A312" s="16">
        <f t="shared" si="133"/>
        <v>28</v>
      </c>
      <c r="B312"/>
      <c r="C312">
        <f>$F306</f>
        <v>0</v>
      </c>
      <c r="D312" s="2" t="str">
        <f t="shared" si="121"/>
        <v>T_EBITDARM - EBITDARM</v>
      </c>
      <c r="E312"/>
      <c r="F312" s="22" t="str">
        <f>_xll.EVDES(D312)</f>
        <v>EBITDARM</v>
      </c>
      <c r="G312" s="18">
        <f ca="1">SUMIFS(OFFSET('BPC Data'!$F:$F,0,Summary!G$2),'BPC Data'!$E:$E,Summary!$D312,'BPC Data'!$B:$B,Summary!$C312)</f>
        <v>0</v>
      </c>
      <c r="H312" s="92">
        <f ca="1">SUMIFS(OFFSET('BPC Data'!$F:$F,0,Summary!H$2),'BPC Data'!$E:$E,Summary!$D312,'BPC Data'!$B:$B,Summary!$C312)</f>
        <v>0</v>
      </c>
      <c r="I312" s="18">
        <f ca="1">SUMIFS(OFFSET('BPC Data'!$F:$F,0,Summary!I$2),'BPC Data'!$E:$E,Summary!$D312,'BPC Data'!$B:$B,Summary!$C312)</f>
        <v>0</v>
      </c>
      <c r="J312" s="92">
        <f ca="1">SUMIFS(OFFSET('BPC Data'!$F:$F,0,Summary!J$2),'BPC Data'!$E:$E,Summary!$D312,'BPC Data'!$B:$B,Summary!$C312)</f>
        <v>0</v>
      </c>
      <c r="K312" s="18">
        <f ca="1">SUMIFS(OFFSET('BPC Data'!$F:$F,0,Summary!K$2),'BPC Data'!$E:$E,Summary!$D312,'BPC Data'!$B:$B,Summary!$C312)</f>
        <v>0</v>
      </c>
      <c r="L312" s="92">
        <f ca="1">SUMIFS(OFFSET('BPC Data'!$F:$F,0,Summary!L$2),'BPC Data'!$E:$E,Summary!$D312,'BPC Data'!$B:$B,Summary!$C312)</f>
        <v>0</v>
      </c>
      <c r="M312" s="32"/>
      <c r="N312" s="110"/>
      <c r="O312" s="106">
        <f t="shared" si="116"/>
        <v>0</v>
      </c>
    </row>
    <row r="313" spans="1:15" s="16" customFormat="1" hidden="1" outlineLevel="1" x14ac:dyDescent="0.25">
      <c r="A313" s="16">
        <f t="shared" si="133"/>
        <v>28</v>
      </c>
      <c r="B313"/>
      <c r="C313">
        <f>$F306</f>
        <v>0</v>
      </c>
      <c r="D313" s="2" t="str">
        <f t="shared" si="121"/>
        <v>T_MGMT_FEE - Tenant Management Fee - Actual</v>
      </c>
      <c r="E313"/>
      <c r="F313" s="22" t="str">
        <f>_xll.EVDES(D313)</f>
        <v>Tenant Management Fee - Actual</v>
      </c>
      <c r="G313" s="18">
        <f ca="1">SUMIFS(OFFSET('BPC Data'!$F:$F,0,Summary!G$2),'BPC Data'!$E:$E,Summary!$D313,'BPC Data'!$B:$B,Summary!$C313)</f>
        <v>0</v>
      </c>
      <c r="H313" s="92">
        <f ca="1">SUMIFS(OFFSET('BPC Data'!$F:$F,0,Summary!H$2),'BPC Data'!$E:$E,Summary!$D313,'BPC Data'!$B:$B,Summary!$C313)</f>
        <v>0</v>
      </c>
      <c r="I313" s="18">
        <f ca="1">SUMIFS(OFFSET('BPC Data'!$F:$F,0,Summary!I$2),'BPC Data'!$E:$E,Summary!$D313,'BPC Data'!$B:$B,Summary!$C313)</f>
        <v>0</v>
      </c>
      <c r="J313" s="92">
        <f ca="1">SUMIFS(OFFSET('BPC Data'!$F:$F,0,Summary!J$2),'BPC Data'!$E:$E,Summary!$D313,'BPC Data'!$B:$B,Summary!$C313)</f>
        <v>0</v>
      </c>
      <c r="K313" s="18">
        <f ca="1">SUMIFS(OFFSET('BPC Data'!$F:$F,0,Summary!K$2),'BPC Data'!$E:$E,Summary!$D313,'BPC Data'!$B:$B,Summary!$C313)</f>
        <v>0</v>
      </c>
      <c r="L313" s="92">
        <f ca="1">SUMIFS(OFFSET('BPC Data'!$F:$F,0,Summary!L$2),'BPC Data'!$E:$E,Summary!$D313,'BPC Data'!$B:$B,Summary!$C313)</f>
        <v>0</v>
      </c>
      <c r="M313" s="32"/>
      <c r="N313" s="110"/>
      <c r="O313" s="106">
        <f t="shared" si="116"/>
        <v>0</v>
      </c>
    </row>
    <row r="314" spans="1:15" s="16" customFormat="1" hidden="1" outlineLevel="1" x14ac:dyDescent="0.25">
      <c r="A314" s="16">
        <f t="shared" si="133"/>
        <v>28</v>
      </c>
      <c r="B314"/>
      <c r="C314">
        <f>$F306</f>
        <v>0</v>
      </c>
      <c r="D314" s="1" t="str">
        <f t="shared" si="121"/>
        <v>T_EBITDAR - EBITDAR</v>
      </c>
      <c r="E314"/>
      <c r="F314" s="22" t="str">
        <f>_xll.EVDES(D314)</f>
        <v>EBITDAR</v>
      </c>
      <c r="G314" s="18">
        <f ca="1">SUMIFS(OFFSET('BPC Data'!$F:$F,0,Summary!G$2),'BPC Data'!$E:$E,Summary!$D314,'BPC Data'!$B:$B,Summary!$C314)</f>
        <v>0</v>
      </c>
      <c r="H314" s="92">
        <f ca="1">SUMIFS(OFFSET('BPC Data'!$F:$F,0,Summary!H$2),'BPC Data'!$E:$E,Summary!$D314,'BPC Data'!$B:$B,Summary!$C314)</f>
        <v>0</v>
      </c>
      <c r="I314" s="18">
        <f ca="1">SUMIFS(OFFSET('BPC Data'!$F:$F,0,Summary!I$2),'BPC Data'!$E:$E,Summary!$D314,'BPC Data'!$B:$B,Summary!$C314)</f>
        <v>0</v>
      </c>
      <c r="J314" s="92">
        <f ca="1">SUMIFS(OFFSET('BPC Data'!$F:$F,0,Summary!J$2),'BPC Data'!$E:$E,Summary!$D314,'BPC Data'!$B:$B,Summary!$C314)</f>
        <v>0</v>
      </c>
      <c r="K314" s="18">
        <f ca="1">SUMIFS(OFFSET('BPC Data'!$F:$F,0,Summary!K$2),'BPC Data'!$E:$E,Summary!$D314,'BPC Data'!$B:$B,Summary!$C314)</f>
        <v>0</v>
      </c>
      <c r="L314" s="92">
        <f ca="1">SUMIFS(OFFSET('BPC Data'!$F:$F,0,Summary!L$2),'BPC Data'!$E:$E,Summary!$D314,'BPC Data'!$B:$B,Summary!$C314)</f>
        <v>0</v>
      </c>
      <c r="M314" s="32"/>
      <c r="N314" s="110"/>
      <c r="O314" s="106">
        <f t="shared" si="116"/>
        <v>0</v>
      </c>
    </row>
    <row r="315" spans="1:15" s="16" customFormat="1" hidden="1" outlineLevel="1" x14ac:dyDescent="0.25">
      <c r="A315" s="16">
        <f t="shared" si="133"/>
        <v>28</v>
      </c>
      <c r="B315"/>
      <c r="C315">
        <f>$F306</f>
        <v>0</v>
      </c>
      <c r="D315" s="1" t="str">
        <f t="shared" si="121"/>
        <v>T_RENT_EXP - Tenant Rent Expense</v>
      </c>
      <c r="E315"/>
      <c r="F315" s="22" t="str">
        <f>_xll.EVDES(D315)</f>
        <v>Tenant Rent Expense</v>
      </c>
      <c r="G315" s="18">
        <f ca="1">SUMIFS(OFFSET('BPC Data'!$F:$F,0,Summary!G$2),'BPC Data'!$E:$E,Summary!$D315,'BPC Data'!$B:$B,Summary!$C315)</f>
        <v>0</v>
      </c>
      <c r="H315" s="92">
        <f ca="1">SUMIFS(OFFSET('BPC Data'!$F:$F,0,Summary!H$2),'BPC Data'!$E:$E,Summary!$D315,'BPC Data'!$B:$B,Summary!$C315)</f>
        <v>0</v>
      </c>
      <c r="I315" s="18">
        <f ca="1">SUMIFS(OFFSET('BPC Data'!$F:$F,0,Summary!I$2),'BPC Data'!$E:$E,Summary!$D315,'BPC Data'!$B:$B,Summary!$C315)</f>
        <v>0</v>
      </c>
      <c r="J315" s="92">
        <f ca="1">SUMIFS(OFFSET('BPC Data'!$F:$F,0,Summary!J$2),'BPC Data'!$E:$E,Summary!$D315,'BPC Data'!$B:$B,Summary!$C315)</f>
        <v>0</v>
      </c>
      <c r="K315" s="18">
        <f ca="1">SUMIFS(OFFSET('BPC Data'!$F:$F,0,Summary!K$2),'BPC Data'!$E:$E,Summary!$D315,'BPC Data'!$B:$B,Summary!$C315)</f>
        <v>0</v>
      </c>
      <c r="L315" s="92">
        <f ca="1">SUMIFS(OFFSET('BPC Data'!$F:$F,0,Summary!L$2),'BPC Data'!$E:$E,Summary!$D315,'BPC Data'!$B:$B,Summary!$C315)</f>
        <v>0</v>
      </c>
      <c r="M315" s="32"/>
      <c r="N315" s="110"/>
      <c r="O315" s="106">
        <f t="shared" si="116"/>
        <v>0</v>
      </c>
    </row>
    <row r="316" spans="1:15" s="16" customFormat="1" hidden="1" outlineLevel="1" x14ac:dyDescent="0.25">
      <c r="A316" s="16">
        <f t="shared" si="133"/>
        <v>28</v>
      </c>
      <c r="B316"/>
      <c r="C316"/>
      <c r="D316" s="1" t="str">
        <f t="shared" si="121"/>
        <v>x</v>
      </c>
      <c r="E316"/>
      <c r="F316" s="22" t="s">
        <v>0</v>
      </c>
      <c r="G316" s="11" t="e">
        <f t="shared" ref="G316:H316" ca="1" si="134">G314/G315</f>
        <v>#DIV/0!</v>
      </c>
      <c r="H316" s="93" t="e">
        <f t="shared" ca="1" si="134"/>
        <v>#DIV/0!</v>
      </c>
      <c r="I316" s="11" t="e">
        <f t="shared" ref="I316:J316" ca="1" si="135">I314/I315</f>
        <v>#DIV/0!</v>
      </c>
      <c r="J316" s="93" t="e">
        <f t="shared" ca="1" si="135"/>
        <v>#DIV/0!</v>
      </c>
      <c r="K316" s="11" t="e">
        <f t="shared" ref="K316:L316" ca="1" si="136">K314/K315</f>
        <v>#DIV/0!</v>
      </c>
      <c r="L316" s="93" t="e">
        <f t="shared" ca="1" si="136"/>
        <v>#DIV/0!</v>
      </c>
      <c r="M316" s="32"/>
      <c r="N316" s="110"/>
      <c r="O316" s="106">
        <f t="shared" si="116"/>
        <v>0</v>
      </c>
    </row>
    <row r="317" spans="1:15" s="16" customFormat="1" hidden="1" outlineLevel="1" x14ac:dyDescent="0.25">
      <c r="A317" s="16">
        <f>IF(AND(D317&lt;&gt;"",C317=""),A316+1,A316)</f>
        <v>29</v>
      </c>
      <c r="B317" s="4"/>
      <c r="C317" s="4"/>
      <c r="D317" s="4" t="str">
        <f t="shared" si="121"/>
        <v>x</v>
      </c>
      <c r="E317" s="4"/>
      <c r="F317" s="21">
        <f>INDEX(PropertyList!$D:$D,MATCH(Summary!$A317,PropertyList!$C:$C,0))</f>
        <v>0</v>
      </c>
      <c r="G317" s="10"/>
      <c r="H317" s="91"/>
      <c r="I317" s="10"/>
      <c r="J317" s="91"/>
      <c r="K317" s="10"/>
      <c r="L317" s="91"/>
      <c r="M317" s="32"/>
      <c r="N317" s="110"/>
      <c r="O317" s="106">
        <f t="shared" si="116"/>
        <v>0</v>
      </c>
    </row>
    <row r="318" spans="1:15" s="16" customFormat="1" hidden="1" outlineLevel="1" x14ac:dyDescent="0.25">
      <c r="A318" s="16">
        <f>IF(AND(F318&lt;&gt;"",D318=""),A317+1,A317)</f>
        <v>29</v>
      </c>
      <c r="C318">
        <f>$F317</f>
        <v>0</v>
      </c>
      <c r="D318" s="3" t="str">
        <f t="shared" si="121"/>
        <v>PAY_PAT_DAYS - Total Payor Patient Days</v>
      </c>
      <c r="F318" s="22" t="str">
        <f>_xll.EVDES(D318)</f>
        <v>Total Payor Patient Days</v>
      </c>
      <c r="G318" s="18">
        <f ca="1">SUMIFS(OFFSET('BPC Data'!$F:$F,0,Summary!G$2),'BPC Data'!$E:$E,Summary!$D318,'BPC Data'!$B:$B,Summary!$C318)</f>
        <v>0</v>
      </c>
      <c r="H318" s="92">
        <f ca="1">SUMIFS(OFFSET('BPC Data'!$F:$F,0,Summary!H$2),'BPC Data'!$E:$E,Summary!$D318,'BPC Data'!$B:$B,Summary!$C318)</f>
        <v>0</v>
      </c>
      <c r="I318" s="18">
        <f ca="1">SUMIFS(OFFSET('BPC Data'!$F:$F,0,Summary!I$2),'BPC Data'!$E:$E,Summary!$D318,'BPC Data'!$B:$B,Summary!$C318)</f>
        <v>0</v>
      </c>
      <c r="J318" s="92">
        <f ca="1">SUMIFS(OFFSET('BPC Data'!$F:$F,0,Summary!J$2),'BPC Data'!$E:$E,Summary!$D318,'BPC Data'!$B:$B,Summary!$C318)</f>
        <v>0</v>
      </c>
      <c r="K318" s="18">
        <f ca="1">SUMIFS(OFFSET('BPC Data'!$F:$F,0,Summary!K$2),'BPC Data'!$E:$E,Summary!$D318,'BPC Data'!$B:$B,Summary!$C318)</f>
        <v>0</v>
      </c>
      <c r="L318" s="92">
        <f ca="1">SUMIFS(OFFSET('BPC Data'!$F:$F,0,Summary!L$2),'BPC Data'!$E:$E,Summary!$D318,'BPC Data'!$B:$B,Summary!$C318)</f>
        <v>0</v>
      </c>
      <c r="M318" s="32"/>
      <c r="N318" s="110"/>
      <c r="O318" s="106">
        <f t="shared" si="116"/>
        <v>0</v>
      </c>
    </row>
    <row r="319" spans="1:15" s="16" customFormat="1" hidden="1" outlineLevel="1" x14ac:dyDescent="0.25">
      <c r="A319" s="16">
        <f t="shared" ref="A319:A327" si="137">IF(AND(F319&lt;&gt;"",D319=""),A318+1,A318)</f>
        <v>29</v>
      </c>
      <c r="C319">
        <f>$F317</f>
        <v>0</v>
      </c>
      <c r="D319" s="3" t="str">
        <f t="shared" si="121"/>
        <v>A_BEDS_TOTAL - Total Available Beds</v>
      </c>
      <c r="F319" s="22" t="str">
        <f>_xll.EVDES(D319)</f>
        <v>Total Available Beds</v>
      </c>
      <c r="G319" s="18">
        <f ca="1">SUMIFS(OFFSET('BPC Data'!$F:$F,0,Summary!G$2),'BPC Data'!$E:$E,Summary!$D319,'BPC Data'!$B:$B,Summary!$C319)</f>
        <v>0</v>
      </c>
      <c r="H319" s="92">
        <f ca="1">SUMIFS(OFFSET('BPC Data'!$F:$F,0,Summary!H$2),'BPC Data'!$E:$E,Summary!$D319,'BPC Data'!$B:$B,Summary!$C319)</f>
        <v>0</v>
      </c>
      <c r="I319" s="18">
        <f ca="1">SUMIFS(OFFSET('BPC Data'!$F:$F,0,Summary!I$2),'BPC Data'!$E:$E,Summary!$D319,'BPC Data'!$B:$B,Summary!$C319)</f>
        <v>0</v>
      </c>
      <c r="J319" s="92">
        <f ca="1">SUMIFS(OFFSET('BPC Data'!$F:$F,0,Summary!J$2),'BPC Data'!$E:$E,Summary!$D319,'BPC Data'!$B:$B,Summary!$C319)</f>
        <v>0</v>
      </c>
      <c r="K319" s="18">
        <f ca="1">SUMIFS(OFFSET('BPC Data'!$F:$F,0,Summary!K$2),'BPC Data'!$E:$E,Summary!$D319,'BPC Data'!$B:$B,Summary!$C319)</f>
        <v>0</v>
      </c>
      <c r="L319" s="92">
        <f ca="1">SUMIFS(OFFSET('BPC Data'!$F:$F,0,Summary!L$2),'BPC Data'!$E:$E,Summary!$D319,'BPC Data'!$B:$B,Summary!$C319)</f>
        <v>0</v>
      </c>
      <c r="M319" s="32"/>
      <c r="N319" s="110"/>
      <c r="O319" s="106">
        <f t="shared" si="116"/>
        <v>0</v>
      </c>
    </row>
    <row r="320" spans="1:15" s="16" customFormat="1" hidden="1" outlineLevel="1" x14ac:dyDescent="0.25">
      <c r="A320" s="16">
        <f t="shared" si="137"/>
        <v>29</v>
      </c>
      <c r="B320"/>
      <c r="C320">
        <f>$F317</f>
        <v>0</v>
      </c>
      <c r="D320" s="3" t="str">
        <f t="shared" si="121"/>
        <v>T_REVENUES - Total Tenant Revenues</v>
      </c>
      <c r="E320"/>
      <c r="F320" s="22" t="str">
        <f>_xll.EVDES(D320)</f>
        <v>Total Tenant Revenues</v>
      </c>
      <c r="G320" s="18">
        <f ca="1">SUMIFS(OFFSET('BPC Data'!$F:$F,0,Summary!G$2),'BPC Data'!$E:$E,Summary!$D320,'BPC Data'!$B:$B,Summary!$C320)</f>
        <v>0</v>
      </c>
      <c r="H320" s="92">
        <f ca="1">SUMIFS(OFFSET('BPC Data'!$F:$F,0,Summary!H$2),'BPC Data'!$E:$E,Summary!$D320,'BPC Data'!$B:$B,Summary!$C320)</f>
        <v>0</v>
      </c>
      <c r="I320" s="18">
        <f ca="1">SUMIFS(OFFSET('BPC Data'!$F:$F,0,Summary!I$2),'BPC Data'!$E:$E,Summary!$D320,'BPC Data'!$B:$B,Summary!$C320)</f>
        <v>0</v>
      </c>
      <c r="J320" s="92">
        <f ca="1">SUMIFS(OFFSET('BPC Data'!$F:$F,0,Summary!J$2),'BPC Data'!$E:$E,Summary!$D320,'BPC Data'!$B:$B,Summary!$C320)</f>
        <v>0</v>
      </c>
      <c r="K320" s="18">
        <f ca="1">SUMIFS(OFFSET('BPC Data'!$F:$F,0,Summary!K$2),'BPC Data'!$E:$E,Summary!$D320,'BPC Data'!$B:$B,Summary!$C320)</f>
        <v>0</v>
      </c>
      <c r="L320" s="92">
        <f ca="1">SUMIFS(OFFSET('BPC Data'!$F:$F,0,Summary!L$2),'BPC Data'!$E:$E,Summary!$D320,'BPC Data'!$B:$B,Summary!$C320)</f>
        <v>0</v>
      </c>
      <c r="M320" s="32"/>
      <c r="N320" s="110"/>
      <c r="O320" s="106">
        <f t="shared" si="116"/>
        <v>0</v>
      </c>
    </row>
    <row r="321" spans="1:15" s="16" customFormat="1" hidden="1" outlineLevel="1" x14ac:dyDescent="0.25">
      <c r="A321" s="16">
        <f t="shared" si="137"/>
        <v>29</v>
      </c>
      <c r="B321"/>
      <c r="C321">
        <f>$F317</f>
        <v>0</v>
      </c>
      <c r="D321" s="3" t="str">
        <f t="shared" si="121"/>
        <v>T_OPEX - Tenant Operating Expenses</v>
      </c>
      <c r="E321"/>
      <c r="F321" s="22" t="str">
        <f>_xll.EVDES(D321)</f>
        <v>Tenant Operating Expenses</v>
      </c>
      <c r="G321" s="18">
        <f ca="1">SUMIFS(OFFSET('BPC Data'!$F:$F,0,Summary!G$2),'BPC Data'!$E:$E,Summary!$D321,'BPC Data'!$B:$B,Summary!$C321)</f>
        <v>0</v>
      </c>
      <c r="H321" s="92">
        <f ca="1">SUMIFS(OFFSET('BPC Data'!$F:$F,0,Summary!H$2),'BPC Data'!$E:$E,Summary!$D321,'BPC Data'!$B:$B,Summary!$C321)</f>
        <v>0</v>
      </c>
      <c r="I321" s="18">
        <f ca="1">SUMIFS(OFFSET('BPC Data'!$F:$F,0,Summary!I$2),'BPC Data'!$E:$E,Summary!$D321,'BPC Data'!$B:$B,Summary!$C321)</f>
        <v>0</v>
      </c>
      <c r="J321" s="92">
        <f ca="1">SUMIFS(OFFSET('BPC Data'!$F:$F,0,Summary!J$2),'BPC Data'!$E:$E,Summary!$D321,'BPC Data'!$B:$B,Summary!$C321)</f>
        <v>0</v>
      </c>
      <c r="K321" s="18">
        <f ca="1">SUMIFS(OFFSET('BPC Data'!$F:$F,0,Summary!K$2),'BPC Data'!$E:$E,Summary!$D321,'BPC Data'!$B:$B,Summary!$C321)</f>
        <v>0</v>
      </c>
      <c r="L321" s="92">
        <f ca="1">SUMIFS(OFFSET('BPC Data'!$F:$F,0,Summary!L$2),'BPC Data'!$E:$E,Summary!$D321,'BPC Data'!$B:$B,Summary!$C321)</f>
        <v>0</v>
      </c>
      <c r="M321" s="32"/>
      <c r="N321" s="110"/>
      <c r="O321" s="106">
        <f t="shared" si="116"/>
        <v>0</v>
      </c>
    </row>
    <row r="322" spans="1:15" s="16" customFormat="1" hidden="1" outlineLevel="1" x14ac:dyDescent="0.25">
      <c r="A322" s="16">
        <f t="shared" si="137"/>
        <v>29</v>
      </c>
      <c r="B322"/>
      <c r="C322">
        <f>$F317</f>
        <v>0</v>
      </c>
      <c r="D322" s="3" t="str">
        <f t="shared" si="121"/>
        <v>T_BAD_DEBT - Tenant Bad Debt Expense</v>
      </c>
      <c r="E322"/>
      <c r="F322" s="22" t="str">
        <f>_xll.EVDES(D322)</f>
        <v>Tenant Bad Debt Expense</v>
      </c>
      <c r="G322" s="18">
        <f ca="1">SUMIFS(OFFSET('BPC Data'!$F:$F,0,Summary!G$2),'BPC Data'!$E:$E,Summary!$D322,'BPC Data'!$B:$B,Summary!$C322)</f>
        <v>0</v>
      </c>
      <c r="H322" s="92">
        <f ca="1">SUMIFS(OFFSET('BPC Data'!$F:$F,0,Summary!H$2),'BPC Data'!$E:$E,Summary!$D322,'BPC Data'!$B:$B,Summary!$C322)</f>
        <v>0</v>
      </c>
      <c r="I322" s="18">
        <f ca="1">SUMIFS(OFFSET('BPC Data'!$F:$F,0,Summary!I$2),'BPC Data'!$E:$E,Summary!$D322,'BPC Data'!$B:$B,Summary!$C322)</f>
        <v>0</v>
      </c>
      <c r="J322" s="92">
        <f ca="1">SUMIFS(OFFSET('BPC Data'!$F:$F,0,Summary!J$2),'BPC Data'!$E:$E,Summary!$D322,'BPC Data'!$B:$B,Summary!$C322)</f>
        <v>0</v>
      </c>
      <c r="K322" s="18">
        <f ca="1">SUMIFS(OFFSET('BPC Data'!$F:$F,0,Summary!K$2),'BPC Data'!$E:$E,Summary!$D322,'BPC Data'!$B:$B,Summary!$C322)</f>
        <v>0</v>
      </c>
      <c r="L322" s="92">
        <f ca="1">SUMIFS(OFFSET('BPC Data'!$F:$F,0,Summary!L$2),'BPC Data'!$E:$E,Summary!$D322,'BPC Data'!$B:$B,Summary!$C322)</f>
        <v>0</v>
      </c>
      <c r="M322" s="32"/>
      <c r="N322" s="110"/>
      <c r="O322" s="106">
        <f t="shared" si="116"/>
        <v>0</v>
      </c>
    </row>
    <row r="323" spans="1:15" s="16" customFormat="1" hidden="1" outlineLevel="1" x14ac:dyDescent="0.25">
      <c r="A323" s="16">
        <f t="shared" si="137"/>
        <v>29</v>
      </c>
      <c r="B323"/>
      <c r="C323">
        <f>$F317</f>
        <v>0</v>
      </c>
      <c r="D323" s="2" t="str">
        <f t="shared" si="121"/>
        <v>T_EBITDARM - EBITDARM</v>
      </c>
      <c r="E323"/>
      <c r="F323" s="22" t="str">
        <f>_xll.EVDES(D323)</f>
        <v>EBITDARM</v>
      </c>
      <c r="G323" s="18">
        <f ca="1">SUMIFS(OFFSET('BPC Data'!$F:$F,0,Summary!G$2),'BPC Data'!$E:$E,Summary!$D323,'BPC Data'!$B:$B,Summary!$C323)</f>
        <v>0</v>
      </c>
      <c r="H323" s="92">
        <f ca="1">SUMIFS(OFFSET('BPC Data'!$F:$F,0,Summary!H$2),'BPC Data'!$E:$E,Summary!$D323,'BPC Data'!$B:$B,Summary!$C323)</f>
        <v>0</v>
      </c>
      <c r="I323" s="18">
        <f ca="1">SUMIFS(OFFSET('BPC Data'!$F:$F,0,Summary!I$2),'BPC Data'!$E:$E,Summary!$D323,'BPC Data'!$B:$B,Summary!$C323)</f>
        <v>0</v>
      </c>
      <c r="J323" s="92">
        <f ca="1">SUMIFS(OFFSET('BPC Data'!$F:$F,0,Summary!J$2),'BPC Data'!$E:$E,Summary!$D323,'BPC Data'!$B:$B,Summary!$C323)</f>
        <v>0</v>
      </c>
      <c r="K323" s="18">
        <f ca="1">SUMIFS(OFFSET('BPC Data'!$F:$F,0,Summary!K$2),'BPC Data'!$E:$E,Summary!$D323,'BPC Data'!$B:$B,Summary!$C323)</f>
        <v>0</v>
      </c>
      <c r="L323" s="92">
        <f ca="1">SUMIFS(OFFSET('BPC Data'!$F:$F,0,Summary!L$2),'BPC Data'!$E:$E,Summary!$D323,'BPC Data'!$B:$B,Summary!$C323)</f>
        <v>0</v>
      </c>
      <c r="M323" s="32"/>
      <c r="N323" s="110"/>
      <c r="O323" s="106">
        <f t="shared" si="116"/>
        <v>0</v>
      </c>
    </row>
    <row r="324" spans="1:15" s="16" customFormat="1" hidden="1" outlineLevel="1" x14ac:dyDescent="0.25">
      <c r="A324" s="16">
        <f t="shared" si="137"/>
        <v>29</v>
      </c>
      <c r="B324"/>
      <c r="C324">
        <f>$F317</f>
        <v>0</v>
      </c>
      <c r="D324" s="2" t="str">
        <f t="shared" si="121"/>
        <v>T_MGMT_FEE - Tenant Management Fee - Actual</v>
      </c>
      <c r="E324"/>
      <c r="F324" s="22" t="str">
        <f>_xll.EVDES(D324)</f>
        <v>Tenant Management Fee - Actual</v>
      </c>
      <c r="G324" s="18">
        <f ca="1">SUMIFS(OFFSET('BPC Data'!$F:$F,0,Summary!G$2),'BPC Data'!$E:$E,Summary!$D324,'BPC Data'!$B:$B,Summary!$C324)</f>
        <v>0</v>
      </c>
      <c r="H324" s="92">
        <f ca="1">SUMIFS(OFFSET('BPC Data'!$F:$F,0,Summary!H$2),'BPC Data'!$E:$E,Summary!$D324,'BPC Data'!$B:$B,Summary!$C324)</f>
        <v>0</v>
      </c>
      <c r="I324" s="18">
        <f ca="1">SUMIFS(OFFSET('BPC Data'!$F:$F,0,Summary!I$2),'BPC Data'!$E:$E,Summary!$D324,'BPC Data'!$B:$B,Summary!$C324)</f>
        <v>0</v>
      </c>
      <c r="J324" s="92">
        <f ca="1">SUMIFS(OFFSET('BPC Data'!$F:$F,0,Summary!J$2),'BPC Data'!$E:$E,Summary!$D324,'BPC Data'!$B:$B,Summary!$C324)</f>
        <v>0</v>
      </c>
      <c r="K324" s="18">
        <f ca="1">SUMIFS(OFFSET('BPC Data'!$F:$F,0,Summary!K$2),'BPC Data'!$E:$E,Summary!$D324,'BPC Data'!$B:$B,Summary!$C324)</f>
        <v>0</v>
      </c>
      <c r="L324" s="92">
        <f ca="1">SUMIFS(OFFSET('BPC Data'!$F:$F,0,Summary!L$2),'BPC Data'!$E:$E,Summary!$D324,'BPC Data'!$B:$B,Summary!$C324)</f>
        <v>0</v>
      </c>
      <c r="M324" s="32"/>
      <c r="N324" s="110"/>
      <c r="O324" s="106">
        <f t="shared" si="116"/>
        <v>0</v>
      </c>
    </row>
    <row r="325" spans="1:15" s="16" customFormat="1" hidden="1" outlineLevel="1" x14ac:dyDescent="0.25">
      <c r="A325" s="16">
        <f t="shared" si="137"/>
        <v>29</v>
      </c>
      <c r="B325"/>
      <c r="C325">
        <f>$F317</f>
        <v>0</v>
      </c>
      <c r="D325" s="1" t="str">
        <f t="shared" si="121"/>
        <v>T_EBITDAR - EBITDAR</v>
      </c>
      <c r="E325"/>
      <c r="F325" s="22" t="str">
        <f>_xll.EVDES(D325)</f>
        <v>EBITDAR</v>
      </c>
      <c r="G325" s="18">
        <f ca="1">SUMIFS(OFFSET('BPC Data'!$F:$F,0,Summary!G$2),'BPC Data'!$E:$E,Summary!$D325,'BPC Data'!$B:$B,Summary!$C325)</f>
        <v>0</v>
      </c>
      <c r="H325" s="92">
        <f ca="1">SUMIFS(OFFSET('BPC Data'!$F:$F,0,Summary!H$2),'BPC Data'!$E:$E,Summary!$D325,'BPC Data'!$B:$B,Summary!$C325)</f>
        <v>0</v>
      </c>
      <c r="I325" s="18">
        <f ca="1">SUMIFS(OFFSET('BPC Data'!$F:$F,0,Summary!I$2),'BPC Data'!$E:$E,Summary!$D325,'BPC Data'!$B:$B,Summary!$C325)</f>
        <v>0</v>
      </c>
      <c r="J325" s="92">
        <f ca="1">SUMIFS(OFFSET('BPC Data'!$F:$F,0,Summary!J$2),'BPC Data'!$E:$E,Summary!$D325,'BPC Data'!$B:$B,Summary!$C325)</f>
        <v>0</v>
      </c>
      <c r="K325" s="18">
        <f ca="1">SUMIFS(OFFSET('BPC Data'!$F:$F,0,Summary!K$2),'BPC Data'!$E:$E,Summary!$D325,'BPC Data'!$B:$B,Summary!$C325)</f>
        <v>0</v>
      </c>
      <c r="L325" s="92">
        <f ca="1">SUMIFS(OFFSET('BPC Data'!$F:$F,0,Summary!L$2),'BPC Data'!$E:$E,Summary!$D325,'BPC Data'!$B:$B,Summary!$C325)</f>
        <v>0</v>
      </c>
      <c r="M325" s="32"/>
      <c r="N325" s="110"/>
      <c r="O325" s="106">
        <f t="shared" si="116"/>
        <v>0</v>
      </c>
    </row>
    <row r="326" spans="1:15" s="16" customFormat="1" hidden="1" outlineLevel="1" x14ac:dyDescent="0.25">
      <c r="A326" s="16">
        <f t="shared" si="137"/>
        <v>29</v>
      </c>
      <c r="B326"/>
      <c r="C326">
        <f>$F317</f>
        <v>0</v>
      </c>
      <c r="D326" s="1" t="str">
        <f t="shared" si="121"/>
        <v>T_RENT_EXP - Tenant Rent Expense</v>
      </c>
      <c r="E326"/>
      <c r="F326" s="22" t="str">
        <f>_xll.EVDES(D326)</f>
        <v>Tenant Rent Expense</v>
      </c>
      <c r="G326" s="18">
        <f ca="1">SUMIFS(OFFSET('BPC Data'!$F:$F,0,Summary!G$2),'BPC Data'!$E:$E,Summary!$D326,'BPC Data'!$B:$B,Summary!$C326)</f>
        <v>0</v>
      </c>
      <c r="H326" s="92">
        <f ca="1">SUMIFS(OFFSET('BPC Data'!$F:$F,0,Summary!H$2),'BPC Data'!$E:$E,Summary!$D326,'BPC Data'!$B:$B,Summary!$C326)</f>
        <v>0</v>
      </c>
      <c r="I326" s="18">
        <f ca="1">SUMIFS(OFFSET('BPC Data'!$F:$F,0,Summary!I$2),'BPC Data'!$E:$E,Summary!$D326,'BPC Data'!$B:$B,Summary!$C326)</f>
        <v>0</v>
      </c>
      <c r="J326" s="92">
        <f ca="1">SUMIFS(OFFSET('BPC Data'!$F:$F,0,Summary!J$2),'BPC Data'!$E:$E,Summary!$D326,'BPC Data'!$B:$B,Summary!$C326)</f>
        <v>0</v>
      </c>
      <c r="K326" s="18">
        <f ca="1">SUMIFS(OFFSET('BPC Data'!$F:$F,0,Summary!K$2),'BPC Data'!$E:$E,Summary!$D326,'BPC Data'!$B:$B,Summary!$C326)</f>
        <v>0</v>
      </c>
      <c r="L326" s="92">
        <f ca="1">SUMIFS(OFFSET('BPC Data'!$F:$F,0,Summary!L$2),'BPC Data'!$E:$E,Summary!$D326,'BPC Data'!$B:$B,Summary!$C326)</f>
        <v>0</v>
      </c>
      <c r="M326" s="32"/>
      <c r="N326" s="110"/>
      <c r="O326" s="106">
        <f t="shared" si="116"/>
        <v>0</v>
      </c>
    </row>
    <row r="327" spans="1:15" s="16" customFormat="1" hidden="1" outlineLevel="1" x14ac:dyDescent="0.25">
      <c r="A327" s="16">
        <f t="shared" si="137"/>
        <v>29</v>
      </c>
      <c r="B327"/>
      <c r="C327"/>
      <c r="D327" s="1" t="str">
        <f t="shared" si="121"/>
        <v>x</v>
      </c>
      <c r="E327"/>
      <c r="F327" s="22" t="s">
        <v>0</v>
      </c>
      <c r="G327" s="11" t="e">
        <f t="shared" ref="G327:H327" ca="1" si="138">G325/G326</f>
        <v>#DIV/0!</v>
      </c>
      <c r="H327" s="93" t="e">
        <f t="shared" ca="1" si="138"/>
        <v>#DIV/0!</v>
      </c>
      <c r="I327" s="11" t="e">
        <f t="shared" ref="I327:J327" ca="1" si="139">I325/I326</f>
        <v>#DIV/0!</v>
      </c>
      <c r="J327" s="93" t="e">
        <f t="shared" ca="1" si="139"/>
        <v>#DIV/0!</v>
      </c>
      <c r="K327" s="11" t="e">
        <f t="shared" ref="K327:L327" ca="1" si="140">K325/K326</f>
        <v>#DIV/0!</v>
      </c>
      <c r="L327" s="93" t="e">
        <f t="shared" ca="1" si="140"/>
        <v>#DIV/0!</v>
      </c>
      <c r="M327" s="32"/>
      <c r="N327" s="110"/>
      <c r="O327" s="106">
        <f t="shared" si="116"/>
        <v>0</v>
      </c>
    </row>
    <row r="328" spans="1:15" s="16" customFormat="1" hidden="1" outlineLevel="1" x14ac:dyDescent="0.25">
      <c r="A328" s="16">
        <f>IF(AND(D328&lt;&gt;"",C328=""),A327+1,A327)</f>
        <v>30</v>
      </c>
      <c r="B328" s="4"/>
      <c r="C328" s="4"/>
      <c r="D328" s="4" t="str">
        <f t="shared" si="121"/>
        <v>x</v>
      </c>
      <c r="E328" s="4"/>
      <c r="F328" s="21">
        <f>INDEX(PropertyList!$D:$D,MATCH(Summary!$A328,PropertyList!$C:$C,0))</f>
        <v>0</v>
      </c>
      <c r="G328" s="10"/>
      <c r="H328" s="91"/>
      <c r="I328" s="10"/>
      <c r="J328" s="91"/>
      <c r="K328" s="10"/>
      <c r="L328" s="91"/>
      <c r="M328" s="32"/>
      <c r="N328" s="110"/>
      <c r="O328" s="106">
        <f t="shared" si="116"/>
        <v>0</v>
      </c>
    </row>
    <row r="329" spans="1:15" s="16" customFormat="1" hidden="1" outlineLevel="1" x14ac:dyDescent="0.25">
      <c r="A329" s="16">
        <f>IF(AND(F329&lt;&gt;"",D329=""),A328+1,A328)</f>
        <v>30</v>
      </c>
      <c r="C329">
        <f>$F328</f>
        <v>0</v>
      </c>
      <c r="D329" s="3" t="str">
        <f t="shared" si="121"/>
        <v>PAY_PAT_DAYS - Total Payor Patient Days</v>
      </c>
      <c r="F329" s="22" t="str">
        <f>_xll.EVDES(D329)</f>
        <v>Total Payor Patient Days</v>
      </c>
      <c r="G329" s="18">
        <f ca="1">SUMIFS(OFFSET('BPC Data'!$F:$F,0,Summary!G$2),'BPC Data'!$E:$E,Summary!$D329,'BPC Data'!$B:$B,Summary!$C329)</f>
        <v>0</v>
      </c>
      <c r="H329" s="92">
        <f ca="1">SUMIFS(OFFSET('BPC Data'!$F:$F,0,Summary!H$2),'BPC Data'!$E:$E,Summary!$D329,'BPC Data'!$B:$B,Summary!$C329)</f>
        <v>0</v>
      </c>
      <c r="I329" s="18">
        <f ca="1">SUMIFS(OFFSET('BPC Data'!$F:$F,0,Summary!I$2),'BPC Data'!$E:$E,Summary!$D329,'BPC Data'!$B:$B,Summary!$C329)</f>
        <v>0</v>
      </c>
      <c r="J329" s="92">
        <f ca="1">SUMIFS(OFFSET('BPC Data'!$F:$F,0,Summary!J$2),'BPC Data'!$E:$E,Summary!$D329,'BPC Data'!$B:$B,Summary!$C329)</f>
        <v>0</v>
      </c>
      <c r="K329" s="18">
        <f ca="1">SUMIFS(OFFSET('BPC Data'!$F:$F,0,Summary!K$2),'BPC Data'!$E:$E,Summary!$D329,'BPC Data'!$B:$B,Summary!$C329)</f>
        <v>0</v>
      </c>
      <c r="L329" s="92">
        <f ca="1">SUMIFS(OFFSET('BPC Data'!$F:$F,0,Summary!L$2),'BPC Data'!$E:$E,Summary!$D329,'BPC Data'!$B:$B,Summary!$C329)</f>
        <v>0</v>
      </c>
      <c r="M329" s="32"/>
      <c r="N329" s="110"/>
      <c r="O329" s="106">
        <f t="shared" si="116"/>
        <v>0</v>
      </c>
    </row>
    <row r="330" spans="1:15" s="16" customFormat="1" hidden="1" outlineLevel="1" x14ac:dyDescent="0.25">
      <c r="A330" s="16">
        <f t="shared" ref="A330:A338" si="141">IF(AND(F330&lt;&gt;"",D330=""),A329+1,A329)</f>
        <v>30</v>
      </c>
      <c r="C330">
        <f>$F328</f>
        <v>0</v>
      </c>
      <c r="D330" s="3" t="str">
        <f t="shared" si="121"/>
        <v>A_BEDS_TOTAL - Total Available Beds</v>
      </c>
      <c r="F330" s="22" t="str">
        <f>_xll.EVDES(D330)</f>
        <v>Total Available Beds</v>
      </c>
      <c r="G330" s="18">
        <f ca="1">SUMIFS(OFFSET('BPC Data'!$F:$F,0,Summary!G$2),'BPC Data'!$E:$E,Summary!$D330,'BPC Data'!$B:$B,Summary!$C330)</f>
        <v>0</v>
      </c>
      <c r="H330" s="92">
        <f ca="1">SUMIFS(OFFSET('BPC Data'!$F:$F,0,Summary!H$2),'BPC Data'!$E:$E,Summary!$D330,'BPC Data'!$B:$B,Summary!$C330)</f>
        <v>0</v>
      </c>
      <c r="I330" s="18">
        <f ca="1">SUMIFS(OFFSET('BPC Data'!$F:$F,0,Summary!I$2),'BPC Data'!$E:$E,Summary!$D330,'BPC Data'!$B:$B,Summary!$C330)</f>
        <v>0</v>
      </c>
      <c r="J330" s="92">
        <f ca="1">SUMIFS(OFFSET('BPC Data'!$F:$F,0,Summary!J$2),'BPC Data'!$E:$E,Summary!$D330,'BPC Data'!$B:$B,Summary!$C330)</f>
        <v>0</v>
      </c>
      <c r="K330" s="18">
        <f ca="1">SUMIFS(OFFSET('BPC Data'!$F:$F,0,Summary!K$2),'BPC Data'!$E:$E,Summary!$D330,'BPC Data'!$B:$B,Summary!$C330)</f>
        <v>0</v>
      </c>
      <c r="L330" s="92">
        <f ca="1">SUMIFS(OFFSET('BPC Data'!$F:$F,0,Summary!L$2),'BPC Data'!$E:$E,Summary!$D330,'BPC Data'!$B:$B,Summary!$C330)</f>
        <v>0</v>
      </c>
      <c r="M330" s="32"/>
      <c r="N330" s="110"/>
      <c r="O330" s="106">
        <f t="shared" si="116"/>
        <v>0</v>
      </c>
    </row>
    <row r="331" spans="1:15" s="16" customFormat="1" hidden="1" outlineLevel="1" x14ac:dyDescent="0.25">
      <c r="A331" s="16">
        <f t="shared" si="141"/>
        <v>30</v>
      </c>
      <c r="B331"/>
      <c r="C331">
        <f>$F328</f>
        <v>0</v>
      </c>
      <c r="D331" s="3" t="str">
        <f t="shared" si="121"/>
        <v>T_REVENUES - Total Tenant Revenues</v>
      </c>
      <c r="E331"/>
      <c r="F331" s="22" t="str">
        <f>_xll.EVDES(D331)</f>
        <v>Total Tenant Revenues</v>
      </c>
      <c r="G331" s="18">
        <f ca="1">SUMIFS(OFFSET('BPC Data'!$F:$F,0,Summary!G$2),'BPC Data'!$E:$E,Summary!$D331,'BPC Data'!$B:$B,Summary!$C331)</f>
        <v>0</v>
      </c>
      <c r="H331" s="92">
        <f ca="1">SUMIFS(OFFSET('BPC Data'!$F:$F,0,Summary!H$2),'BPC Data'!$E:$E,Summary!$D331,'BPC Data'!$B:$B,Summary!$C331)</f>
        <v>0</v>
      </c>
      <c r="I331" s="18">
        <f ca="1">SUMIFS(OFFSET('BPC Data'!$F:$F,0,Summary!I$2),'BPC Data'!$E:$E,Summary!$D331,'BPC Data'!$B:$B,Summary!$C331)</f>
        <v>0</v>
      </c>
      <c r="J331" s="92">
        <f ca="1">SUMIFS(OFFSET('BPC Data'!$F:$F,0,Summary!J$2),'BPC Data'!$E:$E,Summary!$D331,'BPC Data'!$B:$B,Summary!$C331)</f>
        <v>0</v>
      </c>
      <c r="K331" s="18">
        <f ca="1">SUMIFS(OFFSET('BPC Data'!$F:$F,0,Summary!K$2),'BPC Data'!$E:$E,Summary!$D331,'BPC Data'!$B:$B,Summary!$C331)</f>
        <v>0</v>
      </c>
      <c r="L331" s="92">
        <f ca="1">SUMIFS(OFFSET('BPC Data'!$F:$F,0,Summary!L$2),'BPC Data'!$E:$E,Summary!$D331,'BPC Data'!$B:$B,Summary!$C331)</f>
        <v>0</v>
      </c>
      <c r="M331" s="32"/>
      <c r="N331" s="110"/>
      <c r="O331" s="106">
        <f t="shared" si="116"/>
        <v>0</v>
      </c>
    </row>
    <row r="332" spans="1:15" s="16" customFormat="1" hidden="1" outlineLevel="1" x14ac:dyDescent="0.25">
      <c r="A332" s="16">
        <f t="shared" si="141"/>
        <v>30</v>
      </c>
      <c r="B332"/>
      <c r="C332">
        <f>$F328</f>
        <v>0</v>
      </c>
      <c r="D332" s="3" t="str">
        <f t="shared" si="121"/>
        <v>T_OPEX - Tenant Operating Expenses</v>
      </c>
      <c r="E332"/>
      <c r="F332" s="22" t="str">
        <f>_xll.EVDES(D332)</f>
        <v>Tenant Operating Expenses</v>
      </c>
      <c r="G332" s="18">
        <f ca="1">SUMIFS(OFFSET('BPC Data'!$F:$F,0,Summary!G$2),'BPC Data'!$E:$E,Summary!$D332,'BPC Data'!$B:$B,Summary!$C332)</f>
        <v>0</v>
      </c>
      <c r="H332" s="92">
        <f ca="1">SUMIFS(OFFSET('BPC Data'!$F:$F,0,Summary!H$2),'BPC Data'!$E:$E,Summary!$D332,'BPC Data'!$B:$B,Summary!$C332)</f>
        <v>0</v>
      </c>
      <c r="I332" s="18">
        <f ca="1">SUMIFS(OFFSET('BPC Data'!$F:$F,0,Summary!I$2),'BPC Data'!$E:$E,Summary!$D332,'BPC Data'!$B:$B,Summary!$C332)</f>
        <v>0</v>
      </c>
      <c r="J332" s="92">
        <f ca="1">SUMIFS(OFFSET('BPC Data'!$F:$F,0,Summary!J$2),'BPC Data'!$E:$E,Summary!$D332,'BPC Data'!$B:$B,Summary!$C332)</f>
        <v>0</v>
      </c>
      <c r="K332" s="18">
        <f ca="1">SUMIFS(OFFSET('BPC Data'!$F:$F,0,Summary!K$2),'BPC Data'!$E:$E,Summary!$D332,'BPC Data'!$B:$B,Summary!$C332)</f>
        <v>0</v>
      </c>
      <c r="L332" s="92">
        <f ca="1">SUMIFS(OFFSET('BPC Data'!$F:$F,0,Summary!L$2),'BPC Data'!$E:$E,Summary!$D332,'BPC Data'!$B:$B,Summary!$C332)</f>
        <v>0</v>
      </c>
      <c r="M332" s="32"/>
      <c r="N332" s="110"/>
      <c r="O332" s="106">
        <f t="shared" ref="O332:O395" si="142">N332-M332</f>
        <v>0</v>
      </c>
    </row>
    <row r="333" spans="1:15" s="16" customFormat="1" hidden="1" outlineLevel="1" x14ac:dyDescent="0.25">
      <c r="A333" s="16">
        <f t="shared" si="141"/>
        <v>30</v>
      </c>
      <c r="B333"/>
      <c r="C333">
        <f>$F328</f>
        <v>0</v>
      </c>
      <c r="D333" s="3" t="str">
        <f t="shared" si="121"/>
        <v>T_BAD_DEBT - Tenant Bad Debt Expense</v>
      </c>
      <c r="E333"/>
      <c r="F333" s="22" t="str">
        <f>_xll.EVDES(D333)</f>
        <v>Tenant Bad Debt Expense</v>
      </c>
      <c r="G333" s="18">
        <f ca="1">SUMIFS(OFFSET('BPC Data'!$F:$F,0,Summary!G$2),'BPC Data'!$E:$E,Summary!$D333,'BPC Data'!$B:$B,Summary!$C333)</f>
        <v>0</v>
      </c>
      <c r="H333" s="92">
        <f ca="1">SUMIFS(OFFSET('BPC Data'!$F:$F,0,Summary!H$2),'BPC Data'!$E:$E,Summary!$D333,'BPC Data'!$B:$B,Summary!$C333)</f>
        <v>0</v>
      </c>
      <c r="I333" s="18">
        <f ca="1">SUMIFS(OFFSET('BPC Data'!$F:$F,0,Summary!I$2),'BPC Data'!$E:$E,Summary!$D333,'BPC Data'!$B:$B,Summary!$C333)</f>
        <v>0</v>
      </c>
      <c r="J333" s="92">
        <f ca="1">SUMIFS(OFFSET('BPC Data'!$F:$F,0,Summary!J$2),'BPC Data'!$E:$E,Summary!$D333,'BPC Data'!$B:$B,Summary!$C333)</f>
        <v>0</v>
      </c>
      <c r="K333" s="18">
        <f ca="1">SUMIFS(OFFSET('BPC Data'!$F:$F,0,Summary!K$2),'BPC Data'!$E:$E,Summary!$D333,'BPC Data'!$B:$B,Summary!$C333)</f>
        <v>0</v>
      </c>
      <c r="L333" s="92">
        <f ca="1">SUMIFS(OFFSET('BPC Data'!$F:$F,0,Summary!L$2),'BPC Data'!$E:$E,Summary!$D333,'BPC Data'!$B:$B,Summary!$C333)</f>
        <v>0</v>
      </c>
      <c r="M333" s="32"/>
      <c r="N333" s="110"/>
      <c r="O333" s="106">
        <f t="shared" si="142"/>
        <v>0</v>
      </c>
    </row>
    <row r="334" spans="1:15" s="16" customFormat="1" hidden="1" outlineLevel="1" x14ac:dyDescent="0.25">
      <c r="A334" s="16">
        <f t="shared" si="141"/>
        <v>30</v>
      </c>
      <c r="B334"/>
      <c r="C334">
        <f>$F328</f>
        <v>0</v>
      </c>
      <c r="D334" s="2" t="str">
        <f t="shared" si="121"/>
        <v>T_EBITDARM - EBITDARM</v>
      </c>
      <c r="E334"/>
      <c r="F334" s="22" t="str">
        <f>_xll.EVDES(D334)</f>
        <v>EBITDARM</v>
      </c>
      <c r="G334" s="18">
        <f ca="1">SUMIFS(OFFSET('BPC Data'!$F:$F,0,Summary!G$2),'BPC Data'!$E:$E,Summary!$D334,'BPC Data'!$B:$B,Summary!$C334)</f>
        <v>0</v>
      </c>
      <c r="H334" s="92">
        <f ca="1">SUMIFS(OFFSET('BPC Data'!$F:$F,0,Summary!H$2),'BPC Data'!$E:$E,Summary!$D334,'BPC Data'!$B:$B,Summary!$C334)</f>
        <v>0</v>
      </c>
      <c r="I334" s="18">
        <f ca="1">SUMIFS(OFFSET('BPC Data'!$F:$F,0,Summary!I$2),'BPC Data'!$E:$E,Summary!$D334,'BPC Data'!$B:$B,Summary!$C334)</f>
        <v>0</v>
      </c>
      <c r="J334" s="92">
        <f ca="1">SUMIFS(OFFSET('BPC Data'!$F:$F,0,Summary!J$2),'BPC Data'!$E:$E,Summary!$D334,'BPC Data'!$B:$B,Summary!$C334)</f>
        <v>0</v>
      </c>
      <c r="K334" s="18">
        <f ca="1">SUMIFS(OFFSET('BPC Data'!$F:$F,0,Summary!K$2),'BPC Data'!$E:$E,Summary!$D334,'BPC Data'!$B:$B,Summary!$C334)</f>
        <v>0</v>
      </c>
      <c r="L334" s="92">
        <f ca="1">SUMIFS(OFFSET('BPC Data'!$F:$F,0,Summary!L$2),'BPC Data'!$E:$E,Summary!$D334,'BPC Data'!$B:$B,Summary!$C334)</f>
        <v>0</v>
      </c>
      <c r="M334" s="32"/>
      <c r="N334" s="110"/>
      <c r="O334" s="106">
        <f t="shared" si="142"/>
        <v>0</v>
      </c>
    </row>
    <row r="335" spans="1:15" s="16" customFormat="1" hidden="1" outlineLevel="1" x14ac:dyDescent="0.25">
      <c r="A335" s="16">
        <f t="shared" si="141"/>
        <v>30</v>
      </c>
      <c r="B335"/>
      <c r="C335">
        <f>$F328</f>
        <v>0</v>
      </c>
      <c r="D335" s="2" t="str">
        <f t="shared" si="121"/>
        <v>T_MGMT_FEE - Tenant Management Fee - Actual</v>
      </c>
      <c r="E335"/>
      <c r="F335" s="22" t="str">
        <f>_xll.EVDES(D335)</f>
        <v>Tenant Management Fee - Actual</v>
      </c>
      <c r="G335" s="18">
        <f ca="1">SUMIFS(OFFSET('BPC Data'!$F:$F,0,Summary!G$2),'BPC Data'!$E:$E,Summary!$D335,'BPC Data'!$B:$B,Summary!$C335)</f>
        <v>0</v>
      </c>
      <c r="H335" s="92">
        <f ca="1">SUMIFS(OFFSET('BPC Data'!$F:$F,0,Summary!H$2),'BPC Data'!$E:$E,Summary!$D335,'BPC Data'!$B:$B,Summary!$C335)</f>
        <v>0</v>
      </c>
      <c r="I335" s="18">
        <f ca="1">SUMIFS(OFFSET('BPC Data'!$F:$F,0,Summary!I$2),'BPC Data'!$E:$E,Summary!$D335,'BPC Data'!$B:$B,Summary!$C335)</f>
        <v>0</v>
      </c>
      <c r="J335" s="92">
        <f ca="1">SUMIFS(OFFSET('BPC Data'!$F:$F,0,Summary!J$2),'BPC Data'!$E:$E,Summary!$D335,'BPC Data'!$B:$B,Summary!$C335)</f>
        <v>0</v>
      </c>
      <c r="K335" s="18">
        <f ca="1">SUMIFS(OFFSET('BPC Data'!$F:$F,0,Summary!K$2),'BPC Data'!$E:$E,Summary!$D335,'BPC Data'!$B:$B,Summary!$C335)</f>
        <v>0</v>
      </c>
      <c r="L335" s="92">
        <f ca="1">SUMIFS(OFFSET('BPC Data'!$F:$F,0,Summary!L$2),'BPC Data'!$E:$E,Summary!$D335,'BPC Data'!$B:$B,Summary!$C335)</f>
        <v>0</v>
      </c>
      <c r="M335" s="32"/>
      <c r="N335" s="110"/>
      <c r="O335" s="106">
        <f t="shared" si="142"/>
        <v>0</v>
      </c>
    </row>
    <row r="336" spans="1:15" s="16" customFormat="1" hidden="1" outlineLevel="1" x14ac:dyDescent="0.25">
      <c r="A336" s="16">
        <f t="shared" si="141"/>
        <v>30</v>
      </c>
      <c r="B336"/>
      <c r="C336">
        <f>$F328</f>
        <v>0</v>
      </c>
      <c r="D336" s="1" t="str">
        <f t="shared" si="121"/>
        <v>T_EBITDAR - EBITDAR</v>
      </c>
      <c r="E336"/>
      <c r="F336" s="22" t="str">
        <f>_xll.EVDES(D336)</f>
        <v>EBITDAR</v>
      </c>
      <c r="G336" s="18">
        <f ca="1">SUMIFS(OFFSET('BPC Data'!$F:$F,0,Summary!G$2),'BPC Data'!$E:$E,Summary!$D336,'BPC Data'!$B:$B,Summary!$C336)</f>
        <v>0</v>
      </c>
      <c r="H336" s="92">
        <f ca="1">SUMIFS(OFFSET('BPC Data'!$F:$F,0,Summary!H$2),'BPC Data'!$E:$E,Summary!$D336,'BPC Data'!$B:$B,Summary!$C336)</f>
        <v>0</v>
      </c>
      <c r="I336" s="18">
        <f ca="1">SUMIFS(OFFSET('BPC Data'!$F:$F,0,Summary!I$2),'BPC Data'!$E:$E,Summary!$D336,'BPC Data'!$B:$B,Summary!$C336)</f>
        <v>0</v>
      </c>
      <c r="J336" s="92">
        <f ca="1">SUMIFS(OFFSET('BPC Data'!$F:$F,0,Summary!J$2),'BPC Data'!$E:$E,Summary!$D336,'BPC Data'!$B:$B,Summary!$C336)</f>
        <v>0</v>
      </c>
      <c r="K336" s="18">
        <f ca="1">SUMIFS(OFFSET('BPC Data'!$F:$F,0,Summary!K$2),'BPC Data'!$E:$E,Summary!$D336,'BPC Data'!$B:$B,Summary!$C336)</f>
        <v>0</v>
      </c>
      <c r="L336" s="92">
        <f ca="1">SUMIFS(OFFSET('BPC Data'!$F:$F,0,Summary!L$2),'BPC Data'!$E:$E,Summary!$D336,'BPC Data'!$B:$B,Summary!$C336)</f>
        <v>0</v>
      </c>
      <c r="M336" s="32"/>
      <c r="N336" s="110"/>
      <c r="O336" s="106">
        <f t="shared" si="142"/>
        <v>0</v>
      </c>
    </row>
    <row r="337" spans="1:15" s="16" customFormat="1" hidden="1" outlineLevel="1" x14ac:dyDescent="0.25">
      <c r="A337" s="16">
        <f t="shared" si="141"/>
        <v>30</v>
      </c>
      <c r="B337"/>
      <c r="C337">
        <f>$F328</f>
        <v>0</v>
      </c>
      <c r="D337" s="1" t="str">
        <f t="shared" si="121"/>
        <v>T_RENT_EXP - Tenant Rent Expense</v>
      </c>
      <c r="E337"/>
      <c r="F337" s="22" t="str">
        <f>_xll.EVDES(D337)</f>
        <v>Tenant Rent Expense</v>
      </c>
      <c r="G337" s="18">
        <f ca="1">SUMIFS(OFFSET('BPC Data'!$F:$F,0,Summary!G$2),'BPC Data'!$E:$E,Summary!$D337,'BPC Data'!$B:$B,Summary!$C337)</f>
        <v>0</v>
      </c>
      <c r="H337" s="92">
        <f ca="1">SUMIFS(OFFSET('BPC Data'!$F:$F,0,Summary!H$2),'BPC Data'!$E:$E,Summary!$D337,'BPC Data'!$B:$B,Summary!$C337)</f>
        <v>0</v>
      </c>
      <c r="I337" s="18">
        <f ca="1">SUMIFS(OFFSET('BPC Data'!$F:$F,0,Summary!I$2),'BPC Data'!$E:$E,Summary!$D337,'BPC Data'!$B:$B,Summary!$C337)</f>
        <v>0</v>
      </c>
      <c r="J337" s="92">
        <f ca="1">SUMIFS(OFFSET('BPC Data'!$F:$F,0,Summary!J$2),'BPC Data'!$E:$E,Summary!$D337,'BPC Data'!$B:$B,Summary!$C337)</f>
        <v>0</v>
      </c>
      <c r="K337" s="18">
        <f ca="1">SUMIFS(OFFSET('BPC Data'!$F:$F,0,Summary!K$2),'BPC Data'!$E:$E,Summary!$D337,'BPC Data'!$B:$B,Summary!$C337)</f>
        <v>0</v>
      </c>
      <c r="L337" s="92">
        <f ca="1">SUMIFS(OFFSET('BPC Data'!$F:$F,0,Summary!L$2),'BPC Data'!$E:$E,Summary!$D337,'BPC Data'!$B:$B,Summary!$C337)</f>
        <v>0</v>
      </c>
      <c r="M337" s="32"/>
      <c r="N337" s="110"/>
      <c r="O337" s="106">
        <f t="shared" si="142"/>
        <v>0</v>
      </c>
    </row>
    <row r="338" spans="1:15" s="16" customFormat="1" hidden="1" outlineLevel="1" x14ac:dyDescent="0.25">
      <c r="A338" s="16">
        <f t="shared" si="141"/>
        <v>30</v>
      </c>
      <c r="B338"/>
      <c r="C338"/>
      <c r="D338" s="1" t="str">
        <f t="shared" si="121"/>
        <v>x</v>
      </c>
      <c r="E338"/>
      <c r="F338" s="22" t="s">
        <v>0</v>
      </c>
      <c r="G338" s="11" t="e">
        <f t="shared" ref="G338:H338" ca="1" si="143">G336/G337</f>
        <v>#DIV/0!</v>
      </c>
      <c r="H338" s="93" t="e">
        <f t="shared" ca="1" si="143"/>
        <v>#DIV/0!</v>
      </c>
      <c r="I338" s="11" t="e">
        <f t="shared" ref="I338:J338" ca="1" si="144">I336/I337</f>
        <v>#DIV/0!</v>
      </c>
      <c r="J338" s="93" t="e">
        <f t="shared" ca="1" si="144"/>
        <v>#DIV/0!</v>
      </c>
      <c r="K338" s="11" t="e">
        <f t="shared" ref="K338:L338" ca="1" si="145">K336/K337</f>
        <v>#DIV/0!</v>
      </c>
      <c r="L338" s="93" t="e">
        <f t="shared" ca="1" si="145"/>
        <v>#DIV/0!</v>
      </c>
      <c r="M338" s="32"/>
      <c r="N338" s="110"/>
      <c r="O338" s="106">
        <f t="shared" si="142"/>
        <v>0</v>
      </c>
    </row>
    <row r="339" spans="1:15" s="16" customFormat="1" hidden="1" outlineLevel="1" x14ac:dyDescent="0.25">
      <c r="A339" s="16">
        <f>IF(AND(D339&lt;&gt;"",C339=""),A338+1,A338)</f>
        <v>31</v>
      </c>
      <c r="B339" s="4"/>
      <c r="C339" s="4"/>
      <c r="D339" s="4" t="str">
        <f t="shared" si="121"/>
        <v>x</v>
      </c>
      <c r="E339" s="4"/>
      <c r="F339" s="21">
        <f>INDEX(PropertyList!$D:$D,MATCH(Summary!$A339,PropertyList!$C:$C,0))</f>
        <v>0</v>
      </c>
      <c r="G339" s="10"/>
      <c r="H339" s="91"/>
      <c r="I339" s="10"/>
      <c r="J339" s="91"/>
      <c r="K339" s="10"/>
      <c r="L339" s="91"/>
      <c r="M339" s="32"/>
      <c r="N339" s="110"/>
      <c r="O339" s="106">
        <f t="shared" si="142"/>
        <v>0</v>
      </c>
    </row>
    <row r="340" spans="1:15" s="16" customFormat="1" hidden="1" outlineLevel="1" x14ac:dyDescent="0.25">
      <c r="A340" s="16">
        <f>IF(AND(F340&lt;&gt;"",D340=""),A339+1,A339)</f>
        <v>31</v>
      </c>
      <c r="C340">
        <f>$F339</f>
        <v>0</v>
      </c>
      <c r="D340" s="3" t="str">
        <f t="shared" si="121"/>
        <v>PAY_PAT_DAYS - Total Payor Patient Days</v>
      </c>
      <c r="F340" s="22" t="str">
        <f>_xll.EVDES(D340)</f>
        <v>Total Payor Patient Days</v>
      </c>
      <c r="G340" s="18">
        <f ca="1">SUMIFS(OFFSET('BPC Data'!$F:$F,0,Summary!G$2),'BPC Data'!$E:$E,Summary!$D340,'BPC Data'!$B:$B,Summary!$C340)</f>
        <v>0</v>
      </c>
      <c r="H340" s="92">
        <f ca="1">SUMIFS(OFFSET('BPC Data'!$F:$F,0,Summary!H$2),'BPC Data'!$E:$E,Summary!$D340,'BPC Data'!$B:$B,Summary!$C340)</f>
        <v>0</v>
      </c>
      <c r="I340" s="18">
        <f ca="1">SUMIFS(OFFSET('BPC Data'!$F:$F,0,Summary!I$2),'BPC Data'!$E:$E,Summary!$D340,'BPC Data'!$B:$B,Summary!$C340)</f>
        <v>0</v>
      </c>
      <c r="J340" s="92">
        <f ca="1">SUMIFS(OFFSET('BPC Data'!$F:$F,0,Summary!J$2),'BPC Data'!$E:$E,Summary!$D340,'BPC Data'!$B:$B,Summary!$C340)</f>
        <v>0</v>
      </c>
      <c r="K340" s="18">
        <f ca="1">SUMIFS(OFFSET('BPC Data'!$F:$F,0,Summary!K$2),'BPC Data'!$E:$E,Summary!$D340,'BPC Data'!$B:$B,Summary!$C340)</f>
        <v>0</v>
      </c>
      <c r="L340" s="92">
        <f ca="1">SUMIFS(OFFSET('BPC Data'!$F:$F,0,Summary!L$2),'BPC Data'!$E:$E,Summary!$D340,'BPC Data'!$B:$B,Summary!$C340)</f>
        <v>0</v>
      </c>
      <c r="M340" s="32"/>
      <c r="N340" s="110"/>
      <c r="O340" s="106">
        <f t="shared" si="142"/>
        <v>0</v>
      </c>
    </row>
    <row r="341" spans="1:15" s="16" customFormat="1" hidden="1" outlineLevel="1" x14ac:dyDescent="0.25">
      <c r="A341" s="16">
        <f t="shared" ref="A341:A349" si="146">IF(AND(F341&lt;&gt;"",D341=""),A340+1,A340)</f>
        <v>31</v>
      </c>
      <c r="C341">
        <f>$F339</f>
        <v>0</v>
      </c>
      <c r="D341" s="3" t="str">
        <f t="shared" si="121"/>
        <v>A_BEDS_TOTAL - Total Available Beds</v>
      </c>
      <c r="F341" s="22" t="str">
        <f>_xll.EVDES(D341)</f>
        <v>Total Available Beds</v>
      </c>
      <c r="G341" s="18">
        <f ca="1">SUMIFS(OFFSET('BPC Data'!$F:$F,0,Summary!G$2),'BPC Data'!$E:$E,Summary!$D341,'BPC Data'!$B:$B,Summary!$C341)</f>
        <v>0</v>
      </c>
      <c r="H341" s="92">
        <f ca="1">SUMIFS(OFFSET('BPC Data'!$F:$F,0,Summary!H$2),'BPC Data'!$E:$E,Summary!$D341,'BPC Data'!$B:$B,Summary!$C341)</f>
        <v>0</v>
      </c>
      <c r="I341" s="18">
        <f ca="1">SUMIFS(OFFSET('BPC Data'!$F:$F,0,Summary!I$2),'BPC Data'!$E:$E,Summary!$D341,'BPC Data'!$B:$B,Summary!$C341)</f>
        <v>0</v>
      </c>
      <c r="J341" s="92">
        <f ca="1">SUMIFS(OFFSET('BPC Data'!$F:$F,0,Summary!J$2),'BPC Data'!$E:$E,Summary!$D341,'BPC Data'!$B:$B,Summary!$C341)</f>
        <v>0</v>
      </c>
      <c r="K341" s="18">
        <f ca="1">SUMIFS(OFFSET('BPC Data'!$F:$F,0,Summary!K$2),'BPC Data'!$E:$E,Summary!$D341,'BPC Data'!$B:$B,Summary!$C341)</f>
        <v>0</v>
      </c>
      <c r="L341" s="92">
        <f ca="1">SUMIFS(OFFSET('BPC Data'!$F:$F,0,Summary!L$2),'BPC Data'!$E:$E,Summary!$D341,'BPC Data'!$B:$B,Summary!$C341)</f>
        <v>0</v>
      </c>
      <c r="M341" s="32"/>
      <c r="N341" s="110"/>
      <c r="O341" s="106">
        <f t="shared" si="142"/>
        <v>0</v>
      </c>
    </row>
    <row r="342" spans="1:15" s="16" customFormat="1" hidden="1" outlineLevel="1" x14ac:dyDescent="0.25">
      <c r="A342" s="16">
        <f t="shared" si="146"/>
        <v>31</v>
      </c>
      <c r="B342"/>
      <c r="C342">
        <f>$F339</f>
        <v>0</v>
      </c>
      <c r="D342" s="3" t="str">
        <f t="shared" ref="D342:D405" si="147">$D331</f>
        <v>T_REVENUES - Total Tenant Revenues</v>
      </c>
      <c r="E342"/>
      <c r="F342" s="22" t="str">
        <f>_xll.EVDES(D342)</f>
        <v>Total Tenant Revenues</v>
      </c>
      <c r="G342" s="18">
        <f ca="1">SUMIFS(OFFSET('BPC Data'!$F:$F,0,Summary!G$2),'BPC Data'!$E:$E,Summary!$D342,'BPC Data'!$B:$B,Summary!$C342)</f>
        <v>0</v>
      </c>
      <c r="H342" s="92">
        <f ca="1">SUMIFS(OFFSET('BPC Data'!$F:$F,0,Summary!H$2),'BPC Data'!$E:$E,Summary!$D342,'BPC Data'!$B:$B,Summary!$C342)</f>
        <v>0</v>
      </c>
      <c r="I342" s="18">
        <f ca="1">SUMIFS(OFFSET('BPC Data'!$F:$F,0,Summary!I$2),'BPC Data'!$E:$E,Summary!$D342,'BPC Data'!$B:$B,Summary!$C342)</f>
        <v>0</v>
      </c>
      <c r="J342" s="92">
        <f ca="1">SUMIFS(OFFSET('BPC Data'!$F:$F,0,Summary!J$2),'BPC Data'!$E:$E,Summary!$D342,'BPC Data'!$B:$B,Summary!$C342)</f>
        <v>0</v>
      </c>
      <c r="K342" s="18">
        <f ca="1">SUMIFS(OFFSET('BPC Data'!$F:$F,0,Summary!K$2),'BPC Data'!$E:$E,Summary!$D342,'BPC Data'!$B:$B,Summary!$C342)</f>
        <v>0</v>
      </c>
      <c r="L342" s="92">
        <f ca="1">SUMIFS(OFFSET('BPC Data'!$F:$F,0,Summary!L$2),'BPC Data'!$E:$E,Summary!$D342,'BPC Data'!$B:$B,Summary!$C342)</f>
        <v>0</v>
      </c>
      <c r="M342" s="32"/>
      <c r="N342" s="110"/>
      <c r="O342" s="106">
        <f t="shared" si="142"/>
        <v>0</v>
      </c>
    </row>
    <row r="343" spans="1:15" s="16" customFormat="1" hidden="1" outlineLevel="1" x14ac:dyDescent="0.25">
      <c r="A343" s="16">
        <f t="shared" si="146"/>
        <v>31</v>
      </c>
      <c r="B343"/>
      <c r="C343">
        <f>$F339</f>
        <v>0</v>
      </c>
      <c r="D343" s="3" t="str">
        <f t="shared" si="147"/>
        <v>T_OPEX - Tenant Operating Expenses</v>
      </c>
      <c r="E343"/>
      <c r="F343" s="22" t="str">
        <f>_xll.EVDES(D343)</f>
        <v>Tenant Operating Expenses</v>
      </c>
      <c r="G343" s="18">
        <f ca="1">SUMIFS(OFFSET('BPC Data'!$F:$F,0,Summary!G$2),'BPC Data'!$E:$E,Summary!$D343,'BPC Data'!$B:$B,Summary!$C343)</f>
        <v>0</v>
      </c>
      <c r="H343" s="92">
        <f ca="1">SUMIFS(OFFSET('BPC Data'!$F:$F,0,Summary!H$2),'BPC Data'!$E:$E,Summary!$D343,'BPC Data'!$B:$B,Summary!$C343)</f>
        <v>0</v>
      </c>
      <c r="I343" s="18">
        <f ca="1">SUMIFS(OFFSET('BPC Data'!$F:$F,0,Summary!I$2),'BPC Data'!$E:$E,Summary!$D343,'BPC Data'!$B:$B,Summary!$C343)</f>
        <v>0</v>
      </c>
      <c r="J343" s="92">
        <f ca="1">SUMIFS(OFFSET('BPC Data'!$F:$F,0,Summary!J$2),'BPC Data'!$E:$E,Summary!$D343,'BPC Data'!$B:$B,Summary!$C343)</f>
        <v>0</v>
      </c>
      <c r="K343" s="18">
        <f ca="1">SUMIFS(OFFSET('BPC Data'!$F:$F,0,Summary!K$2),'BPC Data'!$E:$E,Summary!$D343,'BPC Data'!$B:$B,Summary!$C343)</f>
        <v>0</v>
      </c>
      <c r="L343" s="92">
        <f ca="1">SUMIFS(OFFSET('BPC Data'!$F:$F,0,Summary!L$2),'BPC Data'!$E:$E,Summary!$D343,'BPC Data'!$B:$B,Summary!$C343)</f>
        <v>0</v>
      </c>
      <c r="M343" s="32"/>
      <c r="N343" s="110"/>
      <c r="O343" s="106">
        <f t="shared" si="142"/>
        <v>0</v>
      </c>
    </row>
    <row r="344" spans="1:15" s="16" customFormat="1" hidden="1" outlineLevel="1" x14ac:dyDescent="0.25">
      <c r="A344" s="16">
        <f t="shared" si="146"/>
        <v>31</v>
      </c>
      <c r="B344"/>
      <c r="C344">
        <f>$F339</f>
        <v>0</v>
      </c>
      <c r="D344" s="3" t="str">
        <f t="shared" si="147"/>
        <v>T_BAD_DEBT - Tenant Bad Debt Expense</v>
      </c>
      <c r="E344"/>
      <c r="F344" s="22" t="str">
        <f>_xll.EVDES(D344)</f>
        <v>Tenant Bad Debt Expense</v>
      </c>
      <c r="G344" s="18">
        <f ca="1">SUMIFS(OFFSET('BPC Data'!$F:$F,0,Summary!G$2),'BPC Data'!$E:$E,Summary!$D344,'BPC Data'!$B:$B,Summary!$C344)</f>
        <v>0</v>
      </c>
      <c r="H344" s="92">
        <f ca="1">SUMIFS(OFFSET('BPC Data'!$F:$F,0,Summary!H$2),'BPC Data'!$E:$E,Summary!$D344,'BPC Data'!$B:$B,Summary!$C344)</f>
        <v>0</v>
      </c>
      <c r="I344" s="18">
        <f ca="1">SUMIFS(OFFSET('BPC Data'!$F:$F,0,Summary!I$2),'BPC Data'!$E:$E,Summary!$D344,'BPC Data'!$B:$B,Summary!$C344)</f>
        <v>0</v>
      </c>
      <c r="J344" s="92">
        <f ca="1">SUMIFS(OFFSET('BPC Data'!$F:$F,0,Summary!J$2),'BPC Data'!$E:$E,Summary!$D344,'BPC Data'!$B:$B,Summary!$C344)</f>
        <v>0</v>
      </c>
      <c r="K344" s="18">
        <f ca="1">SUMIFS(OFFSET('BPC Data'!$F:$F,0,Summary!K$2),'BPC Data'!$E:$E,Summary!$D344,'BPC Data'!$B:$B,Summary!$C344)</f>
        <v>0</v>
      </c>
      <c r="L344" s="92">
        <f ca="1">SUMIFS(OFFSET('BPC Data'!$F:$F,0,Summary!L$2),'BPC Data'!$E:$E,Summary!$D344,'BPC Data'!$B:$B,Summary!$C344)</f>
        <v>0</v>
      </c>
      <c r="M344" s="32"/>
      <c r="N344" s="110"/>
      <c r="O344" s="106">
        <f t="shared" si="142"/>
        <v>0</v>
      </c>
    </row>
    <row r="345" spans="1:15" s="16" customFormat="1" hidden="1" outlineLevel="1" x14ac:dyDescent="0.25">
      <c r="A345" s="16">
        <f t="shared" si="146"/>
        <v>31</v>
      </c>
      <c r="B345"/>
      <c r="C345">
        <f>$F339</f>
        <v>0</v>
      </c>
      <c r="D345" s="2" t="str">
        <f t="shared" si="147"/>
        <v>T_EBITDARM - EBITDARM</v>
      </c>
      <c r="E345"/>
      <c r="F345" s="22" t="str">
        <f>_xll.EVDES(D345)</f>
        <v>EBITDARM</v>
      </c>
      <c r="G345" s="18">
        <f ca="1">SUMIFS(OFFSET('BPC Data'!$F:$F,0,Summary!G$2),'BPC Data'!$E:$E,Summary!$D345,'BPC Data'!$B:$B,Summary!$C345)</f>
        <v>0</v>
      </c>
      <c r="H345" s="92">
        <f ca="1">SUMIFS(OFFSET('BPC Data'!$F:$F,0,Summary!H$2),'BPC Data'!$E:$E,Summary!$D345,'BPC Data'!$B:$B,Summary!$C345)</f>
        <v>0</v>
      </c>
      <c r="I345" s="18">
        <f ca="1">SUMIFS(OFFSET('BPC Data'!$F:$F,0,Summary!I$2),'BPC Data'!$E:$E,Summary!$D345,'BPC Data'!$B:$B,Summary!$C345)</f>
        <v>0</v>
      </c>
      <c r="J345" s="92">
        <f ca="1">SUMIFS(OFFSET('BPC Data'!$F:$F,0,Summary!J$2),'BPC Data'!$E:$E,Summary!$D345,'BPC Data'!$B:$B,Summary!$C345)</f>
        <v>0</v>
      </c>
      <c r="K345" s="18">
        <f ca="1">SUMIFS(OFFSET('BPC Data'!$F:$F,0,Summary!K$2),'BPC Data'!$E:$E,Summary!$D345,'BPC Data'!$B:$B,Summary!$C345)</f>
        <v>0</v>
      </c>
      <c r="L345" s="92">
        <f ca="1">SUMIFS(OFFSET('BPC Data'!$F:$F,0,Summary!L$2),'BPC Data'!$E:$E,Summary!$D345,'BPC Data'!$B:$B,Summary!$C345)</f>
        <v>0</v>
      </c>
      <c r="M345" s="32"/>
      <c r="N345" s="110"/>
      <c r="O345" s="106">
        <f t="shared" si="142"/>
        <v>0</v>
      </c>
    </row>
    <row r="346" spans="1:15" s="16" customFormat="1" hidden="1" outlineLevel="1" x14ac:dyDescent="0.25">
      <c r="A346" s="16">
        <f t="shared" si="146"/>
        <v>31</v>
      </c>
      <c r="B346"/>
      <c r="C346">
        <f>$F339</f>
        <v>0</v>
      </c>
      <c r="D346" s="2" t="str">
        <f t="shared" si="147"/>
        <v>T_MGMT_FEE - Tenant Management Fee - Actual</v>
      </c>
      <c r="E346"/>
      <c r="F346" s="22" t="str">
        <f>_xll.EVDES(D346)</f>
        <v>Tenant Management Fee - Actual</v>
      </c>
      <c r="G346" s="18">
        <f ca="1">SUMIFS(OFFSET('BPC Data'!$F:$F,0,Summary!G$2),'BPC Data'!$E:$E,Summary!$D346,'BPC Data'!$B:$B,Summary!$C346)</f>
        <v>0</v>
      </c>
      <c r="H346" s="92">
        <f ca="1">SUMIFS(OFFSET('BPC Data'!$F:$F,0,Summary!H$2),'BPC Data'!$E:$E,Summary!$D346,'BPC Data'!$B:$B,Summary!$C346)</f>
        <v>0</v>
      </c>
      <c r="I346" s="18">
        <f ca="1">SUMIFS(OFFSET('BPC Data'!$F:$F,0,Summary!I$2),'BPC Data'!$E:$E,Summary!$D346,'BPC Data'!$B:$B,Summary!$C346)</f>
        <v>0</v>
      </c>
      <c r="J346" s="92">
        <f ca="1">SUMIFS(OFFSET('BPC Data'!$F:$F,0,Summary!J$2),'BPC Data'!$E:$E,Summary!$D346,'BPC Data'!$B:$B,Summary!$C346)</f>
        <v>0</v>
      </c>
      <c r="K346" s="18">
        <f ca="1">SUMIFS(OFFSET('BPC Data'!$F:$F,0,Summary!K$2),'BPC Data'!$E:$E,Summary!$D346,'BPC Data'!$B:$B,Summary!$C346)</f>
        <v>0</v>
      </c>
      <c r="L346" s="92">
        <f ca="1">SUMIFS(OFFSET('BPC Data'!$F:$F,0,Summary!L$2),'BPC Data'!$E:$E,Summary!$D346,'BPC Data'!$B:$B,Summary!$C346)</f>
        <v>0</v>
      </c>
      <c r="M346" s="32"/>
      <c r="N346" s="110"/>
      <c r="O346" s="106">
        <f t="shared" si="142"/>
        <v>0</v>
      </c>
    </row>
    <row r="347" spans="1:15" s="16" customFormat="1" hidden="1" outlineLevel="1" x14ac:dyDescent="0.25">
      <c r="A347" s="16">
        <f t="shared" si="146"/>
        <v>31</v>
      </c>
      <c r="B347"/>
      <c r="C347">
        <f>$F339</f>
        <v>0</v>
      </c>
      <c r="D347" s="1" t="str">
        <f t="shared" si="147"/>
        <v>T_EBITDAR - EBITDAR</v>
      </c>
      <c r="E347"/>
      <c r="F347" s="22" t="str">
        <f>_xll.EVDES(D347)</f>
        <v>EBITDAR</v>
      </c>
      <c r="G347" s="18">
        <f ca="1">SUMIFS(OFFSET('BPC Data'!$F:$F,0,Summary!G$2),'BPC Data'!$E:$E,Summary!$D347,'BPC Data'!$B:$B,Summary!$C347)</f>
        <v>0</v>
      </c>
      <c r="H347" s="92">
        <f ca="1">SUMIFS(OFFSET('BPC Data'!$F:$F,0,Summary!H$2),'BPC Data'!$E:$E,Summary!$D347,'BPC Data'!$B:$B,Summary!$C347)</f>
        <v>0</v>
      </c>
      <c r="I347" s="18">
        <f ca="1">SUMIFS(OFFSET('BPC Data'!$F:$F,0,Summary!I$2),'BPC Data'!$E:$E,Summary!$D347,'BPC Data'!$B:$B,Summary!$C347)</f>
        <v>0</v>
      </c>
      <c r="J347" s="92">
        <f ca="1">SUMIFS(OFFSET('BPC Data'!$F:$F,0,Summary!J$2),'BPC Data'!$E:$E,Summary!$D347,'BPC Data'!$B:$B,Summary!$C347)</f>
        <v>0</v>
      </c>
      <c r="K347" s="18">
        <f ca="1">SUMIFS(OFFSET('BPC Data'!$F:$F,0,Summary!K$2),'BPC Data'!$E:$E,Summary!$D347,'BPC Data'!$B:$B,Summary!$C347)</f>
        <v>0</v>
      </c>
      <c r="L347" s="92">
        <f ca="1">SUMIFS(OFFSET('BPC Data'!$F:$F,0,Summary!L$2),'BPC Data'!$E:$E,Summary!$D347,'BPC Data'!$B:$B,Summary!$C347)</f>
        <v>0</v>
      </c>
      <c r="M347" s="32"/>
      <c r="N347" s="110"/>
      <c r="O347" s="106">
        <f t="shared" si="142"/>
        <v>0</v>
      </c>
    </row>
    <row r="348" spans="1:15" s="16" customFormat="1" hidden="1" outlineLevel="1" x14ac:dyDescent="0.25">
      <c r="A348" s="16">
        <f t="shared" si="146"/>
        <v>31</v>
      </c>
      <c r="B348"/>
      <c r="C348">
        <f>$F339</f>
        <v>0</v>
      </c>
      <c r="D348" s="1" t="str">
        <f t="shared" si="147"/>
        <v>T_RENT_EXP - Tenant Rent Expense</v>
      </c>
      <c r="E348"/>
      <c r="F348" s="22" t="str">
        <f>_xll.EVDES(D348)</f>
        <v>Tenant Rent Expense</v>
      </c>
      <c r="G348" s="18">
        <f ca="1">SUMIFS(OFFSET('BPC Data'!$F:$F,0,Summary!G$2),'BPC Data'!$E:$E,Summary!$D348,'BPC Data'!$B:$B,Summary!$C348)</f>
        <v>0</v>
      </c>
      <c r="H348" s="92">
        <f ca="1">SUMIFS(OFFSET('BPC Data'!$F:$F,0,Summary!H$2),'BPC Data'!$E:$E,Summary!$D348,'BPC Data'!$B:$B,Summary!$C348)</f>
        <v>0</v>
      </c>
      <c r="I348" s="18">
        <f ca="1">SUMIFS(OFFSET('BPC Data'!$F:$F,0,Summary!I$2),'BPC Data'!$E:$E,Summary!$D348,'BPC Data'!$B:$B,Summary!$C348)</f>
        <v>0</v>
      </c>
      <c r="J348" s="92">
        <f ca="1">SUMIFS(OFFSET('BPC Data'!$F:$F,0,Summary!J$2),'BPC Data'!$E:$E,Summary!$D348,'BPC Data'!$B:$B,Summary!$C348)</f>
        <v>0</v>
      </c>
      <c r="K348" s="18">
        <f ca="1">SUMIFS(OFFSET('BPC Data'!$F:$F,0,Summary!K$2),'BPC Data'!$E:$E,Summary!$D348,'BPC Data'!$B:$B,Summary!$C348)</f>
        <v>0</v>
      </c>
      <c r="L348" s="92">
        <f ca="1">SUMIFS(OFFSET('BPC Data'!$F:$F,0,Summary!L$2),'BPC Data'!$E:$E,Summary!$D348,'BPC Data'!$B:$B,Summary!$C348)</f>
        <v>0</v>
      </c>
      <c r="M348" s="32"/>
      <c r="N348" s="110"/>
      <c r="O348" s="106">
        <f t="shared" si="142"/>
        <v>0</v>
      </c>
    </row>
    <row r="349" spans="1:15" s="16" customFormat="1" hidden="1" outlineLevel="1" x14ac:dyDescent="0.25">
      <c r="A349" s="16">
        <f t="shared" si="146"/>
        <v>31</v>
      </c>
      <c r="B349"/>
      <c r="C349"/>
      <c r="D349" s="1" t="str">
        <f t="shared" si="147"/>
        <v>x</v>
      </c>
      <c r="E349"/>
      <c r="F349" s="22" t="s">
        <v>0</v>
      </c>
      <c r="G349" s="11" t="e">
        <f t="shared" ref="G349:H349" ca="1" si="148">G347/G348</f>
        <v>#DIV/0!</v>
      </c>
      <c r="H349" s="93" t="e">
        <f t="shared" ca="1" si="148"/>
        <v>#DIV/0!</v>
      </c>
      <c r="I349" s="11" t="e">
        <f t="shared" ref="I349:J349" ca="1" si="149">I347/I348</f>
        <v>#DIV/0!</v>
      </c>
      <c r="J349" s="93" t="e">
        <f t="shared" ca="1" si="149"/>
        <v>#DIV/0!</v>
      </c>
      <c r="K349" s="11" t="e">
        <f t="shared" ref="K349:L349" ca="1" si="150">K347/K348</f>
        <v>#DIV/0!</v>
      </c>
      <c r="L349" s="93" t="e">
        <f t="shared" ca="1" si="150"/>
        <v>#DIV/0!</v>
      </c>
      <c r="M349" s="32"/>
      <c r="N349" s="110"/>
      <c r="O349" s="106">
        <f t="shared" si="142"/>
        <v>0</v>
      </c>
    </row>
    <row r="350" spans="1:15" s="16" customFormat="1" hidden="1" outlineLevel="1" x14ac:dyDescent="0.25">
      <c r="A350" s="16">
        <f>IF(AND(D350&lt;&gt;"",C350=""),A349+1,A349)</f>
        <v>32</v>
      </c>
      <c r="B350" s="4"/>
      <c r="C350" s="4"/>
      <c r="D350" s="4" t="str">
        <f t="shared" si="147"/>
        <v>x</v>
      </c>
      <c r="E350" s="4"/>
      <c r="F350" s="21">
        <f>INDEX(PropertyList!$D:$D,MATCH(Summary!$A350,PropertyList!$C:$C,0))</f>
        <v>0</v>
      </c>
      <c r="G350" s="10"/>
      <c r="H350" s="91"/>
      <c r="I350" s="10"/>
      <c r="J350" s="91"/>
      <c r="K350" s="10"/>
      <c r="L350" s="91"/>
      <c r="M350" s="32"/>
      <c r="N350" s="110"/>
      <c r="O350" s="106">
        <f t="shared" si="142"/>
        <v>0</v>
      </c>
    </row>
    <row r="351" spans="1:15" s="16" customFormat="1" hidden="1" outlineLevel="1" x14ac:dyDescent="0.25">
      <c r="A351" s="16">
        <f>IF(AND(F351&lt;&gt;"",D351=""),A350+1,A350)</f>
        <v>32</v>
      </c>
      <c r="C351">
        <f>$F350</f>
        <v>0</v>
      </c>
      <c r="D351" s="3" t="str">
        <f t="shared" si="147"/>
        <v>PAY_PAT_DAYS - Total Payor Patient Days</v>
      </c>
      <c r="F351" s="22" t="str">
        <f>_xll.EVDES(D351)</f>
        <v>Total Payor Patient Days</v>
      </c>
      <c r="G351" s="18">
        <f ca="1">SUMIFS(OFFSET('BPC Data'!$F:$F,0,Summary!G$2),'BPC Data'!$E:$E,Summary!$D351,'BPC Data'!$B:$B,Summary!$C351)</f>
        <v>0</v>
      </c>
      <c r="H351" s="92">
        <f ca="1">SUMIFS(OFFSET('BPC Data'!$F:$F,0,Summary!H$2),'BPC Data'!$E:$E,Summary!$D351,'BPC Data'!$B:$B,Summary!$C351)</f>
        <v>0</v>
      </c>
      <c r="I351" s="18">
        <f ca="1">SUMIFS(OFFSET('BPC Data'!$F:$F,0,Summary!I$2),'BPC Data'!$E:$E,Summary!$D351,'BPC Data'!$B:$B,Summary!$C351)</f>
        <v>0</v>
      </c>
      <c r="J351" s="92">
        <f ca="1">SUMIFS(OFFSET('BPC Data'!$F:$F,0,Summary!J$2),'BPC Data'!$E:$E,Summary!$D351,'BPC Data'!$B:$B,Summary!$C351)</f>
        <v>0</v>
      </c>
      <c r="K351" s="18">
        <f ca="1">SUMIFS(OFFSET('BPC Data'!$F:$F,0,Summary!K$2),'BPC Data'!$E:$E,Summary!$D351,'BPC Data'!$B:$B,Summary!$C351)</f>
        <v>0</v>
      </c>
      <c r="L351" s="92">
        <f ca="1">SUMIFS(OFFSET('BPC Data'!$F:$F,0,Summary!L$2),'BPC Data'!$E:$E,Summary!$D351,'BPC Data'!$B:$B,Summary!$C351)</f>
        <v>0</v>
      </c>
      <c r="M351" s="32"/>
      <c r="N351" s="110"/>
      <c r="O351" s="106">
        <f t="shared" si="142"/>
        <v>0</v>
      </c>
    </row>
    <row r="352" spans="1:15" s="16" customFormat="1" hidden="1" outlineLevel="1" x14ac:dyDescent="0.25">
      <c r="A352" s="16">
        <f t="shared" ref="A352:A360" si="151">IF(AND(F352&lt;&gt;"",D352=""),A351+1,A351)</f>
        <v>32</v>
      </c>
      <c r="C352">
        <f>$F350</f>
        <v>0</v>
      </c>
      <c r="D352" s="3" t="str">
        <f t="shared" si="147"/>
        <v>A_BEDS_TOTAL - Total Available Beds</v>
      </c>
      <c r="F352" s="22" t="str">
        <f>_xll.EVDES(D352)</f>
        <v>Total Available Beds</v>
      </c>
      <c r="G352" s="18">
        <f ca="1">SUMIFS(OFFSET('BPC Data'!$F:$F,0,Summary!G$2),'BPC Data'!$E:$E,Summary!$D352,'BPC Data'!$B:$B,Summary!$C352)</f>
        <v>0</v>
      </c>
      <c r="H352" s="92">
        <f ca="1">SUMIFS(OFFSET('BPC Data'!$F:$F,0,Summary!H$2),'BPC Data'!$E:$E,Summary!$D352,'BPC Data'!$B:$B,Summary!$C352)</f>
        <v>0</v>
      </c>
      <c r="I352" s="18">
        <f ca="1">SUMIFS(OFFSET('BPC Data'!$F:$F,0,Summary!I$2),'BPC Data'!$E:$E,Summary!$D352,'BPC Data'!$B:$B,Summary!$C352)</f>
        <v>0</v>
      </c>
      <c r="J352" s="92">
        <f ca="1">SUMIFS(OFFSET('BPC Data'!$F:$F,0,Summary!J$2),'BPC Data'!$E:$E,Summary!$D352,'BPC Data'!$B:$B,Summary!$C352)</f>
        <v>0</v>
      </c>
      <c r="K352" s="18">
        <f ca="1">SUMIFS(OFFSET('BPC Data'!$F:$F,0,Summary!K$2),'BPC Data'!$E:$E,Summary!$D352,'BPC Data'!$B:$B,Summary!$C352)</f>
        <v>0</v>
      </c>
      <c r="L352" s="92">
        <f ca="1">SUMIFS(OFFSET('BPC Data'!$F:$F,0,Summary!L$2),'BPC Data'!$E:$E,Summary!$D352,'BPC Data'!$B:$B,Summary!$C352)</f>
        <v>0</v>
      </c>
      <c r="M352" s="32"/>
      <c r="N352" s="110"/>
      <c r="O352" s="106">
        <f t="shared" si="142"/>
        <v>0</v>
      </c>
    </row>
    <row r="353" spans="1:15" s="16" customFormat="1" hidden="1" outlineLevel="1" x14ac:dyDescent="0.25">
      <c r="A353" s="16">
        <f t="shared" si="151"/>
        <v>32</v>
      </c>
      <c r="B353"/>
      <c r="C353">
        <f>$F350</f>
        <v>0</v>
      </c>
      <c r="D353" s="3" t="str">
        <f t="shared" si="147"/>
        <v>T_REVENUES - Total Tenant Revenues</v>
      </c>
      <c r="E353"/>
      <c r="F353" s="22" t="str">
        <f>_xll.EVDES(D353)</f>
        <v>Total Tenant Revenues</v>
      </c>
      <c r="G353" s="18">
        <f ca="1">SUMIFS(OFFSET('BPC Data'!$F:$F,0,Summary!G$2),'BPC Data'!$E:$E,Summary!$D353,'BPC Data'!$B:$B,Summary!$C353)</f>
        <v>0</v>
      </c>
      <c r="H353" s="92">
        <f ca="1">SUMIFS(OFFSET('BPC Data'!$F:$F,0,Summary!H$2),'BPC Data'!$E:$E,Summary!$D353,'BPC Data'!$B:$B,Summary!$C353)</f>
        <v>0</v>
      </c>
      <c r="I353" s="18">
        <f ca="1">SUMIFS(OFFSET('BPC Data'!$F:$F,0,Summary!I$2),'BPC Data'!$E:$E,Summary!$D353,'BPC Data'!$B:$B,Summary!$C353)</f>
        <v>0</v>
      </c>
      <c r="J353" s="92">
        <f ca="1">SUMIFS(OFFSET('BPC Data'!$F:$F,0,Summary!J$2),'BPC Data'!$E:$E,Summary!$D353,'BPC Data'!$B:$B,Summary!$C353)</f>
        <v>0</v>
      </c>
      <c r="K353" s="18">
        <f ca="1">SUMIFS(OFFSET('BPC Data'!$F:$F,0,Summary!K$2),'BPC Data'!$E:$E,Summary!$D353,'BPC Data'!$B:$B,Summary!$C353)</f>
        <v>0</v>
      </c>
      <c r="L353" s="92">
        <f ca="1">SUMIFS(OFFSET('BPC Data'!$F:$F,0,Summary!L$2),'BPC Data'!$E:$E,Summary!$D353,'BPC Data'!$B:$B,Summary!$C353)</f>
        <v>0</v>
      </c>
      <c r="M353" s="32"/>
      <c r="N353" s="110"/>
      <c r="O353" s="106">
        <f t="shared" si="142"/>
        <v>0</v>
      </c>
    </row>
    <row r="354" spans="1:15" s="16" customFormat="1" hidden="1" outlineLevel="1" x14ac:dyDescent="0.25">
      <c r="A354" s="16">
        <f t="shared" si="151"/>
        <v>32</v>
      </c>
      <c r="B354"/>
      <c r="C354">
        <f>$F350</f>
        <v>0</v>
      </c>
      <c r="D354" s="3" t="str">
        <f t="shared" si="147"/>
        <v>T_OPEX - Tenant Operating Expenses</v>
      </c>
      <c r="E354"/>
      <c r="F354" s="22" t="str">
        <f>_xll.EVDES(D354)</f>
        <v>Tenant Operating Expenses</v>
      </c>
      <c r="G354" s="18">
        <f ca="1">SUMIFS(OFFSET('BPC Data'!$F:$F,0,Summary!G$2),'BPC Data'!$E:$E,Summary!$D354,'BPC Data'!$B:$B,Summary!$C354)</f>
        <v>0</v>
      </c>
      <c r="H354" s="92">
        <f ca="1">SUMIFS(OFFSET('BPC Data'!$F:$F,0,Summary!H$2),'BPC Data'!$E:$E,Summary!$D354,'BPC Data'!$B:$B,Summary!$C354)</f>
        <v>0</v>
      </c>
      <c r="I354" s="18">
        <f ca="1">SUMIFS(OFFSET('BPC Data'!$F:$F,0,Summary!I$2),'BPC Data'!$E:$E,Summary!$D354,'BPC Data'!$B:$B,Summary!$C354)</f>
        <v>0</v>
      </c>
      <c r="J354" s="92">
        <f ca="1">SUMIFS(OFFSET('BPC Data'!$F:$F,0,Summary!J$2),'BPC Data'!$E:$E,Summary!$D354,'BPC Data'!$B:$B,Summary!$C354)</f>
        <v>0</v>
      </c>
      <c r="K354" s="18">
        <f ca="1">SUMIFS(OFFSET('BPC Data'!$F:$F,0,Summary!K$2),'BPC Data'!$E:$E,Summary!$D354,'BPC Data'!$B:$B,Summary!$C354)</f>
        <v>0</v>
      </c>
      <c r="L354" s="92">
        <f ca="1">SUMIFS(OFFSET('BPC Data'!$F:$F,0,Summary!L$2),'BPC Data'!$E:$E,Summary!$D354,'BPC Data'!$B:$B,Summary!$C354)</f>
        <v>0</v>
      </c>
      <c r="M354" s="32"/>
      <c r="N354" s="110"/>
      <c r="O354" s="106">
        <f t="shared" si="142"/>
        <v>0</v>
      </c>
    </row>
    <row r="355" spans="1:15" s="16" customFormat="1" hidden="1" outlineLevel="1" x14ac:dyDescent="0.25">
      <c r="A355" s="16">
        <f t="shared" si="151"/>
        <v>32</v>
      </c>
      <c r="B355"/>
      <c r="C355">
        <f>$F350</f>
        <v>0</v>
      </c>
      <c r="D355" s="3" t="str">
        <f t="shared" si="147"/>
        <v>T_BAD_DEBT - Tenant Bad Debt Expense</v>
      </c>
      <c r="E355"/>
      <c r="F355" s="22" t="str">
        <f>_xll.EVDES(D355)</f>
        <v>Tenant Bad Debt Expense</v>
      </c>
      <c r="G355" s="18">
        <f ca="1">SUMIFS(OFFSET('BPC Data'!$F:$F,0,Summary!G$2),'BPC Data'!$E:$E,Summary!$D355,'BPC Data'!$B:$B,Summary!$C355)</f>
        <v>0</v>
      </c>
      <c r="H355" s="92">
        <f ca="1">SUMIFS(OFFSET('BPC Data'!$F:$F,0,Summary!H$2),'BPC Data'!$E:$E,Summary!$D355,'BPC Data'!$B:$B,Summary!$C355)</f>
        <v>0</v>
      </c>
      <c r="I355" s="18">
        <f ca="1">SUMIFS(OFFSET('BPC Data'!$F:$F,0,Summary!I$2),'BPC Data'!$E:$E,Summary!$D355,'BPC Data'!$B:$B,Summary!$C355)</f>
        <v>0</v>
      </c>
      <c r="J355" s="92">
        <f ca="1">SUMIFS(OFFSET('BPC Data'!$F:$F,0,Summary!J$2),'BPC Data'!$E:$E,Summary!$D355,'BPC Data'!$B:$B,Summary!$C355)</f>
        <v>0</v>
      </c>
      <c r="K355" s="18">
        <f ca="1">SUMIFS(OFFSET('BPC Data'!$F:$F,0,Summary!K$2),'BPC Data'!$E:$E,Summary!$D355,'BPC Data'!$B:$B,Summary!$C355)</f>
        <v>0</v>
      </c>
      <c r="L355" s="92">
        <f ca="1">SUMIFS(OFFSET('BPC Data'!$F:$F,0,Summary!L$2),'BPC Data'!$E:$E,Summary!$D355,'BPC Data'!$B:$B,Summary!$C355)</f>
        <v>0</v>
      </c>
      <c r="M355" s="32"/>
      <c r="N355" s="110"/>
      <c r="O355" s="106">
        <f t="shared" si="142"/>
        <v>0</v>
      </c>
    </row>
    <row r="356" spans="1:15" s="16" customFormat="1" hidden="1" outlineLevel="1" x14ac:dyDescent="0.25">
      <c r="A356" s="16">
        <f t="shared" si="151"/>
        <v>32</v>
      </c>
      <c r="B356"/>
      <c r="C356">
        <f>$F350</f>
        <v>0</v>
      </c>
      <c r="D356" s="2" t="str">
        <f t="shared" si="147"/>
        <v>T_EBITDARM - EBITDARM</v>
      </c>
      <c r="E356"/>
      <c r="F356" s="22" t="str">
        <f>_xll.EVDES(D356)</f>
        <v>EBITDARM</v>
      </c>
      <c r="G356" s="18">
        <f ca="1">SUMIFS(OFFSET('BPC Data'!$F:$F,0,Summary!G$2),'BPC Data'!$E:$E,Summary!$D356,'BPC Data'!$B:$B,Summary!$C356)</f>
        <v>0</v>
      </c>
      <c r="H356" s="92">
        <f ca="1">SUMIFS(OFFSET('BPC Data'!$F:$F,0,Summary!H$2),'BPC Data'!$E:$E,Summary!$D356,'BPC Data'!$B:$B,Summary!$C356)</f>
        <v>0</v>
      </c>
      <c r="I356" s="18">
        <f ca="1">SUMIFS(OFFSET('BPC Data'!$F:$F,0,Summary!I$2),'BPC Data'!$E:$E,Summary!$D356,'BPC Data'!$B:$B,Summary!$C356)</f>
        <v>0</v>
      </c>
      <c r="J356" s="92">
        <f ca="1">SUMIFS(OFFSET('BPC Data'!$F:$F,0,Summary!J$2),'BPC Data'!$E:$E,Summary!$D356,'BPC Data'!$B:$B,Summary!$C356)</f>
        <v>0</v>
      </c>
      <c r="K356" s="18">
        <f ca="1">SUMIFS(OFFSET('BPC Data'!$F:$F,0,Summary!K$2),'BPC Data'!$E:$E,Summary!$D356,'BPC Data'!$B:$B,Summary!$C356)</f>
        <v>0</v>
      </c>
      <c r="L356" s="92">
        <f ca="1">SUMIFS(OFFSET('BPC Data'!$F:$F,0,Summary!L$2),'BPC Data'!$E:$E,Summary!$D356,'BPC Data'!$B:$B,Summary!$C356)</f>
        <v>0</v>
      </c>
      <c r="M356" s="32"/>
      <c r="N356" s="110"/>
      <c r="O356" s="106">
        <f t="shared" si="142"/>
        <v>0</v>
      </c>
    </row>
    <row r="357" spans="1:15" s="16" customFormat="1" hidden="1" outlineLevel="1" x14ac:dyDescent="0.25">
      <c r="A357" s="16">
        <f t="shared" si="151"/>
        <v>32</v>
      </c>
      <c r="B357"/>
      <c r="C357">
        <f>$F350</f>
        <v>0</v>
      </c>
      <c r="D357" s="2" t="str">
        <f t="shared" si="147"/>
        <v>T_MGMT_FEE - Tenant Management Fee - Actual</v>
      </c>
      <c r="E357"/>
      <c r="F357" s="22" t="str">
        <f>_xll.EVDES(D357)</f>
        <v>Tenant Management Fee - Actual</v>
      </c>
      <c r="G357" s="18">
        <f ca="1">SUMIFS(OFFSET('BPC Data'!$F:$F,0,Summary!G$2),'BPC Data'!$E:$E,Summary!$D357,'BPC Data'!$B:$B,Summary!$C357)</f>
        <v>0</v>
      </c>
      <c r="H357" s="92">
        <f ca="1">SUMIFS(OFFSET('BPC Data'!$F:$F,0,Summary!H$2),'BPC Data'!$E:$E,Summary!$D357,'BPC Data'!$B:$B,Summary!$C357)</f>
        <v>0</v>
      </c>
      <c r="I357" s="18">
        <f ca="1">SUMIFS(OFFSET('BPC Data'!$F:$F,0,Summary!I$2),'BPC Data'!$E:$E,Summary!$D357,'BPC Data'!$B:$B,Summary!$C357)</f>
        <v>0</v>
      </c>
      <c r="J357" s="92">
        <f ca="1">SUMIFS(OFFSET('BPC Data'!$F:$F,0,Summary!J$2),'BPC Data'!$E:$E,Summary!$D357,'BPC Data'!$B:$B,Summary!$C357)</f>
        <v>0</v>
      </c>
      <c r="K357" s="18">
        <f ca="1">SUMIFS(OFFSET('BPC Data'!$F:$F,0,Summary!K$2),'BPC Data'!$E:$E,Summary!$D357,'BPC Data'!$B:$B,Summary!$C357)</f>
        <v>0</v>
      </c>
      <c r="L357" s="92">
        <f ca="1">SUMIFS(OFFSET('BPC Data'!$F:$F,0,Summary!L$2),'BPC Data'!$E:$E,Summary!$D357,'BPC Data'!$B:$B,Summary!$C357)</f>
        <v>0</v>
      </c>
      <c r="M357" s="32"/>
      <c r="N357" s="110"/>
      <c r="O357" s="106">
        <f t="shared" si="142"/>
        <v>0</v>
      </c>
    </row>
    <row r="358" spans="1:15" s="16" customFormat="1" hidden="1" outlineLevel="1" x14ac:dyDescent="0.25">
      <c r="A358" s="16">
        <f t="shared" si="151"/>
        <v>32</v>
      </c>
      <c r="B358"/>
      <c r="C358">
        <f>$F350</f>
        <v>0</v>
      </c>
      <c r="D358" s="1" t="str">
        <f t="shared" si="147"/>
        <v>T_EBITDAR - EBITDAR</v>
      </c>
      <c r="E358"/>
      <c r="F358" s="22" t="str">
        <f>_xll.EVDES(D358)</f>
        <v>EBITDAR</v>
      </c>
      <c r="G358" s="18">
        <f ca="1">SUMIFS(OFFSET('BPC Data'!$F:$F,0,Summary!G$2),'BPC Data'!$E:$E,Summary!$D358,'BPC Data'!$B:$B,Summary!$C358)</f>
        <v>0</v>
      </c>
      <c r="H358" s="92">
        <f ca="1">SUMIFS(OFFSET('BPC Data'!$F:$F,0,Summary!H$2),'BPC Data'!$E:$E,Summary!$D358,'BPC Data'!$B:$B,Summary!$C358)</f>
        <v>0</v>
      </c>
      <c r="I358" s="18">
        <f ca="1">SUMIFS(OFFSET('BPC Data'!$F:$F,0,Summary!I$2),'BPC Data'!$E:$E,Summary!$D358,'BPC Data'!$B:$B,Summary!$C358)</f>
        <v>0</v>
      </c>
      <c r="J358" s="92">
        <f ca="1">SUMIFS(OFFSET('BPC Data'!$F:$F,0,Summary!J$2),'BPC Data'!$E:$E,Summary!$D358,'BPC Data'!$B:$B,Summary!$C358)</f>
        <v>0</v>
      </c>
      <c r="K358" s="18">
        <f ca="1">SUMIFS(OFFSET('BPC Data'!$F:$F,0,Summary!K$2),'BPC Data'!$E:$E,Summary!$D358,'BPC Data'!$B:$B,Summary!$C358)</f>
        <v>0</v>
      </c>
      <c r="L358" s="92">
        <f ca="1">SUMIFS(OFFSET('BPC Data'!$F:$F,0,Summary!L$2),'BPC Data'!$E:$E,Summary!$D358,'BPC Data'!$B:$B,Summary!$C358)</f>
        <v>0</v>
      </c>
      <c r="M358" s="32"/>
      <c r="N358" s="110"/>
      <c r="O358" s="106">
        <f t="shared" si="142"/>
        <v>0</v>
      </c>
    </row>
    <row r="359" spans="1:15" s="16" customFormat="1" hidden="1" outlineLevel="1" x14ac:dyDescent="0.25">
      <c r="A359" s="16">
        <f t="shared" si="151"/>
        <v>32</v>
      </c>
      <c r="B359"/>
      <c r="C359">
        <f>$F350</f>
        <v>0</v>
      </c>
      <c r="D359" s="1" t="str">
        <f t="shared" si="147"/>
        <v>T_RENT_EXP - Tenant Rent Expense</v>
      </c>
      <c r="E359"/>
      <c r="F359" s="22" t="str">
        <f>_xll.EVDES(D359)</f>
        <v>Tenant Rent Expense</v>
      </c>
      <c r="G359" s="18">
        <f ca="1">SUMIFS(OFFSET('BPC Data'!$F:$F,0,Summary!G$2),'BPC Data'!$E:$E,Summary!$D359,'BPC Data'!$B:$B,Summary!$C359)</f>
        <v>0</v>
      </c>
      <c r="H359" s="92">
        <f ca="1">SUMIFS(OFFSET('BPC Data'!$F:$F,0,Summary!H$2),'BPC Data'!$E:$E,Summary!$D359,'BPC Data'!$B:$B,Summary!$C359)</f>
        <v>0</v>
      </c>
      <c r="I359" s="18">
        <f ca="1">SUMIFS(OFFSET('BPC Data'!$F:$F,0,Summary!I$2),'BPC Data'!$E:$E,Summary!$D359,'BPC Data'!$B:$B,Summary!$C359)</f>
        <v>0</v>
      </c>
      <c r="J359" s="92">
        <f ca="1">SUMIFS(OFFSET('BPC Data'!$F:$F,0,Summary!J$2),'BPC Data'!$E:$E,Summary!$D359,'BPC Data'!$B:$B,Summary!$C359)</f>
        <v>0</v>
      </c>
      <c r="K359" s="18">
        <f ca="1">SUMIFS(OFFSET('BPC Data'!$F:$F,0,Summary!K$2),'BPC Data'!$E:$E,Summary!$D359,'BPC Data'!$B:$B,Summary!$C359)</f>
        <v>0</v>
      </c>
      <c r="L359" s="92">
        <f ca="1">SUMIFS(OFFSET('BPC Data'!$F:$F,0,Summary!L$2),'BPC Data'!$E:$E,Summary!$D359,'BPC Data'!$B:$B,Summary!$C359)</f>
        <v>0</v>
      </c>
      <c r="M359" s="32"/>
      <c r="N359" s="110"/>
      <c r="O359" s="106">
        <f t="shared" si="142"/>
        <v>0</v>
      </c>
    </row>
    <row r="360" spans="1:15" s="16" customFormat="1" hidden="1" outlineLevel="1" x14ac:dyDescent="0.25">
      <c r="A360" s="16">
        <f t="shared" si="151"/>
        <v>32</v>
      </c>
      <c r="B360"/>
      <c r="C360"/>
      <c r="D360" s="1" t="str">
        <f t="shared" si="147"/>
        <v>x</v>
      </c>
      <c r="E360"/>
      <c r="F360" s="22" t="s">
        <v>0</v>
      </c>
      <c r="G360" s="11" t="e">
        <f t="shared" ref="G360:H360" ca="1" si="152">G358/G359</f>
        <v>#DIV/0!</v>
      </c>
      <c r="H360" s="93" t="e">
        <f t="shared" ca="1" si="152"/>
        <v>#DIV/0!</v>
      </c>
      <c r="I360" s="11" t="e">
        <f t="shared" ref="I360:J360" ca="1" si="153">I358/I359</f>
        <v>#DIV/0!</v>
      </c>
      <c r="J360" s="93" t="e">
        <f t="shared" ca="1" si="153"/>
        <v>#DIV/0!</v>
      </c>
      <c r="K360" s="11" t="e">
        <f t="shared" ref="K360:L360" ca="1" si="154">K358/K359</f>
        <v>#DIV/0!</v>
      </c>
      <c r="L360" s="93" t="e">
        <f t="shared" ca="1" si="154"/>
        <v>#DIV/0!</v>
      </c>
      <c r="M360" s="32"/>
      <c r="N360" s="110"/>
      <c r="O360" s="106">
        <f t="shared" si="142"/>
        <v>0</v>
      </c>
    </row>
    <row r="361" spans="1:15" s="16" customFormat="1" hidden="1" outlineLevel="1" x14ac:dyDescent="0.25">
      <c r="A361" s="16">
        <f>IF(AND(D361&lt;&gt;"",C361=""),A360+1,A360)</f>
        <v>33</v>
      </c>
      <c r="B361" s="4"/>
      <c r="C361" s="4"/>
      <c r="D361" s="4" t="str">
        <f t="shared" si="147"/>
        <v>x</v>
      </c>
      <c r="E361" s="4"/>
      <c r="F361" s="21">
        <f>INDEX(PropertyList!$D:$D,MATCH(Summary!$A361,PropertyList!$C:$C,0))</f>
        <v>0</v>
      </c>
      <c r="G361" s="10"/>
      <c r="H361" s="91"/>
      <c r="I361" s="10"/>
      <c r="J361" s="91"/>
      <c r="K361" s="10"/>
      <c r="L361" s="91"/>
      <c r="M361" s="32"/>
      <c r="N361" s="110"/>
      <c r="O361" s="106">
        <f t="shared" si="142"/>
        <v>0</v>
      </c>
    </row>
    <row r="362" spans="1:15" s="16" customFormat="1" hidden="1" outlineLevel="1" x14ac:dyDescent="0.25">
      <c r="A362" s="16">
        <f>IF(AND(F362&lt;&gt;"",D362=""),A361+1,A361)</f>
        <v>33</v>
      </c>
      <c r="C362">
        <f>$F361</f>
        <v>0</v>
      </c>
      <c r="D362" s="3" t="str">
        <f t="shared" si="147"/>
        <v>PAY_PAT_DAYS - Total Payor Patient Days</v>
      </c>
      <c r="F362" s="22" t="str">
        <f>_xll.EVDES(D362)</f>
        <v>Total Payor Patient Days</v>
      </c>
      <c r="G362" s="18">
        <f ca="1">SUMIFS(OFFSET('BPC Data'!$F:$F,0,Summary!G$2),'BPC Data'!$E:$E,Summary!$D362,'BPC Data'!$B:$B,Summary!$C362)</f>
        <v>0</v>
      </c>
      <c r="H362" s="92">
        <f ca="1">SUMIFS(OFFSET('BPC Data'!$F:$F,0,Summary!H$2),'BPC Data'!$E:$E,Summary!$D362,'BPC Data'!$B:$B,Summary!$C362)</f>
        <v>0</v>
      </c>
      <c r="I362" s="18">
        <f ca="1">SUMIFS(OFFSET('BPC Data'!$F:$F,0,Summary!I$2),'BPC Data'!$E:$E,Summary!$D362,'BPC Data'!$B:$B,Summary!$C362)</f>
        <v>0</v>
      </c>
      <c r="J362" s="92">
        <f ca="1">SUMIFS(OFFSET('BPC Data'!$F:$F,0,Summary!J$2),'BPC Data'!$E:$E,Summary!$D362,'BPC Data'!$B:$B,Summary!$C362)</f>
        <v>0</v>
      </c>
      <c r="K362" s="18">
        <f ca="1">SUMIFS(OFFSET('BPC Data'!$F:$F,0,Summary!K$2),'BPC Data'!$E:$E,Summary!$D362,'BPC Data'!$B:$B,Summary!$C362)</f>
        <v>0</v>
      </c>
      <c r="L362" s="92">
        <f ca="1">SUMIFS(OFFSET('BPC Data'!$F:$F,0,Summary!L$2),'BPC Data'!$E:$E,Summary!$D362,'BPC Data'!$B:$B,Summary!$C362)</f>
        <v>0</v>
      </c>
      <c r="M362" s="32"/>
      <c r="N362" s="110"/>
      <c r="O362" s="106">
        <f t="shared" si="142"/>
        <v>0</v>
      </c>
    </row>
    <row r="363" spans="1:15" s="16" customFormat="1" hidden="1" outlineLevel="1" x14ac:dyDescent="0.25">
      <c r="A363" s="16">
        <f t="shared" ref="A363:A371" si="155">IF(AND(F363&lt;&gt;"",D363=""),A362+1,A362)</f>
        <v>33</v>
      </c>
      <c r="C363">
        <f>$F361</f>
        <v>0</v>
      </c>
      <c r="D363" s="3" t="str">
        <f t="shared" si="147"/>
        <v>A_BEDS_TOTAL - Total Available Beds</v>
      </c>
      <c r="F363" s="22" t="str">
        <f>_xll.EVDES(D363)</f>
        <v>Total Available Beds</v>
      </c>
      <c r="G363" s="18">
        <f ca="1">SUMIFS(OFFSET('BPC Data'!$F:$F,0,Summary!G$2),'BPC Data'!$E:$E,Summary!$D363,'BPC Data'!$B:$B,Summary!$C363)</f>
        <v>0</v>
      </c>
      <c r="H363" s="92">
        <f ca="1">SUMIFS(OFFSET('BPC Data'!$F:$F,0,Summary!H$2),'BPC Data'!$E:$E,Summary!$D363,'BPC Data'!$B:$B,Summary!$C363)</f>
        <v>0</v>
      </c>
      <c r="I363" s="18">
        <f ca="1">SUMIFS(OFFSET('BPC Data'!$F:$F,0,Summary!I$2),'BPC Data'!$E:$E,Summary!$D363,'BPC Data'!$B:$B,Summary!$C363)</f>
        <v>0</v>
      </c>
      <c r="J363" s="92">
        <f ca="1">SUMIFS(OFFSET('BPC Data'!$F:$F,0,Summary!J$2),'BPC Data'!$E:$E,Summary!$D363,'BPC Data'!$B:$B,Summary!$C363)</f>
        <v>0</v>
      </c>
      <c r="K363" s="18">
        <f ca="1">SUMIFS(OFFSET('BPC Data'!$F:$F,0,Summary!K$2),'BPC Data'!$E:$E,Summary!$D363,'BPC Data'!$B:$B,Summary!$C363)</f>
        <v>0</v>
      </c>
      <c r="L363" s="92">
        <f ca="1">SUMIFS(OFFSET('BPC Data'!$F:$F,0,Summary!L$2),'BPC Data'!$E:$E,Summary!$D363,'BPC Data'!$B:$B,Summary!$C363)</f>
        <v>0</v>
      </c>
      <c r="M363" s="32"/>
      <c r="N363" s="110"/>
      <c r="O363" s="106">
        <f t="shared" si="142"/>
        <v>0</v>
      </c>
    </row>
    <row r="364" spans="1:15" s="16" customFormat="1" hidden="1" outlineLevel="1" x14ac:dyDescent="0.25">
      <c r="A364" s="16">
        <f t="shared" si="155"/>
        <v>33</v>
      </c>
      <c r="B364"/>
      <c r="C364">
        <f>$F361</f>
        <v>0</v>
      </c>
      <c r="D364" s="3" t="str">
        <f t="shared" si="147"/>
        <v>T_REVENUES - Total Tenant Revenues</v>
      </c>
      <c r="E364"/>
      <c r="F364" s="22" t="str">
        <f>_xll.EVDES(D364)</f>
        <v>Total Tenant Revenues</v>
      </c>
      <c r="G364" s="18">
        <f ca="1">SUMIFS(OFFSET('BPC Data'!$F:$F,0,Summary!G$2),'BPC Data'!$E:$E,Summary!$D364,'BPC Data'!$B:$B,Summary!$C364)</f>
        <v>0</v>
      </c>
      <c r="H364" s="92">
        <f ca="1">SUMIFS(OFFSET('BPC Data'!$F:$F,0,Summary!H$2),'BPC Data'!$E:$E,Summary!$D364,'BPC Data'!$B:$B,Summary!$C364)</f>
        <v>0</v>
      </c>
      <c r="I364" s="18">
        <f ca="1">SUMIFS(OFFSET('BPC Data'!$F:$F,0,Summary!I$2),'BPC Data'!$E:$E,Summary!$D364,'BPC Data'!$B:$B,Summary!$C364)</f>
        <v>0</v>
      </c>
      <c r="J364" s="92">
        <f ca="1">SUMIFS(OFFSET('BPC Data'!$F:$F,0,Summary!J$2),'BPC Data'!$E:$E,Summary!$D364,'BPC Data'!$B:$B,Summary!$C364)</f>
        <v>0</v>
      </c>
      <c r="K364" s="18">
        <f ca="1">SUMIFS(OFFSET('BPC Data'!$F:$F,0,Summary!K$2),'BPC Data'!$E:$E,Summary!$D364,'BPC Data'!$B:$B,Summary!$C364)</f>
        <v>0</v>
      </c>
      <c r="L364" s="92">
        <f ca="1">SUMIFS(OFFSET('BPC Data'!$F:$F,0,Summary!L$2),'BPC Data'!$E:$E,Summary!$D364,'BPC Data'!$B:$B,Summary!$C364)</f>
        <v>0</v>
      </c>
      <c r="M364" s="32"/>
      <c r="N364" s="110"/>
      <c r="O364" s="106">
        <f t="shared" si="142"/>
        <v>0</v>
      </c>
    </row>
    <row r="365" spans="1:15" s="16" customFormat="1" hidden="1" outlineLevel="1" x14ac:dyDescent="0.25">
      <c r="A365" s="16">
        <f t="shared" si="155"/>
        <v>33</v>
      </c>
      <c r="B365"/>
      <c r="C365">
        <f>$F361</f>
        <v>0</v>
      </c>
      <c r="D365" s="3" t="str">
        <f t="shared" si="147"/>
        <v>T_OPEX - Tenant Operating Expenses</v>
      </c>
      <c r="E365"/>
      <c r="F365" s="22" t="str">
        <f>_xll.EVDES(D365)</f>
        <v>Tenant Operating Expenses</v>
      </c>
      <c r="G365" s="18">
        <f ca="1">SUMIFS(OFFSET('BPC Data'!$F:$F,0,Summary!G$2),'BPC Data'!$E:$E,Summary!$D365,'BPC Data'!$B:$B,Summary!$C365)</f>
        <v>0</v>
      </c>
      <c r="H365" s="92">
        <f ca="1">SUMIFS(OFFSET('BPC Data'!$F:$F,0,Summary!H$2),'BPC Data'!$E:$E,Summary!$D365,'BPC Data'!$B:$B,Summary!$C365)</f>
        <v>0</v>
      </c>
      <c r="I365" s="18">
        <f ca="1">SUMIFS(OFFSET('BPC Data'!$F:$F,0,Summary!I$2),'BPC Data'!$E:$E,Summary!$D365,'BPC Data'!$B:$B,Summary!$C365)</f>
        <v>0</v>
      </c>
      <c r="J365" s="92">
        <f ca="1">SUMIFS(OFFSET('BPC Data'!$F:$F,0,Summary!J$2),'BPC Data'!$E:$E,Summary!$D365,'BPC Data'!$B:$B,Summary!$C365)</f>
        <v>0</v>
      </c>
      <c r="K365" s="18">
        <f ca="1">SUMIFS(OFFSET('BPC Data'!$F:$F,0,Summary!K$2),'BPC Data'!$E:$E,Summary!$D365,'BPC Data'!$B:$B,Summary!$C365)</f>
        <v>0</v>
      </c>
      <c r="L365" s="92">
        <f ca="1">SUMIFS(OFFSET('BPC Data'!$F:$F,0,Summary!L$2),'BPC Data'!$E:$E,Summary!$D365,'BPC Data'!$B:$B,Summary!$C365)</f>
        <v>0</v>
      </c>
      <c r="M365" s="32"/>
      <c r="N365" s="110"/>
      <c r="O365" s="106">
        <f t="shared" si="142"/>
        <v>0</v>
      </c>
    </row>
    <row r="366" spans="1:15" s="16" customFormat="1" hidden="1" outlineLevel="1" x14ac:dyDescent="0.25">
      <c r="A366" s="16">
        <f t="shared" si="155"/>
        <v>33</v>
      </c>
      <c r="B366"/>
      <c r="C366">
        <f>$F361</f>
        <v>0</v>
      </c>
      <c r="D366" s="3" t="str">
        <f t="shared" si="147"/>
        <v>T_BAD_DEBT - Tenant Bad Debt Expense</v>
      </c>
      <c r="E366"/>
      <c r="F366" s="22" t="str">
        <f>_xll.EVDES(D366)</f>
        <v>Tenant Bad Debt Expense</v>
      </c>
      <c r="G366" s="18">
        <f ca="1">SUMIFS(OFFSET('BPC Data'!$F:$F,0,Summary!G$2),'BPC Data'!$E:$E,Summary!$D366,'BPC Data'!$B:$B,Summary!$C366)</f>
        <v>0</v>
      </c>
      <c r="H366" s="92">
        <f ca="1">SUMIFS(OFFSET('BPC Data'!$F:$F,0,Summary!H$2),'BPC Data'!$E:$E,Summary!$D366,'BPC Data'!$B:$B,Summary!$C366)</f>
        <v>0</v>
      </c>
      <c r="I366" s="18">
        <f ca="1">SUMIFS(OFFSET('BPC Data'!$F:$F,0,Summary!I$2),'BPC Data'!$E:$E,Summary!$D366,'BPC Data'!$B:$B,Summary!$C366)</f>
        <v>0</v>
      </c>
      <c r="J366" s="92">
        <f ca="1">SUMIFS(OFFSET('BPC Data'!$F:$F,0,Summary!J$2),'BPC Data'!$E:$E,Summary!$D366,'BPC Data'!$B:$B,Summary!$C366)</f>
        <v>0</v>
      </c>
      <c r="K366" s="18">
        <f ca="1">SUMIFS(OFFSET('BPC Data'!$F:$F,0,Summary!K$2),'BPC Data'!$E:$E,Summary!$D366,'BPC Data'!$B:$B,Summary!$C366)</f>
        <v>0</v>
      </c>
      <c r="L366" s="92">
        <f ca="1">SUMIFS(OFFSET('BPC Data'!$F:$F,0,Summary!L$2),'BPC Data'!$E:$E,Summary!$D366,'BPC Data'!$B:$B,Summary!$C366)</f>
        <v>0</v>
      </c>
      <c r="M366" s="32"/>
      <c r="N366" s="110"/>
      <c r="O366" s="106">
        <f t="shared" si="142"/>
        <v>0</v>
      </c>
    </row>
    <row r="367" spans="1:15" s="16" customFormat="1" hidden="1" outlineLevel="1" x14ac:dyDescent="0.25">
      <c r="A367" s="16">
        <f t="shared" si="155"/>
        <v>33</v>
      </c>
      <c r="B367"/>
      <c r="C367">
        <f>$F361</f>
        <v>0</v>
      </c>
      <c r="D367" s="2" t="str">
        <f t="shared" si="147"/>
        <v>T_EBITDARM - EBITDARM</v>
      </c>
      <c r="E367"/>
      <c r="F367" s="22" t="str">
        <f>_xll.EVDES(D367)</f>
        <v>EBITDARM</v>
      </c>
      <c r="G367" s="18">
        <f ca="1">SUMIFS(OFFSET('BPC Data'!$F:$F,0,Summary!G$2),'BPC Data'!$E:$E,Summary!$D367,'BPC Data'!$B:$B,Summary!$C367)</f>
        <v>0</v>
      </c>
      <c r="H367" s="92">
        <f ca="1">SUMIFS(OFFSET('BPC Data'!$F:$F,0,Summary!H$2),'BPC Data'!$E:$E,Summary!$D367,'BPC Data'!$B:$B,Summary!$C367)</f>
        <v>0</v>
      </c>
      <c r="I367" s="18">
        <f ca="1">SUMIFS(OFFSET('BPC Data'!$F:$F,0,Summary!I$2),'BPC Data'!$E:$E,Summary!$D367,'BPC Data'!$B:$B,Summary!$C367)</f>
        <v>0</v>
      </c>
      <c r="J367" s="92">
        <f ca="1">SUMIFS(OFFSET('BPC Data'!$F:$F,0,Summary!J$2),'BPC Data'!$E:$E,Summary!$D367,'BPC Data'!$B:$B,Summary!$C367)</f>
        <v>0</v>
      </c>
      <c r="K367" s="18">
        <f ca="1">SUMIFS(OFFSET('BPC Data'!$F:$F,0,Summary!K$2),'BPC Data'!$E:$E,Summary!$D367,'BPC Data'!$B:$B,Summary!$C367)</f>
        <v>0</v>
      </c>
      <c r="L367" s="92">
        <f ca="1">SUMIFS(OFFSET('BPC Data'!$F:$F,0,Summary!L$2),'BPC Data'!$E:$E,Summary!$D367,'BPC Data'!$B:$B,Summary!$C367)</f>
        <v>0</v>
      </c>
      <c r="M367" s="32"/>
      <c r="N367" s="110"/>
      <c r="O367" s="106">
        <f t="shared" si="142"/>
        <v>0</v>
      </c>
    </row>
    <row r="368" spans="1:15" s="16" customFormat="1" hidden="1" outlineLevel="1" x14ac:dyDescent="0.25">
      <c r="A368" s="16">
        <f t="shared" si="155"/>
        <v>33</v>
      </c>
      <c r="B368"/>
      <c r="C368">
        <f>$F361</f>
        <v>0</v>
      </c>
      <c r="D368" s="2" t="str">
        <f t="shared" si="147"/>
        <v>T_MGMT_FEE - Tenant Management Fee - Actual</v>
      </c>
      <c r="E368"/>
      <c r="F368" s="22" t="str">
        <f>_xll.EVDES(D368)</f>
        <v>Tenant Management Fee - Actual</v>
      </c>
      <c r="G368" s="18">
        <f ca="1">SUMIFS(OFFSET('BPC Data'!$F:$F,0,Summary!G$2),'BPC Data'!$E:$E,Summary!$D368,'BPC Data'!$B:$B,Summary!$C368)</f>
        <v>0</v>
      </c>
      <c r="H368" s="92">
        <f ca="1">SUMIFS(OFFSET('BPC Data'!$F:$F,0,Summary!H$2),'BPC Data'!$E:$E,Summary!$D368,'BPC Data'!$B:$B,Summary!$C368)</f>
        <v>0</v>
      </c>
      <c r="I368" s="18">
        <f ca="1">SUMIFS(OFFSET('BPC Data'!$F:$F,0,Summary!I$2),'BPC Data'!$E:$E,Summary!$D368,'BPC Data'!$B:$B,Summary!$C368)</f>
        <v>0</v>
      </c>
      <c r="J368" s="92">
        <f ca="1">SUMIFS(OFFSET('BPC Data'!$F:$F,0,Summary!J$2),'BPC Data'!$E:$E,Summary!$D368,'BPC Data'!$B:$B,Summary!$C368)</f>
        <v>0</v>
      </c>
      <c r="K368" s="18">
        <f ca="1">SUMIFS(OFFSET('BPC Data'!$F:$F,0,Summary!K$2),'BPC Data'!$E:$E,Summary!$D368,'BPC Data'!$B:$B,Summary!$C368)</f>
        <v>0</v>
      </c>
      <c r="L368" s="92">
        <f ca="1">SUMIFS(OFFSET('BPC Data'!$F:$F,0,Summary!L$2),'BPC Data'!$E:$E,Summary!$D368,'BPC Data'!$B:$B,Summary!$C368)</f>
        <v>0</v>
      </c>
      <c r="M368" s="32"/>
      <c r="N368" s="110"/>
      <c r="O368" s="106">
        <f t="shared" si="142"/>
        <v>0</v>
      </c>
    </row>
    <row r="369" spans="1:15" s="16" customFormat="1" hidden="1" outlineLevel="1" x14ac:dyDescent="0.25">
      <c r="A369" s="16">
        <f t="shared" si="155"/>
        <v>33</v>
      </c>
      <c r="B369"/>
      <c r="C369">
        <f>$F361</f>
        <v>0</v>
      </c>
      <c r="D369" s="1" t="str">
        <f t="shared" si="147"/>
        <v>T_EBITDAR - EBITDAR</v>
      </c>
      <c r="E369"/>
      <c r="F369" s="22" t="str">
        <f>_xll.EVDES(D369)</f>
        <v>EBITDAR</v>
      </c>
      <c r="G369" s="18">
        <f ca="1">SUMIFS(OFFSET('BPC Data'!$F:$F,0,Summary!G$2),'BPC Data'!$E:$E,Summary!$D369,'BPC Data'!$B:$B,Summary!$C369)</f>
        <v>0</v>
      </c>
      <c r="H369" s="92">
        <f ca="1">SUMIFS(OFFSET('BPC Data'!$F:$F,0,Summary!H$2),'BPC Data'!$E:$E,Summary!$D369,'BPC Data'!$B:$B,Summary!$C369)</f>
        <v>0</v>
      </c>
      <c r="I369" s="18">
        <f ca="1">SUMIFS(OFFSET('BPC Data'!$F:$F,0,Summary!I$2),'BPC Data'!$E:$E,Summary!$D369,'BPC Data'!$B:$B,Summary!$C369)</f>
        <v>0</v>
      </c>
      <c r="J369" s="92">
        <f ca="1">SUMIFS(OFFSET('BPC Data'!$F:$F,0,Summary!J$2),'BPC Data'!$E:$E,Summary!$D369,'BPC Data'!$B:$B,Summary!$C369)</f>
        <v>0</v>
      </c>
      <c r="K369" s="18">
        <f ca="1">SUMIFS(OFFSET('BPC Data'!$F:$F,0,Summary!K$2),'BPC Data'!$E:$E,Summary!$D369,'BPC Data'!$B:$B,Summary!$C369)</f>
        <v>0</v>
      </c>
      <c r="L369" s="92">
        <f ca="1">SUMIFS(OFFSET('BPC Data'!$F:$F,0,Summary!L$2),'BPC Data'!$E:$E,Summary!$D369,'BPC Data'!$B:$B,Summary!$C369)</f>
        <v>0</v>
      </c>
      <c r="M369" s="32"/>
      <c r="N369" s="110"/>
      <c r="O369" s="106">
        <f t="shared" si="142"/>
        <v>0</v>
      </c>
    </row>
    <row r="370" spans="1:15" s="16" customFormat="1" hidden="1" outlineLevel="1" x14ac:dyDescent="0.25">
      <c r="A370" s="16">
        <f t="shared" si="155"/>
        <v>33</v>
      </c>
      <c r="B370"/>
      <c r="C370">
        <f>$F361</f>
        <v>0</v>
      </c>
      <c r="D370" s="1" t="str">
        <f t="shared" si="147"/>
        <v>T_RENT_EXP - Tenant Rent Expense</v>
      </c>
      <c r="E370"/>
      <c r="F370" s="22" t="str">
        <f>_xll.EVDES(D370)</f>
        <v>Tenant Rent Expense</v>
      </c>
      <c r="G370" s="18">
        <f ca="1">SUMIFS(OFFSET('BPC Data'!$F:$F,0,Summary!G$2),'BPC Data'!$E:$E,Summary!$D370,'BPC Data'!$B:$B,Summary!$C370)</f>
        <v>0</v>
      </c>
      <c r="H370" s="92">
        <f ca="1">SUMIFS(OFFSET('BPC Data'!$F:$F,0,Summary!H$2),'BPC Data'!$E:$E,Summary!$D370,'BPC Data'!$B:$B,Summary!$C370)</f>
        <v>0</v>
      </c>
      <c r="I370" s="18">
        <f ca="1">SUMIFS(OFFSET('BPC Data'!$F:$F,0,Summary!I$2),'BPC Data'!$E:$E,Summary!$D370,'BPC Data'!$B:$B,Summary!$C370)</f>
        <v>0</v>
      </c>
      <c r="J370" s="92">
        <f ca="1">SUMIFS(OFFSET('BPC Data'!$F:$F,0,Summary!J$2),'BPC Data'!$E:$E,Summary!$D370,'BPC Data'!$B:$B,Summary!$C370)</f>
        <v>0</v>
      </c>
      <c r="K370" s="18">
        <f ca="1">SUMIFS(OFFSET('BPC Data'!$F:$F,0,Summary!K$2),'BPC Data'!$E:$E,Summary!$D370,'BPC Data'!$B:$B,Summary!$C370)</f>
        <v>0</v>
      </c>
      <c r="L370" s="92">
        <f ca="1">SUMIFS(OFFSET('BPC Data'!$F:$F,0,Summary!L$2),'BPC Data'!$E:$E,Summary!$D370,'BPC Data'!$B:$B,Summary!$C370)</f>
        <v>0</v>
      </c>
      <c r="M370" s="32"/>
      <c r="N370" s="110"/>
      <c r="O370" s="106">
        <f t="shared" si="142"/>
        <v>0</v>
      </c>
    </row>
    <row r="371" spans="1:15" s="16" customFormat="1" hidden="1" outlineLevel="1" x14ac:dyDescent="0.25">
      <c r="A371" s="16">
        <f t="shared" si="155"/>
        <v>33</v>
      </c>
      <c r="B371"/>
      <c r="C371"/>
      <c r="D371" s="1" t="str">
        <f t="shared" si="147"/>
        <v>x</v>
      </c>
      <c r="E371"/>
      <c r="F371" s="22" t="s">
        <v>0</v>
      </c>
      <c r="G371" s="11" t="e">
        <f t="shared" ref="G371:H371" ca="1" si="156">G369/G370</f>
        <v>#DIV/0!</v>
      </c>
      <c r="H371" s="93" t="e">
        <f t="shared" ca="1" si="156"/>
        <v>#DIV/0!</v>
      </c>
      <c r="I371" s="11" t="e">
        <f t="shared" ref="I371:J371" ca="1" si="157">I369/I370</f>
        <v>#DIV/0!</v>
      </c>
      <c r="J371" s="93" t="e">
        <f t="shared" ca="1" si="157"/>
        <v>#DIV/0!</v>
      </c>
      <c r="K371" s="11" t="e">
        <f t="shared" ref="K371:L371" ca="1" si="158">K369/K370</f>
        <v>#DIV/0!</v>
      </c>
      <c r="L371" s="93" t="e">
        <f t="shared" ca="1" si="158"/>
        <v>#DIV/0!</v>
      </c>
      <c r="M371" s="32"/>
      <c r="N371" s="110"/>
      <c r="O371" s="106">
        <f t="shared" si="142"/>
        <v>0</v>
      </c>
    </row>
    <row r="372" spans="1:15" s="16" customFormat="1" hidden="1" outlineLevel="1" x14ac:dyDescent="0.25">
      <c r="A372" s="16">
        <f>IF(AND(D372&lt;&gt;"",C372=""),A371+1,A371)</f>
        <v>34</v>
      </c>
      <c r="B372" s="4"/>
      <c r="C372" s="4"/>
      <c r="D372" s="4" t="str">
        <f t="shared" si="147"/>
        <v>x</v>
      </c>
      <c r="E372" s="4"/>
      <c r="F372" s="21">
        <f>INDEX(PropertyList!$D:$D,MATCH(Summary!$A372,PropertyList!$C:$C,0))</f>
        <v>0</v>
      </c>
      <c r="G372" s="10"/>
      <c r="H372" s="91"/>
      <c r="I372" s="10"/>
      <c r="J372" s="91"/>
      <c r="K372" s="10"/>
      <c r="L372" s="91"/>
      <c r="M372" s="32"/>
      <c r="N372" s="110"/>
      <c r="O372" s="106">
        <f t="shared" si="142"/>
        <v>0</v>
      </c>
    </row>
    <row r="373" spans="1:15" s="16" customFormat="1" hidden="1" outlineLevel="1" x14ac:dyDescent="0.25">
      <c r="A373" s="16">
        <f>IF(AND(F373&lt;&gt;"",D373=""),A372+1,A372)</f>
        <v>34</v>
      </c>
      <c r="C373">
        <f>$F372</f>
        <v>0</v>
      </c>
      <c r="D373" s="3" t="str">
        <f t="shared" si="147"/>
        <v>PAY_PAT_DAYS - Total Payor Patient Days</v>
      </c>
      <c r="F373" s="22" t="str">
        <f>_xll.EVDES(D373)</f>
        <v>Total Payor Patient Days</v>
      </c>
      <c r="G373" s="18">
        <f ca="1">SUMIFS(OFFSET('BPC Data'!$F:$F,0,Summary!G$2),'BPC Data'!$E:$E,Summary!$D373,'BPC Data'!$B:$B,Summary!$C373)</f>
        <v>0</v>
      </c>
      <c r="H373" s="92">
        <f ca="1">SUMIFS(OFFSET('BPC Data'!$F:$F,0,Summary!H$2),'BPC Data'!$E:$E,Summary!$D373,'BPC Data'!$B:$B,Summary!$C373)</f>
        <v>0</v>
      </c>
      <c r="I373" s="18">
        <f ca="1">SUMIFS(OFFSET('BPC Data'!$F:$F,0,Summary!I$2),'BPC Data'!$E:$E,Summary!$D373,'BPC Data'!$B:$B,Summary!$C373)</f>
        <v>0</v>
      </c>
      <c r="J373" s="92">
        <f ca="1">SUMIFS(OFFSET('BPC Data'!$F:$F,0,Summary!J$2),'BPC Data'!$E:$E,Summary!$D373,'BPC Data'!$B:$B,Summary!$C373)</f>
        <v>0</v>
      </c>
      <c r="K373" s="18">
        <f ca="1">SUMIFS(OFFSET('BPC Data'!$F:$F,0,Summary!K$2),'BPC Data'!$E:$E,Summary!$D373,'BPC Data'!$B:$B,Summary!$C373)</f>
        <v>0</v>
      </c>
      <c r="L373" s="92">
        <f ca="1">SUMIFS(OFFSET('BPC Data'!$F:$F,0,Summary!L$2),'BPC Data'!$E:$E,Summary!$D373,'BPC Data'!$B:$B,Summary!$C373)</f>
        <v>0</v>
      </c>
      <c r="M373" s="32"/>
      <c r="N373" s="110"/>
      <c r="O373" s="106">
        <f t="shared" si="142"/>
        <v>0</v>
      </c>
    </row>
    <row r="374" spans="1:15" s="16" customFormat="1" hidden="1" outlineLevel="1" x14ac:dyDescent="0.25">
      <c r="A374" s="16">
        <f t="shared" ref="A374:A382" si="159">IF(AND(F374&lt;&gt;"",D374=""),A373+1,A373)</f>
        <v>34</v>
      </c>
      <c r="C374">
        <f>$F372</f>
        <v>0</v>
      </c>
      <c r="D374" s="3" t="str">
        <f t="shared" si="147"/>
        <v>A_BEDS_TOTAL - Total Available Beds</v>
      </c>
      <c r="F374" s="22" t="str">
        <f>_xll.EVDES(D374)</f>
        <v>Total Available Beds</v>
      </c>
      <c r="G374" s="18">
        <f ca="1">SUMIFS(OFFSET('BPC Data'!$F:$F,0,Summary!G$2),'BPC Data'!$E:$E,Summary!$D374,'BPC Data'!$B:$B,Summary!$C374)</f>
        <v>0</v>
      </c>
      <c r="H374" s="92">
        <f ca="1">SUMIFS(OFFSET('BPC Data'!$F:$F,0,Summary!H$2),'BPC Data'!$E:$E,Summary!$D374,'BPC Data'!$B:$B,Summary!$C374)</f>
        <v>0</v>
      </c>
      <c r="I374" s="18">
        <f ca="1">SUMIFS(OFFSET('BPC Data'!$F:$F,0,Summary!I$2),'BPC Data'!$E:$E,Summary!$D374,'BPC Data'!$B:$B,Summary!$C374)</f>
        <v>0</v>
      </c>
      <c r="J374" s="92">
        <f ca="1">SUMIFS(OFFSET('BPC Data'!$F:$F,0,Summary!J$2),'BPC Data'!$E:$E,Summary!$D374,'BPC Data'!$B:$B,Summary!$C374)</f>
        <v>0</v>
      </c>
      <c r="K374" s="18">
        <f ca="1">SUMIFS(OFFSET('BPC Data'!$F:$F,0,Summary!K$2),'BPC Data'!$E:$E,Summary!$D374,'BPC Data'!$B:$B,Summary!$C374)</f>
        <v>0</v>
      </c>
      <c r="L374" s="92">
        <f ca="1">SUMIFS(OFFSET('BPC Data'!$F:$F,0,Summary!L$2),'BPC Data'!$E:$E,Summary!$D374,'BPC Data'!$B:$B,Summary!$C374)</f>
        <v>0</v>
      </c>
      <c r="M374" s="32"/>
      <c r="N374" s="110"/>
      <c r="O374" s="106">
        <f t="shared" si="142"/>
        <v>0</v>
      </c>
    </row>
    <row r="375" spans="1:15" s="16" customFormat="1" hidden="1" outlineLevel="1" x14ac:dyDescent="0.25">
      <c r="A375" s="16">
        <f t="shared" si="159"/>
        <v>34</v>
      </c>
      <c r="B375"/>
      <c r="C375">
        <f>$F372</f>
        <v>0</v>
      </c>
      <c r="D375" s="3" t="str">
        <f t="shared" si="147"/>
        <v>T_REVENUES - Total Tenant Revenues</v>
      </c>
      <c r="E375"/>
      <c r="F375" s="22" t="str">
        <f>_xll.EVDES(D375)</f>
        <v>Total Tenant Revenues</v>
      </c>
      <c r="G375" s="18">
        <f ca="1">SUMIFS(OFFSET('BPC Data'!$F:$F,0,Summary!G$2),'BPC Data'!$E:$E,Summary!$D375,'BPC Data'!$B:$B,Summary!$C375)</f>
        <v>0</v>
      </c>
      <c r="H375" s="92">
        <f ca="1">SUMIFS(OFFSET('BPC Data'!$F:$F,0,Summary!H$2),'BPC Data'!$E:$E,Summary!$D375,'BPC Data'!$B:$B,Summary!$C375)</f>
        <v>0</v>
      </c>
      <c r="I375" s="18">
        <f ca="1">SUMIFS(OFFSET('BPC Data'!$F:$F,0,Summary!I$2),'BPC Data'!$E:$E,Summary!$D375,'BPC Data'!$B:$B,Summary!$C375)</f>
        <v>0</v>
      </c>
      <c r="J375" s="92">
        <f ca="1">SUMIFS(OFFSET('BPC Data'!$F:$F,0,Summary!J$2),'BPC Data'!$E:$E,Summary!$D375,'BPC Data'!$B:$B,Summary!$C375)</f>
        <v>0</v>
      </c>
      <c r="K375" s="18">
        <f ca="1">SUMIFS(OFFSET('BPC Data'!$F:$F,0,Summary!K$2),'BPC Data'!$E:$E,Summary!$D375,'BPC Data'!$B:$B,Summary!$C375)</f>
        <v>0</v>
      </c>
      <c r="L375" s="92">
        <f ca="1">SUMIFS(OFFSET('BPC Data'!$F:$F,0,Summary!L$2),'BPC Data'!$E:$E,Summary!$D375,'BPC Data'!$B:$B,Summary!$C375)</f>
        <v>0</v>
      </c>
      <c r="M375" s="32"/>
      <c r="N375" s="110"/>
      <c r="O375" s="106">
        <f t="shared" si="142"/>
        <v>0</v>
      </c>
    </row>
    <row r="376" spans="1:15" s="16" customFormat="1" hidden="1" outlineLevel="1" x14ac:dyDescent="0.25">
      <c r="A376" s="16">
        <f t="shared" si="159"/>
        <v>34</v>
      </c>
      <c r="B376"/>
      <c r="C376">
        <f>$F372</f>
        <v>0</v>
      </c>
      <c r="D376" s="3" t="str">
        <f t="shared" si="147"/>
        <v>T_OPEX - Tenant Operating Expenses</v>
      </c>
      <c r="E376"/>
      <c r="F376" s="22" t="str">
        <f>_xll.EVDES(D376)</f>
        <v>Tenant Operating Expenses</v>
      </c>
      <c r="G376" s="18">
        <f ca="1">SUMIFS(OFFSET('BPC Data'!$F:$F,0,Summary!G$2),'BPC Data'!$E:$E,Summary!$D376,'BPC Data'!$B:$B,Summary!$C376)</f>
        <v>0</v>
      </c>
      <c r="H376" s="92">
        <f ca="1">SUMIFS(OFFSET('BPC Data'!$F:$F,0,Summary!H$2),'BPC Data'!$E:$E,Summary!$D376,'BPC Data'!$B:$B,Summary!$C376)</f>
        <v>0</v>
      </c>
      <c r="I376" s="18">
        <f ca="1">SUMIFS(OFFSET('BPC Data'!$F:$F,0,Summary!I$2),'BPC Data'!$E:$E,Summary!$D376,'BPC Data'!$B:$B,Summary!$C376)</f>
        <v>0</v>
      </c>
      <c r="J376" s="92">
        <f ca="1">SUMIFS(OFFSET('BPC Data'!$F:$F,0,Summary!J$2),'BPC Data'!$E:$E,Summary!$D376,'BPC Data'!$B:$B,Summary!$C376)</f>
        <v>0</v>
      </c>
      <c r="K376" s="18">
        <f ca="1">SUMIFS(OFFSET('BPC Data'!$F:$F,0,Summary!K$2),'BPC Data'!$E:$E,Summary!$D376,'BPC Data'!$B:$B,Summary!$C376)</f>
        <v>0</v>
      </c>
      <c r="L376" s="92">
        <f ca="1">SUMIFS(OFFSET('BPC Data'!$F:$F,0,Summary!L$2),'BPC Data'!$E:$E,Summary!$D376,'BPC Data'!$B:$B,Summary!$C376)</f>
        <v>0</v>
      </c>
      <c r="M376" s="32"/>
      <c r="N376" s="110"/>
      <c r="O376" s="106">
        <f t="shared" si="142"/>
        <v>0</v>
      </c>
    </row>
    <row r="377" spans="1:15" s="16" customFormat="1" hidden="1" outlineLevel="1" x14ac:dyDescent="0.25">
      <c r="A377" s="16">
        <f t="shared" si="159"/>
        <v>34</v>
      </c>
      <c r="B377"/>
      <c r="C377">
        <f>$F372</f>
        <v>0</v>
      </c>
      <c r="D377" s="3" t="str">
        <f t="shared" si="147"/>
        <v>T_BAD_DEBT - Tenant Bad Debt Expense</v>
      </c>
      <c r="E377"/>
      <c r="F377" s="22" t="str">
        <f>_xll.EVDES(D377)</f>
        <v>Tenant Bad Debt Expense</v>
      </c>
      <c r="G377" s="18">
        <f ca="1">SUMIFS(OFFSET('BPC Data'!$F:$F,0,Summary!G$2),'BPC Data'!$E:$E,Summary!$D377,'BPC Data'!$B:$B,Summary!$C377)</f>
        <v>0</v>
      </c>
      <c r="H377" s="92">
        <f ca="1">SUMIFS(OFFSET('BPC Data'!$F:$F,0,Summary!H$2),'BPC Data'!$E:$E,Summary!$D377,'BPC Data'!$B:$B,Summary!$C377)</f>
        <v>0</v>
      </c>
      <c r="I377" s="18">
        <f ca="1">SUMIFS(OFFSET('BPC Data'!$F:$F,0,Summary!I$2),'BPC Data'!$E:$E,Summary!$D377,'BPC Data'!$B:$B,Summary!$C377)</f>
        <v>0</v>
      </c>
      <c r="J377" s="92">
        <f ca="1">SUMIFS(OFFSET('BPC Data'!$F:$F,0,Summary!J$2),'BPC Data'!$E:$E,Summary!$D377,'BPC Data'!$B:$B,Summary!$C377)</f>
        <v>0</v>
      </c>
      <c r="K377" s="18">
        <f ca="1">SUMIFS(OFFSET('BPC Data'!$F:$F,0,Summary!K$2),'BPC Data'!$E:$E,Summary!$D377,'BPC Data'!$B:$B,Summary!$C377)</f>
        <v>0</v>
      </c>
      <c r="L377" s="92">
        <f ca="1">SUMIFS(OFFSET('BPC Data'!$F:$F,0,Summary!L$2),'BPC Data'!$E:$E,Summary!$D377,'BPC Data'!$B:$B,Summary!$C377)</f>
        <v>0</v>
      </c>
      <c r="M377" s="32"/>
      <c r="N377" s="110"/>
      <c r="O377" s="106">
        <f t="shared" si="142"/>
        <v>0</v>
      </c>
    </row>
    <row r="378" spans="1:15" s="16" customFormat="1" hidden="1" outlineLevel="1" x14ac:dyDescent="0.25">
      <c r="A378" s="16">
        <f t="shared" si="159"/>
        <v>34</v>
      </c>
      <c r="B378"/>
      <c r="C378">
        <f>$F372</f>
        <v>0</v>
      </c>
      <c r="D378" s="2" t="str">
        <f t="shared" si="147"/>
        <v>T_EBITDARM - EBITDARM</v>
      </c>
      <c r="E378"/>
      <c r="F378" s="22" t="str">
        <f>_xll.EVDES(D378)</f>
        <v>EBITDARM</v>
      </c>
      <c r="G378" s="18">
        <f ca="1">SUMIFS(OFFSET('BPC Data'!$F:$F,0,Summary!G$2),'BPC Data'!$E:$E,Summary!$D378,'BPC Data'!$B:$B,Summary!$C378)</f>
        <v>0</v>
      </c>
      <c r="H378" s="92">
        <f ca="1">SUMIFS(OFFSET('BPC Data'!$F:$F,0,Summary!H$2),'BPC Data'!$E:$E,Summary!$D378,'BPC Data'!$B:$B,Summary!$C378)</f>
        <v>0</v>
      </c>
      <c r="I378" s="18">
        <f ca="1">SUMIFS(OFFSET('BPC Data'!$F:$F,0,Summary!I$2),'BPC Data'!$E:$E,Summary!$D378,'BPC Data'!$B:$B,Summary!$C378)</f>
        <v>0</v>
      </c>
      <c r="J378" s="92">
        <f ca="1">SUMIFS(OFFSET('BPC Data'!$F:$F,0,Summary!J$2),'BPC Data'!$E:$E,Summary!$D378,'BPC Data'!$B:$B,Summary!$C378)</f>
        <v>0</v>
      </c>
      <c r="K378" s="18">
        <f ca="1">SUMIFS(OFFSET('BPC Data'!$F:$F,0,Summary!K$2),'BPC Data'!$E:$E,Summary!$D378,'BPC Data'!$B:$B,Summary!$C378)</f>
        <v>0</v>
      </c>
      <c r="L378" s="92">
        <f ca="1">SUMIFS(OFFSET('BPC Data'!$F:$F,0,Summary!L$2),'BPC Data'!$E:$E,Summary!$D378,'BPC Data'!$B:$B,Summary!$C378)</f>
        <v>0</v>
      </c>
      <c r="M378" s="32"/>
      <c r="N378" s="110"/>
      <c r="O378" s="106">
        <f t="shared" si="142"/>
        <v>0</v>
      </c>
    </row>
    <row r="379" spans="1:15" s="16" customFormat="1" hidden="1" outlineLevel="1" x14ac:dyDescent="0.25">
      <c r="A379" s="16">
        <f t="shared" si="159"/>
        <v>34</v>
      </c>
      <c r="B379"/>
      <c r="C379">
        <f>$F372</f>
        <v>0</v>
      </c>
      <c r="D379" s="2" t="str">
        <f t="shared" si="147"/>
        <v>T_MGMT_FEE - Tenant Management Fee - Actual</v>
      </c>
      <c r="E379"/>
      <c r="F379" s="22" t="str">
        <f>_xll.EVDES(D379)</f>
        <v>Tenant Management Fee - Actual</v>
      </c>
      <c r="G379" s="18">
        <f ca="1">SUMIFS(OFFSET('BPC Data'!$F:$F,0,Summary!G$2),'BPC Data'!$E:$E,Summary!$D379,'BPC Data'!$B:$B,Summary!$C379)</f>
        <v>0</v>
      </c>
      <c r="H379" s="92">
        <f ca="1">SUMIFS(OFFSET('BPC Data'!$F:$F,0,Summary!H$2),'BPC Data'!$E:$E,Summary!$D379,'BPC Data'!$B:$B,Summary!$C379)</f>
        <v>0</v>
      </c>
      <c r="I379" s="18">
        <f ca="1">SUMIFS(OFFSET('BPC Data'!$F:$F,0,Summary!I$2),'BPC Data'!$E:$E,Summary!$D379,'BPC Data'!$B:$B,Summary!$C379)</f>
        <v>0</v>
      </c>
      <c r="J379" s="92">
        <f ca="1">SUMIFS(OFFSET('BPC Data'!$F:$F,0,Summary!J$2),'BPC Data'!$E:$E,Summary!$D379,'BPC Data'!$B:$B,Summary!$C379)</f>
        <v>0</v>
      </c>
      <c r="K379" s="18">
        <f ca="1">SUMIFS(OFFSET('BPC Data'!$F:$F,0,Summary!K$2),'BPC Data'!$E:$E,Summary!$D379,'BPC Data'!$B:$B,Summary!$C379)</f>
        <v>0</v>
      </c>
      <c r="L379" s="92">
        <f ca="1">SUMIFS(OFFSET('BPC Data'!$F:$F,0,Summary!L$2),'BPC Data'!$E:$E,Summary!$D379,'BPC Data'!$B:$B,Summary!$C379)</f>
        <v>0</v>
      </c>
      <c r="M379" s="32"/>
      <c r="N379" s="110"/>
      <c r="O379" s="106">
        <f t="shared" si="142"/>
        <v>0</v>
      </c>
    </row>
    <row r="380" spans="1:15" s="16" customFormat="1" hidden="1" outlineLevel="1" x14ac:dyDescent="0.25">
      <c r="A380" s="16">
        <f t="shared" si="159"/>
        <v>34</v>
      </c>
      <c r="B380"/>
      <c r="C380">
        <f>$F372</f>
        <v>0</v>
      </c>
      <c r="D380" s="1" t="str">
        <f t="shared" si="147"/>
        <v>T_EBITDAR - EBITDAR</v>
      </c>
      <c r="E380"/>
      <c r="F380" s="22" t="str">
        <f>_xll.EVDES(D380)</f>
        <v>EBITDAR</v>
      </c>
      <c r="G380" s="18">
        <f ca="1">SUMIFS(OFFSET('BPC Data'!$F:$F,0,Summary!G$2),'BPC Data'!$E:$E,Summary!$D380,'BPC Data'!$B:$B,Summary!$C380)</f>
        <v>0</v>
      </c>
      <c r="H380" s="92">
        <f ca="1">SUMIFS(OFFSET('BPC Data'!$F:$F,0,Summary!H$2),'BPC Data'!$E:$E,Summary!$D380,'BPC Data'!$B:$B,Summary!$C380)</f>
        <v>0</v>
      </c>
      <c r="I380" s="18">
        <f ca="1">SUMIFS(OFFSET('BPC Data'!$F:$F,0,Summary!I$2),'BPC Data'!$E:$E,Summary!$D380,'BPC Data'!$B:$B,Summary!$C380)</f>
        <v>0</v>
      </c>
      <c r="J380" s="92">
        <f ca="1">SUMIFS(OFFSET('BPC Data'!$F:$F,0,Summary!J$2),'BPC Data'!$E:$E,Summary!$D380,'BPC Data'!$B:$B,Summary!$C380)</f>
        <v>0</v>
      </c>
      <c r="K380" s="18">
        <f ca="1">SUMIFS(OFFSET('BPC Data'!$F:$F,0,Summary!K$2),'BPC Data'!$E:$E,Summary!$D380,'BPC Data'!$B:$B,Summary!$C380)</f>
        <v>0</v>
      </c>
      <c r="L380" s="92">
        <f ca="1">SUMIFS(OFFSET('BPC Data'!$F:$F,0,Summary!L$2),'BPC Data'!$E:$E,Summary!$D380,'BPC Data'!$B:$B,Summary!$C380)</f>
        <v>0</v>
      </c>
      <c r="M380" s="32"/>
      <c r="N380" s="110"/>
      <c r="O380" s="106">
        <f t="shared" si="142"/>
        <v>0</v>
      </c>
    </row>
    <row r="381" spans="1:15" s="16" customFormat="1" hidden="1" outlineLevel="1" x14ac:dyDescent="0.25">
      <c r="A381" s="16">
        <f t="shared" si="159"/>
        <v>34</v>
      </c>
      <c r="B381"/>
      <c r="C381">
        <f>$F372</f>
        <v>0</v>
      </c>
      <c r="D381" s="1" t="str">
        <f t="shared" si="147"/>
        <v>T_RENT_EXP - Tenant Rent Expense</v>
      </c>
      <c r="E381"/>
      <c r="F381" s="22" t="str">
        <f>_xll.EVDES(D381)</f>
        <v>Tenant Rent Expense</v>
      </c>
      <c r="G381" s="18">
        <f ca="1">SUMIFS(OFFSET('BPC Data'!$F:$F,0,Summary!G$2),'BPC Data'!$E:$E,Summary!$D381,'BPC Data'!$B:$B,Summary!$C381)</f>
        <v>0</v>
      </c>
      <c r="H381" s="92">
        <f ca="1">SUMIFS(OFFSET('BPC Data'!$F:$F,0,Summary!H$2),'BPC Data'!$E:$E,Summary!$D381,'BPC Data'!$B:$B,Summary!$C381)</f>
        <v>0</v>
      </c>
      <c r="I381" s="18">
        <f ca="1">SUMIFS(OFFSET('BPC Data'!$F:$F,0,Summary!I$2),'BPC Data'!$E:$E,Summary!$D381,'BPC Data'!$B:$B,Summary!$C381)</f>
        <v>0</v>
      </c>
      <c r="J381" s="92">
        <f ca="1">SUMIFS(OFFSET('BPC Data'!$F:$F,0,Summary!J$2),'BPC Data'!$E:$E,Summary!$D381,'BPC Data'!$B:$B,Summary!$C381)</f>
        <v>0</v>
      </c>
      <c r="K381" s="18">
        <f ca="1">SUMIFS(OFFSET('BPC Data'!$F:$F,0,Summary!K$2),'BPC Data'!$E:$E,Summary!$D381,'BPC Data'!$B:$B,Summary!$C381)</f>
        <v>0</v>
      </c>
      <c r="L381" s="92">
        <f ca="1">SUMIFS(OFFSET('BPC Data'!$F:$F,0,Summary!L$2),'BPC Data'!$E:$E,Summary!$D381,'BPC Data'!$B:$B,Summary!$C381)</f>
        <v>0</v>
      </c>
      <c r="M381" s="32"/>
      <c r="N381" s="110"/>
      <c r="O381" s="106">
        <f t="shared" si="142"/>
        <v>0</v>
      </c>
    </row>
    <row r="382" spans="1:15" s="16" customFormat="1" hidden="1" outlineLevel="1" x14ac:dyDescent="0.25">
      <c r="A382" s="16">
        <f t="shared" si="159"/>
        <v>34</v>
      </c>
      <c r="B382"/>
      <c r="C382"/>
      <c r="D382" s="1" t="str">
        <f t="shared" si="147"/>
        <v>x</v>
      </c>
      <c r="E382"/>
      <c r="F382" s="22" t="s">
        <v>0</v>
      </c>
      <c r="G382" s="11" t="e">
        <f t="shared" ref="G382:H382" ca="1" si="160">G380/G381</f>
        <v>#DIV/0!</v>
      </c>
      <c r="H382" s="93" t="e">
        <f t="shared" ca="1" si="160"/>
        <v>#DIV/0!</v>
      </c>
      <c r="I382" s="11" t="e">
        <f t="shared" ref="I382:J382" ca="1" si="161">I380/I381</f>
        <v>#DIV/0!</v>
      </c>
      <c r="J382" s="93" t="e">
        <f t="shared" ca="1" si="161"/>
        <v>#DIV/0!</v>
      </c>
      <c r="K382" s="11" t="e">
        <f t="shared" ref="K382:L382" ca="1" si="162">K380/K381</f>
        <v>#DIV/0!</v>
      </c>
      <c r="L382" s="93" t="e">
        <f t="shared" ca="1" si="162"/>
        <v>#DIV/0!</v>
      </c>
      <c r="M382" s="32"/>
      <c r="N382" s="110"/>
      <c r="O382" s="106">
        <f t="shared" si="142"/>
        <v>0</v>
      </c>
    </row>
    <row r="383" spans="1:15" s="16" customFormat="1" hidden="1" outlineLevel="1" x14ac:dyDescent="0.25">
      <c r="A383" s="16">
        <f>IF(AND(D383&lt;&gt;"",C383=""),A382+1,A382)</f>
        <v>35</v>
      </c>
      <c r="B383" s="4"/>
      <c r="C383" s="4"/>
      <c r="D383" s="4" t="str">
        <f t="shared" si="147"/>
        <v>x</v>
      </c>
      <c r="E383" s="4"/>
      <c r="F383" s="21">
        <f>INDEX(PropertyList!$D:$D,MATCH(Summary!$A383,PropertyList!$C:$C,0))</f>
        <v>0</v>
      </c>
      <c r="G383" s="10"/>
      <c r="H383" s="91"/>
      <c r="I383" s="10"/>
      <c r="J383" s="91"/>
      <c r="K383" s="10"/>
      <c r="L383" s="91"/>
      <c r="M383" s="32"/>
      <c r="N383" s="110"/>
      <c r="O383" s="106">
        <f t="shared" si="142"/>
        <v>0</v>
      </c>
    </row>
    <row r="384" spans="1:15" s="16" customFormat="1" hidden="1" outlineLevel="1" x14ac:dyDescent="0.25">
      <c r="A384" s="16">
        <f>IF(AND(F384&lt;&gt;"",D384=""),A383+1,A383)</f>
        <v>35</v>
      </c>
      <c r="C384">
        <f>$F383</f>
        <v>0</v>
      </c>
      <c r="D384" s="3" t="str">
        <f t="shared" si="147"/>
        <v>PAY_PAT_DAYS - Total Payor Patient Days</v>
      </c>
      <c r="F384" s="22" t="str">
        <f>_xll.EVDES(D384)</f>
        <v>Total Payor Patient Days</v>
      </c>
      <c r="G384" s="18">
        <f ca="1">SUMIFS(OFFSET('BPC Data'!$F:$F,0,Summary!G$2),'BPC Data'!$E:$E,Summary!$D384,'BPC Data'!$B:$B,Summary!$C384)</f>
        <v>0</v>
      </c>
      <c r="H384" s="92">
        <f ca="1">SUMIFS(OFFSET('BPC Data'!$F:$F,0,Summary!H$2),'BPC Data'!$E:$E,Summary!$D384,'BPC Data'!$B:$B,Summary!$C384)</f>
        <v>0</v>
      </c>
      <c r="I384" s="18">
        <f ca="1">SUMIFS(OFFSET('BPC Data'!$F:$F,0,Summary!I$2),'BPC Data'!$E:$E,Summary!$D384,'BPC Data'!$B:$B,Summary!$C384)</f>
        <v>0</v>
      </c>
      <c r="J384" s="92">
        <f ca="1">SUMIFS(OFFSET('BPC Data'!$F:$F,0,Summary!J$2),'BPC Data'!$E:$E,Summary!$D384,'BPC Data'!$B:$B,Summary!$C384)</f>
        <v>0</v>
      </c>
      <c r="K384" s="18">
        <f ca="1">SUMIFS(OFFSET('BPC Data'!$F:$F,0,Summary!K$2),'BPC Data'!$E:$E,Summary!$D384,'BPC Data'!$B:$B,Summary!$C384)</f>
        <v>0</v>
      </c>
      <c r="L384" s="92">
        <f ca="1">SUMIFS(OFFSET('BPC Data'!$F:$F,0,Summary!L$2),'BPC Data'!$E:$E,Summary!$D384,'BPC Data'!$B:$B,Summary!$C384)</f>
        <v>0</v>
      </c>
      <c r="M384" s="32"/>
      <c r="N384" s="110"/>
      <c r="O384" s="106">
        <f t="shared" si="142"/>
        <v>0</v>
      </c>
    </row>
    <row r="385" spans="1:15" s="16" customFormat="1" hidden="1" outlineLevel="1" x14ac:dyDescent="0.25">
      <c r="A385" s="16">
        <f t="shared" ref="A385:A393" si="163">IF(AND(F385&lt;&gt;"",D385=""),A384+1,A384)</f>
        <v>35</v>
      </c>
      <c r="C385">
        <f>$F383</f>
        <v>0</v>
      </c>
      <c r="D385" s="3" t="str">
        <f t="shared" si="147"/>
        <v>A_BEDS_TOTAL - Total Available Beds</v>
      </c>
      <c r="F385" s="22" t="str">
        <f>_xll.EVDES(D385)</f>
        <v>Total Available Beds</v>
      </c>
      <c r="G385" s="18">
        <f ca="1">SUMIFS(OFFSET('BPC Data'!$F:$F,0,Summary!G$2),'BPC Data'!$E:$E,Summary!$D385,'BPC Data'!$B:$B,Summary!$C385)</f>
        <v>0</v>
      </c>
      <c r="H385" s="92">
        <f ca="1">SUMIFS(OFFSET('BPC Data'!$F:$F,0,Summary!H$2),'BPC Data'!$E:$E,Summary!$D385,'BPC Data'!$B:$B,Summary!$C385)</f>
        <v>0</v>
      </c>
      <c r="I385" s="18">
        <f ca="1">SUMIFS(OFFSET('BPC Data'!$F:$F,0,Summary!I$2),'BPC Data'!$E:$E,Summary!$D385,'BPC Data'!$B:$B,Summary!$C385)</f>
        <v>0</v>
      </c>
      <c r="J385" s="92">
        <f ca="1">SUMIFS(OFFSET('BPC Data'!$F:$F,0,Summary!J$2),'BPC Data'!$E:$E,Summary!$D385,'BPC Data'!$B:$B,Summary!$C385)</f>
        <v>0</v>
      </c>
      <c r="K385" s="18">
        <f ca="1">SUMIFS(OFFSET('BPC Data'!$F:$F,0,Summary!K$2),'BPC Data'!$E:$E,Summary!$D385,'BPC Data'!$B:$B,Summary!$C385)</f>
        <v>0</v>
      </c>
      <c r="L385" s="92">
        <f ca="1">SUMIFS(OFFSET('BPC Data'!$F:$F,0,Summary!L$2),'BPC Data'!$E:$E,Summary!$D385,'BPC Data'!$B:$B,Summary!$C385)</f>
        <v>0</v>
      </c>
      <c r="M385" s="32"/>
      <c r="N385" s="110"/>
      <c r="O385" s="106">
        <f t="shared" si="142"/>
        <v>0</v>
      </c>
    </row>
    <row r="386" spans="1:15" s="16" customFormat="1" hidden="1" outlineLevel="1" x14ac:dyDescent="0.25">
      <c r="A386" s="16">
        <f t="shared" si="163"/>
        <v>35</v>
      </c>
      <c r="B386"/>
      <c r="C386">
        <f>$F383</f>
        <v>0</v>
      </c>
      <c r="D386" s="3" t="str">
        <f t="shared" si="147"/>
        <v>T_REVENUES - Total Tenant Revenues</v>
      </c>
      <c r="E386"/>
      <c r="F386" s="22" t="str">
        <f>_xll.EVDES(D386)</f>
        <v>Total Tenant Revenues</v>
      </c>
      <c r="G386" s="18">
        <f ca="1">SUMIFS(OFFSET('BPC Data'!$F:$F,0,Summary!G$2),'BPC Data'!$E:$E,Summary!$D386,'BPC Data'!$B:$B,Summary!$C386)</f>
        <v>0</v>
      </c>
      <c r="H386" s="92">
        <f ca="1">SUMIFS(OFFSET('BPC Data'!$F:$F,0,Summary!H$2),'BPC Data'!$E:$E,Summary!$D386,'BPC Data'!$B:$B,Summary!$C386)</f>
        <v>0</v>
      </c>
      <c r="I386" s="18">
        <f ca="1">SUMIFS(OFFSET('BPC Data'!$F:$F,0,Summary!I$2),'BPC Data'!$E:$E,Summary!$D386,'BPC Data'!$B:$B,Summary!$C386)</f>
        <v>0</v>
      </c>
      <c r="J386" s="92">
        <f ca="1">SUMIFS(OFFSET('BPC Data'!$F:$F,0,Summary!J$2),'BPC Data'!$E:$E,Summary!$D386,'BPC Data'!$B:$B,Summary!$C386)</f>
        <v>0</v>
      </c>
      <c r="K386" s="18">
        <f ca="1">SUMIFS(OFFSET('BPC Data'!$F:$F,0,Summary!K$2),'BPC Data'!$E:$E,Summary!$D386,'BPC Data'!$B:$B,Summary!$C386)</f>
        <v>0</v>
      </c>
      <c r="L386" s="92">
        <f ca="1">SUMIFS(OFFSET('BPC Data'!$F:$F,0,Summary!L$2),'BPC Data'!$E:$E,Summary!$D386,'BPC Data'!$B:$B,Summary!$C386)</f>
        <v>0</v>
      </c>
      <c r="M386" s="32"/>
      <c r="N386" s="110"/>
      <c r="O386" s="106">
        <f t="shared" si="142"/>
        <v>0</v>
      </c>
    </row>
    <row r="387" spans="1:15" s="16" customFormat="1" hidden="1" outlineLevel="1" x14ac:dyDescent="0.25">
      <c r="A387" s="16">
        <f t="shared" si="163"/>
        <v>35</v>
      </c>
      <c r="B387"/>
      <c r="C387">
        <f>$F383</f>
        <v>0</v>
      </c>
      <c r="D387" s="3" t="str">
        <f t="shared" si="147"/>
        <v>T_OPEX - Tenant Operating Expenses</v>
      </c>
      <c r="E387"/>
      <c r="F387" s="22" t="str">
        <f>_xll.EVDES(D387)</f>
        <v>Tenant Operating Expenses</v>
      </c>
      <c r="G387" s="18">
        <f ca="1">SUMIFS(OFFSET('BPC Data'!$F:$F,0,Summary!G$2),'BPC Data'!$E:$E,Summary!$D387,'BPC Data'!$B:$B,Summary!$C387)</f>
        <v>0</v>
      </c>
      <c r="H387" s="92">
        <f ca="1">SUMIFS(OFFSET('BPC Data'!$F:$F,0,Summary!H$2),'BPC Data'!$E:$E,Summary!$D387,'BPC Data'!$B:$B,Summary!$C387)</f>
        <v>0</v>
      </c>
      <c r="I387" s="18">
        <f ca="1">SUMIFS(OFFSET('BPC Data'!$F:$F,0,Summary!I$2),'BPC Data'!$E:$E,Summary!$D387,'BPC Data'!$B:$B,Summary!$C387)</f>
        <v>0</v>
      </c>
      <c r="J387" s="92">
        <f ca="1">SUMIFS(OFFSET('BPC Data'!$F:$F,0,Summary!J$2),'BPC Data'!$E:$E,Summary!$D387,'BPC Data'!$B:$B,Summary!$C387)</f>
        <v>0</v>
      </c>
      <c r="K387" s="18">
        <f ca="1">SUMIFS(OFFSET('BPC Data'!$F:$F,0,Summary!K$2),'BPC Data'!$E:$E,Summary!$D387,'BPC Data'!$B:$B,Summary!$C387)</f>
        <v>0</v>
      </c>
      <c r="L387" s="92">
        <f ca="1">SUMIFS(OFFSET('BPC Data'!$F:$F,0,Summary!L$2),'BPC Data'!$E:$E,Summary!$D387,'BPC Data'!$B:$B,Summary!$C387)</f>
        <v>0</v>
      </c>
      <c r="M387" s="32"/>
      <c r="N387" s="110"/>
      <c r="O387" s="106">
        <f t="shared" si="142"/>
        <v>0</v>
      </c>
    </row>
    <row r="388" spans="1:15" s="16" customFormat="1" hidden="1" outlineLevel="1" x14ac:dyDescent="0.25">
      <c r="A388" s="16">
        <f t="shared" si="163"/>
        <v>35</v>
      </c>
      <c r="B388"/>
      <c r="C388">
        <f>$F383</f>
        <v>0</v>
      </c>
      <c r="D388" s="3" t="str">
        <f t="shared" si="147"/>
        <v>T_BAD_DEBT - Tenant Bad Debt Expense</v>
      </c>
      <c r="E388"/>
      <c r="F388" s="22" t="str">
        <f>_xll.EVDES(D388)</f>
        <v>Tenant Bad Debt Expense</v>
      </c>
      <c r="G388" s="18">
        <f ca="1">SUMIFS(OFFSET('BPC Data'!$F:$F,0,Summary!G$2),'BPC Data'!$E:$E,Summary!$D388,'BPC Data'!$B:$B,Summary!$C388)</f>
        <v>0</v>
      </c>
      <c r="H388" s="92">
        <f ca="1">SUMIFS(OFFSET('BPC Data'!$F:$F,0,Summary!H$2),'BPC Data'!$E:$E,Summary!$D388,'BPC Data'!$B:$B,Summary!$C388)</f>
        <v>0</v>
      </c>
      <c r="I388" s="18">
        <f ca="1">SUMIFS(OFFSET('BPC Data'!$F:$F,0,Summary!I$2),'BPC Data'!$E:$E,Summary!$D388,'BPC Data'!$B:$B,Summary!$C388)</f>
        <v>0</v>
      </c>
      <c r="J388" s="92">
        <f ca="1">SUMIFS(OFFSET('BPC Data'!$F:$F,0,Summary!J$2),'BPC Data'!$E:$E,Summary!$D388,'BPC Data'!$B:$B,Summary!$C388)</f>
        <v>0</v>
      </c>
      <c r="K388" s="18">
        <f ca="1">SUMIFS(OFFSET('BPC Data'!$F:$F,0,Summary!K$2),'BPC Data'!$E:$E,Summary!$D388,'BPC Data'!$B:$B,Summary!$C388)</f>
        <v>0</v>
      </c>
      <c r="L388" s="92">
        <f ca="1">SUMIFS(OFFSET('BPC Data'!$F:$F,0,Summary!L$2),'BPC Data'!$E:$E,Summary!$D388,'BPC Data'!$B:$B,Summary!$C388)</f>
        <v>0</v>
      </c>
      <c r="M388" s="32"/>
      <c r="N388" s="110"/>
      <c r="O388" s="106">
        <f t="shared" si="142"/>
        <v>0</v>
      </c>
    </row>
    <row r="389" spans="1:15" s="16" customFormat="1" hidden="1" outlineLevel="1" x14ac:dyDescent="0.25">
      <c r="A389" s="16">
        <f t="shared" si="163"/>
        <v>35</v>
      </c>
      <c r="B389"/>
      <c r="C389">
        <f>$F383</f>
        <v>0</v>
      </c>
      <c r="D389" s="2" t="str">
        <f t="shared" si="147"/>
        <v>T_EBITDARM - EBITDARM</v>
      </c>
      <c r="E389"/>
      <c r="F389" s="22" t="str">
        <f>_xll.EVDES(D389)</f>
        <v>EBITDARM</v>
      </c>
      <c r="G389" s="18">
        <f ca="1">SUMIFS(OFFSET('BPC Data'!$F:$F,0,Summary!G$2),'BPC Data'!$E:$E,Summary!$D389,'BPC Data'!$B:$B,Summary!$C389)</f>
        <v>0</v>
      </c>
      <c r="H389" s="92">
        <f ca="1">SUMIFS(OFFSET('BPC Data'!$F:$F,0,Summary!H$2),'BPC Data'!$E:$E,Summary!$D389,'BPC Data'!$B:$B,Summary!$C389)</f>
        <v>0</v>
      </c>
      <c r="I389" s="18">
        <f ca="1">SUMIFS(OFFSET('BPC Data'!$F:$F,0,Summary!I$2),'BPC Data'!$E:$E,Summary!$D389,'BPC Data'!$B:$B,Summary!$C389)</f>
        <v>0</v>
      </c>
      <c r="J389" s="92">
        <f ca="1">SUMIFS(OFFSET('BPC Data'!$F:$F,0,Summary!J$2),'BPC Data'!$E:$E,Summary!$D389,'BPC Data'!$B:$B,Summary!$C389)</f>
        <v>0</v>
      </c>
      <c r="K389" s="18">
        <f ca="1">SUMIFS(OFFSET('BPC Data'!$F:$F,0,Summary!K$2),'BPC Data'!$E:$E,Summary!$D389,'BPC Data'!$B:$B,Summary!$C389)</f>
        <v>0</v>
      </c>
      <c r="L389" s="92">
        <f ca="1">SUMIFS(OFFSET('BPC Data'!$F:$F,0,Summary!L$2),'BPC Data'!$E:$E,Summary!$D389,'BPC Data'!$B:$B,Summary!$C389)</f>
        <v>0</v>
      </c>
      <c r="M389" s="32"/>
      <c r="N389" s="110"/>
      <c r="O389" s="106">
        <f t="shared" si="142"/>
        <v>0</v>
      </c>
    </row>
    <row r="390" spans="1:15" s="16" customFormat="1" hidden="1" outlineLevel="1" x14ac:dyDescent="0.25">
      <c r="A390" s="16">
        <f t="shared" si="163"/>
        <v>35</v>
      </c>
      <c r="B390"/>
      <c r="C390">
        <f>$F383</f>
        <v>0</v>
      </c>
      <c r="D390" s="2" t="str">
        <f t="shared" si="147"/>
        <v>T_MGMT_FEE - Tenant Management Fee - Actual</v>
      </c>
      <c r="E390"/>
      <c r="F390" s="22" t="str">
        <f>_xll.EVDES(D390)</f>
        <v>Tenant Management Fee - Actual</v>
      </c>
      <c r="G390" s="18">
        <f ca="1">SUMIFS(OFFSET('BPC Data'!$F:$F,0,Summary!G$2),'BPC Data'!$E:$E,Summary!$D390,'BPC Data'!$B:$B,Summary!$C390)</f>
        <v>0</v>
      </c>
      <c r="H390" s="92">
        <f ca="1">SUMIFS(OFFSET('BPC Data'!$F:$F,0,Summary!H$2),'BPC Data'!$E:$E,Summary!$D390,'BPC Data'!$B:$B,Summary!$C390)</f>
        <v>0</v>
      </c>
      <c r="I390" s="18">
        <f ca="1">SUMIFS(OFFSET('BPC Data'!$F:$F,0,Summary!I$2),'BPC Data'!$E:$E,Summary!$D390,'BPC Data'!$B:$B,Summary!$C390)</f>
        <v>0</v>
      </c>
      <c r="J390" s="92">
        <f ca="1">SUMIFS(OFFSET('BPC Data'!$F:$F,0,Summary!J$2),'BPC Data'!$E:$E,Summary!$D390,'BPC Data'!$B:$B,Summary!$C390)</f>
        <v>0</v>
      </c>
      <c r="K390" s="18">
        <f ca="1">SUMIFS(OFFSET('BPC Data'!$F:$F,0,Summary!K$2),'BPC Data'!$E:$E,Summary!$D390,'BPC Data'!$B:$B,Summary!$C390)</f>
        <v>0</v>
      </c>
      <c r="L390" s="92">
        <f ca="1">SUMIFS(OFFSET('BPC Data'!$F:$F,0,Summary!L$2),'BPC Data'!$E:$E,Summary!$D390,'BPC Data'!$B:$B,Summary!$C390)</f>
        <v>0</v>
      </c>
      <c r="M390" s="32"/>
      <c r="N390" s="110"/>
      <c r="O390" s="106">
        <f t="shared" si="142"/>
        <v>0</v>
      </c>
    </row>
    <row r="391" spans="1:15" s="16" customFormat="1" hidden="1" outlineLevel="1" x14ac:dyDescent="0.25">
      <c r="A391" s="16">
        <f t="shared" si="163"/>
        <v>35</v>
      </c>
      <c r="B391"/>
      <c r="C391">
        <f>$F383</f>
        <v>0</v>
      </c>
      <c r="D391" s="1" t="str">
        <f t="shared" si="147"/>
        <v>T_EBITDAR - EBITDAR</v>
      </c>
      <c r="E391"/>
      <c r="F391" s="22" t="str">
        <f>_xll.EVDES(D391)</f>
        <v>EBITDAR</v>
      </c>
      <c r="G391" s="18">
        <f ca="1">SUMIFS(OFFSET('BPC Data'!$F:$F,0,Summary!G$2),'BPC Data'!$E:$E,Summary!$D391,'BPC Data'!$B:$B,Summary!$C391)</f>
        <v>0</v>
      </c>
      <c r="H391" s="92">
        <f ca="1">SUMIFS(OFFSET('BPC Data'!$F:$F,0,Summary!H$2),'BPC Data'!$E:$E,Summary!$D391,'BPC Data'!$B:$B,Summary!$C391)</f>
        <v>0</v>
      </c>
      <c r="I391" s="18">
        <f ca="1">SUMIFS(OFFSET('BPC Data'!$F:$F,0,Summary!I$2),'BPC Data'!$E:$E,Summary!$D391,'BPC Data'!$B:$B,Summary!$C391)</f>
        <v>0</v>
      </c>
      <c r="J391" s="92">
        <f ca="1">SUMIFS(OFFSET('BPC Data'!$F:$F,0,Summary!J$2),'BPC Data'!$E:$E,Summary!$D391,'BPC Data'!$B:$B,Summary!$C391)</f>
        <v>0</v>
      </c>
      <c r="K391" s="18">
        <f ca="1">SUMIFS(OFFSET('BPC Data'!$F:$F,0,Summary!K$2),'BPC Data'!$E:$E,Summary!$D391,'BPC Data'!$B:$B,Summary!$C391)</f>
        <v>0</v>
      </c>
      <c r="L391" s="92">
        <f ca="1">SUMIFS(OFFSET('BPC Data'!$F:$F,0,Summary!L$2),'BPC Data'!$E:$E,Summary!$D391,'BPC Data'!$B:$B,Summary!$C391)</f>
        <v>0</v>
      </c>
      <c r="M391" s="32"/>
      <c r="N391" s="110"/>
      <c r="O391" s="106">
        <f t="shared" si="142"/>
        <v>0</v>
      </c>
    </row>
    <row r="392" spans="1:15" s="16" customFormat="1" hidden="1" outlineLevel="1" x14ac:dyDescent="0.25">
      <c r="A392" s="16">
        <f t="shared" si="163"/>
        <v>35</v>
      </c>
      <c r="B392"/>
      <c r="C392">
        <f>$F383</f>
        <v>0</v>
      </c>
      <c r="D392" s="1" t="str">
        <f t="shared" si="147"/>
        <v>T_RENT_EXP - Tenant Rent Expense</v>
      </c>
      <c r="E392"/>
      <c r="F392" s="22" t="str">
        <f>_xll.EVDES(D392)</f>
        <v>Tenant Rent Expense</v>
      </c>
      <c r="G392" s="18">
        <f ca="1">SUMIFS(OFFSET('BPC Data'!$F:$F,0,Summary!G$2),'BPC Data'!$E:$E,Summary!$D392,'BPC Data'!$B:$B,Summary!$C392)</f>
        <v>0</v>
      </c>
      <c r="H392" s="92">
        <f ca="1">SUMIFS(OFFSET('BPC Data'!$F:$F,0,Summary!H$2),'BPC Data'!$E:$E,Summary!$D392,'BPC Data'!$B:$B,Summary!$C392)</f>
        <v>0</v>
      </c>
      <c r="I392" s="18">
        <f ca="1">SUMIFS(OFFSET('BPC Data'!$F:$F,0,Summary!I$2),'BPC Data'!$E:$E,Summary!$D392,'BPC Data'!$B:$B,Summary!$C392)</f>
        <v>0</v>
      </c>
      <c r="J392" s="92">
        <f ca="1">SUMIFS(OFFSET('BPC Data'!$F:$F,0,Summary!J$2),'BPC Data'!$E:$E,Summary!$D392,'BPC Data'!$B:$B,Summary!$C392)</f>
        <v>0</v>
      </c>
      <c r="K392" s="18">
        <f ca="1">SUMIFS(OFFSET('BPC Data'!$F:$F,0,Summary!K$2),'BPC Data'!$E:$E,Summary!$D392,'BPC Data'!$B:$B,Summary!$C392)</f>
        <v>0</v>
      </c>
      <c r="L392" s="92">
        <f ca="1">SUMIFS(OFFSET('BPC Data'!$F:$F,0,Summary!L$2),'BPC Data'!$E:$E,Summary!$D392,'BPC Data'!$B:$B,Summary!$C392)</f>
        <v>0</v>
      </c>
      <c r="M392" s="32"/>
      <c r="N392" s="110"/>
      <c r="O392" s="106">
        <f t="shared" si="142"/>
        <v>0</v>
      </c>
    </row>
    <row r="393" spans="1:15" s="16" customFormat="1" hidden="1" outlineLevel="1" x14ac:dyDescent="0.25">
      <c r="A393" s="16">
        <f t="shared" si="163"/>
        <v>35</v>
      </c>
      <c r="B393"/>
      <c r="C393"/>
      <c r="D393" s="1" t="str">
        <f t="shared" si="147"/>
        <v>x</v>
      </c>
      <c r="E393"/>
      <c r="F393" s="22" t="s">
        <v>0</v>
      </c>
      <c r="G393" s="11" t="e">
        <f t="shared" ref="G393:H393" ca="1" si="164">G391/G392</f>
        <v>#DIV/0!</v>
      </c>
      <c r="H393" s="93" t="e">
        <f t="shared" ca="1" si="164"/>
        <v>#DIV/0!</v>
      </c>
      <c r="I393" s="11" t="e">
        <f t="shared" ref="I393:J393" ca="1" si="165">I391/I392</f>
        <v>#DIV/0!</v>
      </c>
      <c r="J393" s="93" t="e">
        <f t="shared" ca="1" si="165"/>
        <v>#DIV/0!</v>
      </c>
      <c r="K393" s="11" t="e">
        <f t="shared" ref="K393:L393" ca="1" si="166">K391/K392</f>
        <v>#DIV/0!</v>
      </c>
      <c r="L393" s="93" t="e">
        <f t="shared" ca="1" si="166"/>
        <v>#DIV/0!</v>
      </c>
      <c r="M393" s="32"/>
      <c r="N393" s="110"/>
      <c r="O393" s="106">
        <f t="shared" si="142"/>
        <v>0</v>
      </c>
    </row>
    <row r="394" spans="1:15" s="16" customFormat="1" hidden="1" outlineLevel="1" x14ac:dyDescent="0.25">
      <c r="A394" s="16">
        <f>IF(AND(D394&lt;&gt;"",C394=""),A393+1,A393)</f>
        <v>36</v>
      </c>
      <c r="B394" s="4"/>
      <c r="C394" s="4"/>
      <c r="D394" s="4" t="str">
        <f t="shared" si="147"/>
        <v>x</v>
      </c>
      <c r="E394" s="4"/>
      <c r="F394" s="21">
        <f>INDEX(PropertyList!$D:$D,MATCH(Summary!$A394,PropertyList!$C:$C,0))</f>
        <v>0</v>
      </c>
      <c r="G394" s="10"/>
      <c r="H394" s="91"/>
      <c r="I394" s="10"/>
      <c r="J394" s="91"/>
      <c r="K394" s="10"/>
      <c r="L394" s="91"/>
      <c r="M394" s="32"/>
      <c r="N394" s="110"/>
      <c r="O394" s="106">
        <f t="shared" si="142"/>
        <v>0</v>
      </c>
    </row>
    <row r="395" spans="1:15" s="16" customFormat="1" hidden="1" outlineLevel="1" x14ac:dyDescent="0.25">
      <c r="A395" s="16">
        <f>IF(AND(F395&lt;&gt;"",D395=""),A394+1,A394)</f>
        <v>36</v>
      </c>
      <c r="C395">
        <f>$F394</f>
        <v>0</v>
      </c>
      <c r="D395" s="3" t="str">
        <f t="shared" si="147"/>
        <v>PAY_PAT_DAYS - Total Payor Patient Days</v>
      </c>
      <c r="F395" s="22" t="str">
        <f>_xll.EVDES(D395)</f>
        <v>Total Payor Patient Days</v>
      </c>
      <c r="G395" s="18">
        <f ca="1">SUMIFS(OFFSET('BPC Data'!$F:$F,0,Summary!G$2),'BPC Data'!$E:$E,Summary!$D395,'BPC Data'!$B:$B,Summary!$C395)</f>
        <v>0</v>
      </c>
      <c r="H395" s="92">
        <f ca="1">SUMIFS(OFFSET('BPC Data'!$F:$F,0,Summary!H$2),'BPC Data'!$E:$E,Summary!$D395,'BPC Data'!$B:$B,Summary!$C395)</f>
        <v>0</v>
      </c>
      <c r="I395" s="18">
        <f ca="1">SUMIFS(OFFSET('BPC Data'!$F:$F,0,Summary!I$2),'BPC Data'!$E:$E,Summary!$D395,'BPC Data'!$B:$B,Summary!$C395)</f>
        <v>0</v>
      </c>
      <c r="J395" s="92">
        <f ca="1">SUMIFS(OFFSET('BPC Data'!$F:$F,0,Summary!J$2),'BPC Data'!$E:$E,Summary!$D395,'BPC Data'!$B:$B,Summary!$C395)</f>
        <v>0</v>
      </c>
      <c r="K395" s="18">
        <f ca="1">SUMIFS(OFFSET('BPC Data'!$F:$F,0,Summary!K$2),'BPC Data'!$E:$E,Summary!$D395,'BPC Data'!$B:$B,Summary!$C395)</f>
        <v>0</v>
      </c>
      <c r="L395" s="92">
        <f ca="1">SUMIFS(OFFSET('BPC Data'!$F:$F,0,Summary!L$2),'BPC Data'!$E:$E,Summary!$D395,'BPC Data'!$B:$B,Summary!$C395)</f>
        <v>0</v>
      </c>
      <c r="M395" s="32"/>
      <c r="N395" s="110"/>
      <c r="O395" s="106">
        <f t="shared" si="142"/>
        <v>0</v>
      </c>
    </row>
    <row r="396" spans="1:15" s="16" customFormat="1" hidden="1" outlineLevel="1" x14ac:dyDescent="0.25">
      <c r="A396" s="16">
        <f t="shared" ref="A396:A404" si="167">IF(AND(F396&lt;&gt;"",D396=""),A395+1,A395)</f>
        <v>36</v>
      </c>
      <c r="C396">
        <f>$F394</f>
        <v>0</v>
      </c>
      <c r="D396" s="3" t="str">
        <f t="shared" si="147"/>
        <v>A_BEDS_TOTAL - Total Available Beds</v>
      </c>
      <c r="F396" s="22" t="str">
        <f>_xll.EVDES(D396)</f>
        <v>Total Available Beds</v>
      </c>
      <c r="G396" s="18">
        <f ca="1">SUMIFS(OFFSET('BPC Data'!$F:$F,0,Summary!G$2),'BPC Data'!$E:$E,Summary!$D396,'BPC Data'!$B:$B,Summary!$C396)</f>
        <v>0</v>
      </c>
      <c r="H396" s="92">
        <f ca="1">SUMIFS(OFFSET('BPC Data'!$F:$F,0,Summary!H$2),'BPC Data'!$E:$E,Summary!$D396,'BPC Data'!$B:$B,Summary!$C396)</f>
        <v>0</v>
      </c>
      <c r="I396" s="18">
        <f ca="1">SUMIFS(OFFSET('BPC Data'!$F:$F,0,Summary!I$2),'BPC Data'!$E:$E,Summary!$D396,'BPC Data'!$B:$B,Summary!$C396)</f>
        <v>0</v>
      </c>
      <c r="J396" s="92">
        <f ca="1">SUMIFS(OFFSET('BPC Data'!$F:$F,0,Summary!J$2),'BPC Data'!$E:$E,Summary!$D396,'BPC Data'!$B:$B,Summary!$C396)</f>
        <v>0</v>
      </c>
      <c r="K396" s="18">
        <f ca="1">SUMIFS(OFFSET('BPC Data'!$F:$F,0,Summary!K$2),'BPC Data'!$E:$E,Summary!$D396,'BPC Data'!$B:$B,Summary!$C396)</f>
        <v>0</v>
      </c>
      <c r="L396" s="92">
        <f ca="1">SUMIFS(OFFSET('BPC Data'!$F:$F,0,Summary!L$2),'BPC Data'!$E:$E,Summary!$D396,'BPC Data'!$B:$B,Summary!$C396)</f>
        <v>0</v>
      </c>
      <c r="M396" s="32"/>
      <c r="N396" s="110"/>
      <c r="O396" s="106">
        <f t="shared" ref="O396:O459" si="168">N396-M396</f>
        <v>0</v>
      </c>
    </row>
    <row r="397" spans="1:15" s="16" customFormat="1" hidden="1" outlineLevel="1" x14ac:dyDescent="0.25">
      <c r="A397" s="16">
        <f t="shared" si="167"/>
        <v>36</v>
      </c>
      <c r="B397"/>
      <c r="C397">
        <f>$F394</f>
        <v>0</v>
      </c>
      <c r="D397" s="3" t="str">
        <f t="shared" si="147"/>
        <v>T_REVENUES - Total Tenant Revenues</v>
      </c>
      <c r="E397"/>
      <c r="F397" s="22" t="str">
        <f>_xll.EVDES(D397)</f>
        <v>Total Tenant Revenues</v>
      </c>
      <c r="G397" s="18">
        <f ca="1">SUMIFS(OFFSET('BPC Data'!$F:$F,0,Summary!G$2),'BPC Data'!$E:$E,Summary!$D397,'BPC Data'!$B:$B,Summary!$C397)</f>
        <v>0</v>
      </c>
      <c r="H397" s="92">
        <f ca="1">SUMIFS(OFFSET('BPC Data'!$F:$F,0,Summary!H$2),'BPC Data'!$E:$E,Summary!$D397,'BPC Data'!$B:$B,Summary!$C397)</f>
        <v>0</v>
      </c>
      <c r="I397" s="18">
        <f ca="1">SUMIFS(OFFSET('BPC Data'!$F:$F,0,Summary!I$2),'BPC Data'!$E:$E,Summary!$D397,'BPC Data'!$B:$B,Summary!$C397)</f>
        <v>0</v>
      </c>
      <c r="J397" s="92">
        <f ca="1">SUMIFS(OFFSET('BPC Data'!$F:$F,0,Summary!J$2),'BPC Data'!$E:$E,Summary!$D397,'BPC Data'!$B:$B,Summary!$C397)</f>
        <v>0</v>
      </c>
      <c r="K397" s="18">
        <f ca="1">SUMIFS(OFFSET('BPC Data'!$F:$F,0,Summary!K$2),'BPC Data'!$E:$E,Summary!$D397,'BPC Data'!$B:$B,Summary!$C397)</f>
        <v>0</v>
      </c>
      <c r="L397" s="92">
        <f ca="1">SUMIFS(OFFSET('BPC Data'!$F:$F,0,Summary!L$2),'BPC Data'!$E:$E,Summary!$D397,'BPC Data'!$B:$B,Summary!$C397)</f>
        <v>0</v>
      </c>
      <c r="M397" s="32"/>
      <c r="N397" s="110"/>
      <c r="O397" s="106">
        <f t="shared" si="168"/>
        <v>0</v>
      </c>
    </row>
    <row r="398" spans="1:15" s="16" customFormat="1" hidden="1" outlineLevel="1" x14ac:dyDescent="0.25">
      <c r="A398" s="16">
        <f t="shared" si="167"/>
        <v>36</v>
      </c>
      <c r="B398"/>
      <c r="C398">
        <f>$F394</f>
        <v>0</v>
      </c>
      <c r="D398" s="3" t="str">
        <f t="shared" si="147"/>
        <v>T_OPEX - Tenant Operating Expenses</v>
      </c>
      <c r="E398"/>
      <c r="F398" s="22" t="str">
        <f>_xll.EVDES(D398)</f>
        <v>Tenant Operating Expenses</v>
      </c>
      <c r="G398" s="18">
        <f ca="1">SUMIFS(OFFSET('BPC Data'!$F:$F,0,Summary!G$2),'BPC Data'!$E:$E,Summary!$D398,'BPC Data'!$B:$B,Summary!$C398)</f>
        <v>0</v>
      </c>
      <c r="H398" s="92">
        <f ca="1">SUMIFS(OFFSET('BPC Data'!$F:$F,0,Summary!H$2),'BPC Data'!$E:$E,Summary!$D398,'BPC Data'!$B:$B,Summary!$C398)</f>
        <v>0</v>
      </c>
      <c r="I398" s="18">
        <f ca="1">SUMIFS(OFFSET('BPC Data'!$F:$F,0,Summary!I$2),'BPC Data'!$E:$E,Summary!$D398,'BPC Data'!$B:$B,Summary!$C398)</f>
        <v>0</v>
      </c>
      <c r="J398" s="92">
        <f ca="1">SUMIFS(OFFSET('BPC Data'!$F:$F,0,Summary!J$2),'BPC Data'!$E:$E,Summary!$D398,'BPC Data'!$B:$B,Summary!$C398)</f>
        <v>0</v>
      </c>
      <c r="K398" s="18">
        <f ca="1">SUMIFS(OFFSET('BPC Data'!$F:$F,0,Summary!K$2),'BPC Data'!$E:$E,Summary!$D398,'BPC Data'!$B:$B,Summary!$C398)</f>
        <v>0</v>
      </c>
      <c r="L398" s="92">
        <f ca="1">SUMIFS(OFFSET('BPC Data'!$F:$F,0,Summary!L$2),'BPC Data'!$E:$E,Summary!$D398,'BPC Data'!$B:$B,Summary!$C398)</f>
        <v>0</v>
      </c>
      <c r="M398" s="32"/>
      <c r="N398" s="110"/>
      <c r="O398" s="106">
        <f t="shared" si="168"/>
        <v>0</v>
      </c>
    </row>
    <row r="399" spans="1:15" s="16" customFormat="1" hidden="1" outlineLevel="1" x14ac:dyDescent="0.25">
      <c r="A399" s="16">
        <f t="shared" si="167"/>
        <v>36</v>
      </c>
      <c r="B399"/>
      <c r="C399">
        <f>$F394</f>
        <v>0</v>
      </c>
      <c r="D399" s="3" t="str">
        <f t="shared" si="147"/>
        <v>T_BAD_DEBT - Tenant Bad Debt Expense</v>
      </c>
      <c r="E399"/>
      <c r="F399" s="22" t="str">
        <f>_xll.EVDES(D399)</f>
        <v>Tenant Bad Debt Expense</v>
      </c>
      <c r="G399" s="18">
        <f ca="1">SUMIFS(OFFSET('BPC Data'!$F:$F,0,Summary!G$2),'BPC Data'!$E:$E,Summary!$D399,'BPC Data'!$B:$B,Summary!$C399)</f>
        <v>0</v>
      </c>
      <c r="H399" s="92">
        <f ca="1">SUMIFS(OFFSET('BPC Data'!$F:$F,0,Summary!H$2),'BPC Data'!$E:$E,Summary!$D399,'BPC Data'!$B:$B,Summary!$C399)</f>
        <v>0</v>
      </c>
      <c r="I399" s="18">
        <f ca="1">SUMIFS(OFFSET('BPC Data'!$F:$F,0,Summary!I$2),'BPC Data'!$E:$E,Summary!$D399,'BPC Data'!$B:$B,Summary!$C399)</f>
        <v>0</v>
      </c>
      <c r="J399" s="92">
        <f ca="1">SUMIFS(OFFSET('BPC Data'!$F:$F,0,Summary!J$2),'BPC Data'!$E:$E,Summary!$D399,'BPC Data'!$B:$B,Summary!$C399)</f>
        <v>0</v>
      </c>
      <c r="K399" s="18">
        <f ca="1">SUMIFS(OFFSET('BPC Data'!$F:$F,0,Summary!K$2),'BPC Data'!$E:$E,Summary!$D399,'BPC Data'!$B:$B,Summary!$C399)</f>
        <v>0</v>
      </c>
      <c r="L399" s="92">
        <f ca="1">SUMIFS(OFFSET('BPC Data'!$F:$F,0,Summary!L$2),'BPC Data'!$E:$E,Summary!$D399,'BPC Data'!$B:$B,Summary!$C399)</f>
        <v>0</v>
      </c>
      <c r="M399" s="32"/>
      <c r="N399" s="110"/>
      <c r="O399" s="106">
        <f t="shared" si="168"/>
        <v>0</v>
      </c>
    </row>
    <row r="400" spans="1:15" s="16" customFormat="1" hidden="1" outlineLevel="1" x14ac:dyDescent="0.25">
      <c r="A400" s="16">
        <f t="shared" si="167"/>
        <v>36</v>
      </c>
      <c r="B400"/>
      <c r="C400">
        <f>$F394</f>
        <v>0</v>
      </c>
      <c r="D400" s="2" t="str">
        <f t="shared" si="147"/>
        <v>T_EBITDARM - EBITDARM</v>
      </c>
      <c r="E400"/>
      <c r="F400" s="22" t="str">
        <f>_xll.EVDES(D400)</f>
        <v>EBITDARM</v>
      </c>
      <c r="G400" s="18">
        <f ca="1">SUMIFS(OFFSET('BPC Data'!$F:$F,0,Summary!G$2),'BPC Data'!$E:$E,Summary!$D400,'BPC Data'!$B:$B,Summary!$C400)</f>
        <v>0</v>
      </c>
      <c r="H400" s="92">
        <f ca="1">SUMIFS(OFFSET('BPC Data'!$F:$F,0,Summary!H$2),'BPC Data'!$E:$E,Summary!$D400,'BPC Data'!$B:$B,Summary!$C400)</f>
        <v>0</v>
      </c>
      <c r="I400" s="18">
        <f ca="1">SUMIFS(OFFSET('BPC Data'!$F:$F,0,Summary!I$2),'BPC Data'!$E:$E,Summary!$D400,'BPC Data'!$B:$B,Summary!$C400)</f>
        <v>0</v>
      </c>
      <c r="J400" s="92">
        <f ca="1">SUMIFS(OFFSET('BPC Data'!$F:$F,0,Summary!J$2),'BPC Data'!$E:$E,Summary!$D400,'BPC Data'!$B:$B,Summary!$C400)</f>
        <v>0</v>
      </c>
      <c r="K400" s="18">
        <f ca="1">SUMIFS(OFFSET('BPC Data'!$F:$F,0,Summary!K$2),'BPC Data'!$E:$E,Summary!$D400,'BPC Data'!$B:$B,Summary!$C400)</f>
        <v>0</v>
      </c>
      <c r="L400" s="92">
        <f ca="1">SUMIFS(OFFSET('BPC Data'!$F:$F,0,Summary!L$2),'BPC Data'!$E:$E,Summary!$D400,'BPC Data'!$B:$B,Summary!$C400)</f>
        <v>0</v>
      </c>
      <c r="M400" s="32"/>
      <c r="N400" s="110"/>
      <c r="O400" s="106">
        <f t="shared" si="168"/>
        <v>0</v>
      </c>
    </row>
    <row r="401" spans="1:15" s="16" customFormat="1" hidden="1" outlineLevel="1" x14ac:dyDescent="0.25">
      <c r="A401" s="16">
        <f t="shared" si="167"/>
        <v>36</v>
      </c>
      <c r="B401"/>
      <c r="C401">
        <f>$F394</f>
        <v>0</v>
      </c>
      <c r="D401" s="2" t="str">
        <f t="shared" si="147"/>
        <v>T_MGMT_FEE - Tenant Management Fee - Actual</v>
      </c>
      <c r="E401"/>
      <c r="F401" s="22" t="str">
        <f>_xll.EVDES(D401)</f>
        <v>Tenant Management Fee - Actual</v>
      </c>
      <c r="G401" s="18">
        <f ca="1">SUMIFS(OFFSET('BPC Data'!$F:$F,0,Summary!G$2),'BPC Data'!$E:$E,Summary!$D401,'BPC Data'!$B:$B,Summary!$C401)</f>
        <v>0</v>
      </c>
      <c r="H401" s="92">
        <f ca="1">SUMIFS(OFFSET('BPC Data'!$F:$F,0,Summary!H$2),'BPC Data'!$E:$E,Summary!$D401,'BPC Data'!$B:$B,Summary!$C401)</f>
        <v>0</v>
      </c>
      <c r="I401" s="18">
        <f ca="1">SUMIFS(OFFSET('BPC Data'!$F:$F,0,Summary!I$2),'BPC Data'!$E:$E,Summary!$D401,'BPC Data'!$B:$B,Summary!$C401)</f>
        <v>0</v>
      </c>
      <c r="J401" s="92">
        <f ca="1">SUMIFS(OFFSET('BPC Data'!$F:$F,0,Summary!J$2),'BPC Data'!$E:$E,Summary!$D401,'BPC Data'!$B:$B,Summary!$C401)</f>
        <v>0</v>
      </c>
      <c r="K401" s="18">
        <f ca="1">SUMIFS(OFFSET('BPC Data'!$F:$F,0,Summary!K$2),'BPC Data'!$E:$E,Summary!$D401,'BPC Data'!$B:$B,Summary!$C401)</f>
        <v>0</v>
      </c>
      <c r="L401" s="92">
        <f ca="1">SUMIFS(OFFSET('BPC Data'!$F:$F,0,Summary!L$2),'BPC Data'!$E:$E,Summary!$D401,'BPC Data'!$B:$B,Summary!$C401)</f>
        <v>0</v>
      </c>
      <c r="M401" s="32"/>
      <c r="N401" s="110"/>
      <c r="O401" s="106">
        <f t="shared" si="168"/>
        <v>0</v>
      </c>
    </row>
    <row r="402" spans="1:15" s="16" customFormat="1" hidden="1" outlineLevel="1" x14ac:dyDescent="0.25">
      <c r="A402" s="16">
        <f t="shared" si="167"/>
        <v>36</v>
      </c>
      <c r="B402"/>
      <c r="C402">
        <f>$F394</f>
        <v>0</v>
      </c>
      <c r="D402" s="1" t="str">
        <f t="shared" si="147"/>
        <v>T_EBITDAR - EBITDAR</v>
      </c>
      <c r="E402"/>
      <c r="F402" s="22" t="str">
        <f>_xll.EVDES(D402)</f>
        <v>EBITDAR</v>
      </c>
      <c r="G402" s="18">
        <f ca="1">SUMIFS(OFFSET('BPC Data'!$F:$F,0,Summary!G$2),'BPC Data'!$E:$E,Summary!$D402,'BPC Data'!$B:$B,Summary!$C402)</f>
        <v>0</v>
      </c>
      <c r="H402" s="92">
        <f ca="1">SUMIFS(OFFSET('BPC Data'!$F:$F,0,Summary!H$2),'BPC Data'!$E:$E,Summary!$D402,'BPC Data'!$B:$B,Summary!$C402)</f>
        <v>0</v>
      </c>
      <c r="I402" s="18">
        <f ca="1">SUMIFS(OFFSET('BPC Data'!$F:$F,0,Summary!I$2),'BPC Data'!$E:$E,Summary!$D402,'BPC Data'!$B:$B,Summary!$C402)</f>
        <v>0</v>
      </c>
      <c r="J402" s="92">
        <f ca="1">SUMIFS(OFFSET('BPC Data'!$F:$F,0,Summary!J$2),'BPC Data'!$E:$E,Summary!$D402,'BPC Data'!$B:$B,Summary!$C402)</f>
        <v>0</v>
      </c>
      <c r="K402" s="18">
        <f ca="1">SUMIFS(OFFSET('BPC Data'!$F:$F,0,Summary!K$2),'BPC Data'!$E:$E,Summary!$D402,'BPC Data'!$B:$B,Summary!$C402)</f>
        <v>0</v>
      </c>
      <c r="L402" s="92">
        <f ca="1">SUMIFS(OFFSET('BPC Data'!$F:$F,0,Summary!L$2),'BPC Data'!$E:$E,Summary!$D402,'BPC Data'!$B:$B,Summary!$C402)</f>
        <v>0</v>
      </c>
      <c r="M402" s="32"/>
      <c r="N402" s="110"/>
      <c r="O402" s="106">
        <f t="shared" si="168"/>
        <v>0</v>
      </c>
    </row>
    <row r="403" spans="1:15" s="16" customFormat="1" hidden="1" outlineLevel="1" x14ac:dyDescent="0.25">
      <c r="A403" s="16">
        <f t="shared" si="167"/>
        <v>36</v>
      </c>
      <c r="B403"/>
      <c r="C403">
        <f>$F394</f>
        <v>0</v>
      </c>
      <c r="D403" s="1" t="str">
        <f t="shared" si="147"/>
        <v>T_RENT_EXP - Tenant Rent Expense</v>
      </c>
      <c r="E403"/>
      <c r="F403" s="22" t="str">
        <f>_xll.EVDES(D403)</f>
        <v>Tenant Rent Expense</v>
      </c>
      <c r="G403" s="18">
        <f ca="1">SUMIFS(OFFSET('BPC Data'!$F:$F,0,Summary!G$2),'BPC Data'!$E:$E,Summary!$D403,'BPC Data'!$B:$B,Summary!$C403)</f>
        <v>0</v>
      </c>
      <c r="H403" s="92">
        <f ca="1">SUMIFS(OFFSET('BPC Data'!$F:$F,0,Summary!H$2),'BPC Data'!$E:$E,Summary!$D403,'BPC Data'!$B:$B,Summary!$C403)</f>
        <v>0</v>
      </c>
      <c r="I403" s="18">
        <f ca="1">SUMIFS(OFFSET('BPC Data'!$F:$F,0,Summary!I$2),'BPC Data'!$E:$E,Summary!$D403,'BPC Data'!$B:$B,Summary!$C403)</f>
        <v>0</v>
      </c>
      <c r="J403" s="92">
        <f ca="1">SUMIFS(OFFSET('BPC Data'!$F:$F,0,Summary!J$2),'BPC Data'!$E:$E,Summary!$D403,'BPC Data'!$B:$B,Summary!$C403)</f>
        <v>0</v>
      </c>
      <c r="K403" s="18">
        <f ca="1">SUMIFS(OFFSET('BPC Data'!$F:$F,0,Summary!K$2),'BPC Data'!$E:$E,Summary!$D403,'BPC Data'!$B:$B,Summary!$C403)</f>
        <v>0</v>
      </c>
      <c r="L403" s="92">
        <f ca="1">SUMIFS(OFFSET('BPC Data'!$F:$F,0,Summary!L$2),'BPC Data'!$E:$E,Summary!$D403,'BPC Data'!$B:$B,Summary!$C403)</f>
        <v>0</v>
      </c>
      <c r="M403" s="32"/>
      <c r="N403" s="110"/>
      <c r="O403" s="106">
        <f t="shared" si="168"/>
        <v>0</v>
      </c>
    </row>
    <row r="404" spans="1:15" s="16" customFormat="1" hidden="1" outlineLevel="1" x14ac:dyDescent="0.25">
      <c r="A404" s="16">
        <f t="shared" si="167"/>
        <v>36</v>
      </c>
      <c r="B404"/>
      <c r="C404"/>
      <c r="D404" s="1" t="str">
        <f t="shared" si="147"/>
        <v>x</v>
      </c>
      <c r="E404"/>
      <c r="F404" s="22" t="s">
        <v>0</v>
      </c>
      <c r="G404" s="11" t="e">
        <f t="shared" ref="G404:H404" ca="1" si="169">G402/G403</f>
        <v>#DIV/0!</v>
      </c>
      <c r="H404" s="93" t="e">
        <f t="shared" ca="1" si="169"/>
        <v>#DIV/0!</v>
      </c>
      <c r="I404" s="11" t="e">
        <f t="shared" ref="I404:J404" ca="1" si="170">I402/I403</f>
        <v>#DIV/0!</v>
      </c>
      <c r="J404" s="93" t="e">
        <f t="shared" ca="1" si="170"/>
        <v>#DIV/0!</v>
      </c>
      <c r="K404" s="11" t="e">
        <f t="shared" ref="K404:L404" ca="1" si="171">K402/K403</f>
        <v>#DIV/0!</v>
      </c>
      <c r="L404" s="93" t="e">
        <f t="shared" ca="1" si="171"/>
        <v>#DIV/0!</v>
      </c>
      <c r="M404" s="32"/>
      <c r="N404" s="110"/>
      <c r="O404" s="106">
        <f t="shared" si="168"/>
        <v>0</v>
      </c>
    </row>
    <row r="405" spans="1:15" s="16" customFormat="1" hidden="1" outlineLevel="1" x14ac:dyDescent="0.25">
      <c r="A405" s="16">
        <f>IF(AND(D405&lt;&gt;"",C405=""),A404+1,A404)</f>
        <v>37</v>
      </c>
      <c r="B405" s="4"/>
      <c r="C405" s="4"/>
      <c r="D405" s="4" t="str">
        <f t="shared" si="147"/>
        <v>x</v>
      </c>
      <c r="E405" s="4"/>
      <c r="F405" s="21">
        <f>INDEX(PropertyList!$D:$D,MATCH(Summary!$A405,PropertyList!$C:$C,0))</f>
        <v>0</v>
      </c>
      <c r="G405" s="10"/>
      <c r="H405" s="91"/>
      <c r="I405" s="10"/>
      <c r="J405" s="91"/>
      <c r="K405" s="10"/>
      <c r="L405" s="91"/>
      <c r="M405" s="32"/>
      <c r="N405" s="110"/>
      <c r="O405" s="106">
        <f t="shared" si="168"/>
        <v>0</v>
      </c>
    </row>
    <row r="406" spans="1:15" s="16" customFormat="1" hidden="1" outlineLevel="1" x14ac:dyDescent="0.25">
      <c r="A406" s="16">
        <f>IF(AND(F406&lt;&gt;"",D406=""),A405+1,A405)</f>
        <v>37</v>
      </c>
      <c r="C406">
        <f>$F405</f>
        <v>0</v>
      </c>
      <c r="D406" s="3" t="str">
        <f t="shared" ref="D406:D469" si="172">$D395</f>
        <v>PAY_PAT_DAYS - Total Payor Patient Days</v>
      </c>
      <c r="F406" s="22" t="str">
        <f>_xll.EVDES(D406)</f>
        <v>Total Payor Patient Days</v>
      </c>
      <c r="G406" s="18">
        <f ca="1">SUMIFS(OFFSET('BPC Data'!$F:$F,0,Summary!G$2),'BPC Data'!$E:$E,Summary!$D406,'BPC Data'!$B:$B,Summary!$C406)</f>
        <v>0</v>
      </c>
      <c r="H406" s="92">
        <f ca="1">SUMIFS(OFFSET('BPC Data'!$F:$F,0,Summary!H$2),'BPC Data'!$E:$E,Summary!$D406,'BPC Data'!$B:$B,Summary!$C406)</f>
        <v>0</v>
      </c>
      <c r="I406" s="18">
        <f ca="1">SUMIFS(OFFSET('BPC Data'!$F:$F,0,Summary!I$2),'BPC Data'!$E:$E,Summary!$D406,'BPC Data'!$B:$B,Summary!$C406)</f>
        <v>0</v>
      </c>
      <c r="J406" s="92">
        <f ca="1">SUMIFS(OFFSET('BPC Data'!$F:$F,0,Summary!J$2),'BPC Data'!$E:$E,Summary!$D406,'BPC Data'!$B:$B,Summary!$C406)</f>
        <v>0</v>
      </c>
      <c r="K406" s="18">
        <f ca="1">SUMIFS(OFFSET('BPC Data'!$F:$F,0,Summary!K$2),'BPC Data'!$E:$E,Summary!$D406,'BPC Data'!$B:$B,Summary!$C406)</f>
        <v>0</v>
      </c>
      <c r="L406" s="92">
        <f ca="1">SUMIFS(OFFSET('BPC Data'!$F:$F,0,Summary!L$2),'BPC Data'!$E:$E,Summary!$D406,'BPC Data'!$B:$B,Summary!$C406)</f>
        <v>0</v>
      </c>
      <c r="M406" s="32"/>
      <c r="N406" s="110"/>
      <c r="O406" s="106">
        <f t="shared" si="168"/>
        <v>0</v>
      </c>
    </row>
    <row r="407" spans="1:15" s="16" customFormat="1" hidden="1" outlineLevel="1" x14ac:dyDescent="0.25">
      <c r="A407" s="16">
        <f t="shared" ref="A407:A415" si="173">IF(AND(F407&lt;&gt;"",D407=""),A406+1,A406)</f>
        <v>37</v>
      </c>
      <c r="C407">
        <f>$F405</f>
        <v>0</v>
      </c>
      <c r="D407" s="3" t="str">
        <f t="shared" si="172"/>
        <v>A_BEDS_TOTAL - Total Available Beds</v>
      </c>
      <c r="F407" s="22" t="str">
        <f>_xll.EVDES(D407)</f>
        <v>Total Available Beds</v>
      </c>
      <c r="G407" s="18">
        <f ca="1">SUMIFS(OFFSET('BPC Data'!$F:$F,0,Summary!G$2),'BPC Data'!$E:$E,Summary!$D407,'BPC Data'!$B:$B,Summary!$C407)</f>
        <v>0</v>
      </c>
      <c r="H407" s="92">
        <f ca="1">SUMIFS(OFFSET('BPC Data'!$F:$F,0,Summary!H$2),'BPC Data'!$E:$E,Summary!$D407,'BPC Data'!$B:$B,Summary!$C407)</f>
        <v>0</v>
      </c>
      <c r="I407" s="18">
        <f ca="1">SUMIFS(OFFSET('BPC Data'!$F:$F,0,Summary!I$2),'BPC Data'!$E:$E,Summary!$D407,'BPC Data'!$B:$B,Summary!$C407)</f>
        <v>0</v>
      </c>
      <c r="J407" s="92">
        <f ca="1">SUMIFS(OFFSET('BPC Data'!$F:$F,0,Summary!J$2),'BPC Data'!$E:$E,Summary!$D407,'BPC Data'!$B:$B,Summary!$C407)</f>
        <v>0</v>
      </c>
      <c r="K407" s="18">
        <f ca="1">SUMIFS(OFFSET('BPC Data'!$F:$F,0,Summary!K$2),'BPC Data'!$E:$E,Summary!$D407,'BPC Data'!$B:$B,Summary!$C407)</f>
        <v>0</v>
      </c>
      <c r="L407" s="92">
        <f ca="1">SUMIFS(OFFSET('BPC Data'!$F:$F,0,Summary!L$2),'BPC Data'!$E:$E,Summary!$D407,'BPC Data'!$B:$B,Summary!$C407)</f>
        <v>0</v>
      </c>
      <c r="M407" s="32"/>
      <c r="N407" s="110"/>
      <c r="O407" s="106">
        <f t="shared" si="168"/>
        <v>0</v>
      </c>
    </row>
    <row r="408" spans="1:15" s="16" customFormat="1" hidden="1" outlineLevel="1" x14ac:dyDescent="0.25">
      <c r="A408" s="16">
        <f t="shared" si="173"/>
        <v>37</v>
      </c>
      <c r="B408"/>
      <c r="C408">
        <f>$F405</f>
        <v>0</v>
      </c>
      <c r="D408" s="3" t="str">
        <f t="shared" si="172"/>
        <v>T_REVENUES - Total Tenant Revenues</v>
      </c>
      <c r="E408"/>
      <c r="F408" s="22" t="str">
        <f>_xll.EVDES(D408)</f>
        <v>Total Tenant Revenues</v>
      </c>
      <c r="G408" s="18">
        <f ca="1">SUMIFS(OFFSET('BPC Data'!$F:$F,0,Summary!G$2),'BPC Data'!$E:$E,Summary!$D408,'BPC Data'!$B:$B,Summary!$C408)</f>
        <v>0</v>
      </c>
      <c r="H408" s="92">
        <f ca="1">SUMIFS(OFFSET('BPC Data'!$F:$F,0,Summary!H$2),'BPC Data'!$E:$E,Summary!$D408,'BPC Data'!$B:$B,Summary!$C408)</f>
        <v>0</v>
      </c>
      <c r="I408" s="18">
        <f ca="1">SUMIFS(OFFSET('BPC Data'!$F:$F,0,Summary!I$2),'BPC Data'!$E:$E,Summary!$D408,'BPC Data'!$B:$B,Summary!$C408)</f>
        <v>0</v>
      </c>
      <c r="J408" s="92">
        <f ca="1">SUMIFS(OFFSET('BPC Data'!$F:$F,0,Summary!J$2),'BPC Data'!$E:$E,Summary!$D408,'BPC Data'!$B:$B,Summary!$C408)</f>
        <v>0</v>
      </c>
      <c r="K408" s="18">
        <f ca="1">SUMIFS(OFFSET('BPC Data'!$F:$F,0,Summary!K$2),'BPC Data'!$E:$E,Summary!$D408,'BPC Data'!$B:$B,Summary!$C408)</f>
        <v>0</v>
      </c>
      <c r="L408" s="92">
        <f ca="1">SUMIFS(OFFSET('BPC Data'!$F:$F,0,Summary!L$2),'BPC Data'!$E:$E,Summary!$D408,'BPC Data'!$B:$B,Summary!$C408)</f>
        <v>0</v>
      </c>
      <c r="M408" s="32"/>
      <c r="N408" s="110"/>
      <c r="O408" s="106">
        <f t="shared" si="168"/>
        <v>0</v>
      </c>
    </row>
    <row r="409" spans="1:15" s="16" customFormat="1" hidden="1" outlineLevel="1" x14ac:dyDescent="0.25">
      <c r="A409" s="16">
        <f t="shared" si="173"/>
        <v>37</v>
      </c>
      <c r="B409"/>
      <c r="C409">
        <f>$F405</f>
        <v>0</v>
      </c>
      <c r="D409" s="3" t="str">
        <f t="shared" si="172"/>
        <v>T_OPEX - Tenant Operating Expenses</v>
      </c>
      <c r="E409"/>
      <c r="F409" s="22" t="str">
        <f>_xll.EVDES(D409)</f>
        <v>Tenant Operating Expenses</v>
      </c>
      <c r="G409" s="18">
        <f ca="1">SUMIFS(OFFSET('BPC Data'!$F:$F,0,Summary!G$2),'BPC Data'!$E:$E,Summary!$D409,'BPC Data'!$B:$B,Summary!$C409)</f>
        <v>0</v>
      </c>
      <c r="H409" s="92">
        <f ca="1">SUMIFS(OFFSET('BPC Data'!$F:$F,0,Summary!H$2),'BPC Data'!$E:$E,Summary!$D409,'BPC Data'!$B:$B,Summary!$C409)</f>
        <v>0</v>
      </c>
      <c r="I409" s="18">
        <f ca="1">SUMIFS(OFFSET('BPC Data'!$F:$F,0,Summary!I$2),'BPC Data'!$E:$E,Summary!$D409,'BPC Data'!$B:$B,Summary!$C409)</f>
        <v>0</v>
      </c>
      <c r="J409" s="92">
        <f ca="1">SUMIFS(OFFSET('BPC Data'!$F:$F,0,Summary!J$2),'BPC Data'!$E:$E,Summary!$D409,'BPC Data'!$B:$B,Summary!$C409)</f>
        <v>0</v>
      </c>
      <c r="K409" s="18">
        <f ca="1">SUMIFS(OFFSET('BPC Data'!$F:$F,0,Summary!K$2),'BPC Data'!$E:$E,Summary!$D409,'BPC Data'!$B:$B,Summary!$C409)</f>
        <v>0</v>
      </c>
      <c r="L409" s="92">
        <f ca="1">SUMIFS(OFFSET('BPC Data'!$F:$F,0,Summary!L$2),'BPC Data'!$E:$E,Summary!$D409,'BPC Data'!$B:$B,Summary!$C409)</f>
        <v>0</v>
      </c>
      <c r="M409" s="32"/>
      <c r="N409" s="110"/>
      <c r="O409" s="106">
        <f t="shared" si="168"/>
        <v>0</v>
      </c>
    </row>
    <row r="410" spans="1:15" s="16" customFormat="1" hidden="1" outlineLevel="1" x14ac:dyDescent="0.25">
      <c r="A410" s="16">
        <f t="shared" si="173"/>
        <v>37</v>
      </c>
      <c r="B410"/>
      <c r="C410">
        <f>$F405</f>
        <v>0</v>
      </c>
      <c r="D410" s="3" t="str">
        <f t="shared" si="172"/>
        <v>T_BAD_DEBT - Tenant Bad Debt Expense</v>
      </c>
      <c r="E410"/>
      <c r="F410" s="22" t="str">
        <f>_xll.EVDES(D410)</f>
        <v>Tenant Bad Debt Expense</v>
      </c>
      <c r="G410" s="18">
        <f ca="1">SUMIFS(OFFSET('BPC Data'!$F:$F,0,Summary!G$2),'BPC Data'!$E:$E,Summary!$D410,'BPC Data'!$B:$B,Summary!$C410)</f>
        <v>0</v>
      </c>
      <c r="H410" s="92">
        <f ca="1">SUMIFS(OFFSET('BPC Data'!$F:$F,0,Summary!H$2),'BPC Data'!$E:$E,Summary!$D410,'BPC Data'!$B:$B,Summary!$C410)</f>
        <v>0</v>
      </c>
      <c r="I410" s="18">
        <f ca="1">SUMIFS(OFFSET('BPC Data'!$F:$F,0,Summary!I$2),'BPC Data'!$E:$E,Summary!$D410,'BPC Data'!$B:$B,Summary!$C410)</f>
        <v>0</v>
      </c>
      <c r="J410" s="92">
        <f ca="1">SUMIFS(OFFSET('BPC Data'!$F:$F,0,Summary!J$2),'BPC Data'!$E:$E,Summary!$D410,'BPC Data'!$B:$B,Summary!$C410)</f>
        <v>0</v>
      </c>
      <c r="K410" s="18">
        <f ca="1">SUMIFS(OFFSET('BPC Data'!$F:$F,0,Summary!K$2),'BPC Data'!$E:$E,Summary!$D410,'BPC Data'!$B:$B,Summary!$C410)</f>
        <v>0</v>
      </c>
      <c r="L410" s="92">
        <f ca="1">SUMIFS(OFFSET('BPC Data'!$F:$F,0,Summary!L$2),'BPC Data'!$E:$E,Summary!$D410,'BPC Data'!$B:$B,Summary!$C410)</f>
        <v>0</v>
      </c>
      <c r="M410" s="32"/>
      <c r="N410" s="110"/>
      <c r="O410" s="106">
        <f t="shared" si="168"/>
        <v>0</v>
      </c>
    </row>
    <row r="411" spans="1:15" s="16" customFormat="1" hidden="1" outlineLevel="1" x14ac:dyDescent="0.25">
      <c r="A411" s="16">
        <f t="shared" si="173"/>
        <v>37</v>
      </c>
      <c r="B411"/>
      <c r="C411">
        <f>$F405</f>
        <v>0</v>
      </c>
      <c r="D411" s="2" t="str">
        <f t="shared" si="172"/>
        <v>T_EBITDARM - EBITDARM</v>
      </c>
      <c r="E411"/>
      <c r="F411" s="22" t="str">
        <f>_xll.EVDES(D411)</f>
        <v>EBITDARM</v>
      </c>
      <c r="G411" s="18">
        <f ca="1">SUMIFS(OFFSET('BPC Data'!$F:$F,0,Summary!G$2),'BPC Data'!$E:$E,Summary!$D411,'BPC Data'!$B:$B,Summary!$C411)</f>
        <v>0</v>
      </c>
      <c r="H411" s="92">
        <f ca="1">SUMIFS(OFFSET('BPC Data'!$F:$F,0,Summary!H$2),'BPC Data'!$E:$E,Summary!$D411,'BPC Data'!$B:$B,Summary!$C411)</f>
        <v>0</v>
      </c>
      <c r="I411" s="18">
        <f ca="1">SUMIFS(OFFSET('BPC Data'!$F:$F,0,Summary!I$2),'BPC Data'!$E:$E,Summary!$D411,'BPC Data'!$B:$B,Summary!$C411)</f>
        <v>0</v>
      </c>
      <c r="J411" s="92">
        <f ca="1">SUMIFS(OFFSET('BPC Data'!$F:$F,0,Summary!J$2),'BPC Data'!$E:$E,Summary!$D411,'BPC Data'!$B:$B,Summary!$C411)</f>
        <v>0</v>
      </c>
      <c r="K411" s="18">
        <f ca="1">SUMIFS(OFFSET('BPC Data'!$F:$F,0,Summary!K$2),'BPC Data'!$E:$E,Summary!$D411,'BPC Data'!$B:$B,Summary!$C411)</f>
        <v>0</v>
      </c>
      <c r="L411" s="92">
        <f ca="1">SUMIFS(OFFSET('BPC Data'!$F:$F,0,Summary!L$2),'BPC Data'!$E:$E,Summary!$D411,'BPC Data'!$B:$B,Summary!$C411)</f>
        <v>0</v>
      </c>
      <c r="M411" s="32"/>
      <c r="N411" s="110"/>
      <c r="O411" s="106">
        <f t="shared" si="168"/>
        <v>0</v>
      </c>
    </row>
    <row r="412" spans="1:15" s="16" customFormat="1" hidden="1" outlineLevel="1" x14ac:dyDescent="0.25">
      <c r="A412" s="16">
        <f t="shared" si="173"/>
        <v>37</v>
      </c>
      <c r="B412"/>
      <c r="C412">
        <f>$F405</f>
        <v>0</v>
      </c>
      <c r="D412" s="2" t="str">
        <f t="shared" si="172"/>
        <v>T_MGMT_FEE - Tenant Management Fee - Actual</v>
      </c>
      <c r="E412"/>
      <c r="F412" s="22" t="str">
        <f>_xll.EVDES(D412)</f>
        <v>Tenant Management Fee - Actual</v>
      </c>
      <c r="G412" s="18">
        <f ca="1">SUMIFS(OFFSET('BPC Data'!$F:$F,0,Summary!G$2),'BPC Data'!$E:$E,Summary!$D412,'BPC Data'!$B:$B,Summary!$C412)</f>
        <v>0</v>
      </c>
      <c r="H412" s="92">
        <f ca="1">SUMIFS(OFFSET('BPC Data'!$F:$F,0,Summary!H$2),'BPC Data'!$E:$E,Summary!$D412,'BPC Data'!$B:$B,Summary!$C412)</f>
        <v>0</v>
      </c>
      <c r="I412" s="18">
        <f ca="1">SUMIFS(OFFSET('BPC Data'!$F:$F,0,Summary!I$2),'BPC Data'!$E:$E,Summary!$D412,'BPC Data'!$B:$B,Summary!$C412)</f>
        <v>0</v>
      </c>
      <c r="J412" s="92">
        <f ca="1">SUMIFS(OFFSET('BPC Data'!$F:$F,0,Summary!J$2),'BPC Data'!$E:$E,Summary!$D412,'BPC Data'!$B:$B,Summary!$C412)</f>
        <v>0</v>
      </c>
      <c r="K412" s="18">
        <f ca="1">SUMIFS(OFFSET('BPC Data'!$F:$F,0,Summary!K$2),'BPC Data'!$E:$E,Summary!$D412,'BPC Data'!$B:$B,Summary!$C412)</f>
        <v>0</v>
      </c>
      <c r="L412" s="92">
        <f ca="1">SUMIFS(OFFSET('BPC Data'!$F:$F,0,Summary!L$2),'BPC Data'!$E:$E,Summary!$D412,'BPC Data'!$B:$B,Summary!$C412)</f>
        <v>0</v>
      </c>
      <c r="M412" s="32"/>
      <c r="N412" s="110"/>
      <c r="O412" s="106">
        <f t="shared" si="168"/>
        <v>0</v>
      </c>
    </row>
    <row r="413" spans="1:15" s="16" customFormat="1" hidden="1" outlineLevel="1" x14ac:dyDescent="0.25">
      <c r="A413" s="16">
        <f t="shared" si="173"/>
        <v>37</v>
      </c>
      <c r="B413"/>
      <c r="C413">
        <f>$F405</f>
        <v>0</v>
      </c>
      <c r="D413" s="1" t="str">
        <f t="shared" si="172"/>
        <v>T_EBITDAR - EBITDAR</v>
      </c>
      <c r="E413"/>
      <c r="F413" s="22" t="str">
        <f>_xll.EVDES(D413)</f>
        <v>EBITDAR</v>
      </c>
      <c r="G413" s="18">
        <f ca="1">SUMIFS(OFFSET('BPC Data'!$F:$F,0,Summary!G$2),'BPC Data'!$E:$E,Summary!$D413,'BPC Data'!$B:$B,Summary!$C413)</f>
        <v>0</v>
      </c>
      <c r="H413" s="92">
        <f ca="1">SUMIFS(OFFSET('BPC Data'!$F:$F,0,Summary!H$2),'BPC Data'!$E:$E,Summary!$D413,'BPC Data'!$B:$B,Summary!$C413)</f>
        <v>0</v>
      </c>
      <c r="I413" s="18">
        <f ca="1">SUMIFS(OFFSET('BPC Data'!$F:$F,0,Summary!I$2),'BPC Data'!$E:$E,Summary!$D413,'BPC Data'!$B:$B,Summary!$C413)</f>
        <v>0</v>
      </c>
      <c r="J413" s="92">
        <f ca="1">SUMIFS(OFFSET('BPC Data'!$F:$F,0,Summary!J$2),'BPC Data'!$E:$E,Summary!$D413,'BPC Data'!$B:$B,Summary!$C413)</f>
        <v>0</v>
      </c>
      <c r="K413" s="18">
        <f ca="1">SUMIFS(OFFSET('BPC Data'!$F:$F,0,Summary!K$2),'BPC Data'!$E:$E,Summary!$D413,'BPC Data'!$B:$B,Summary!$C413)</f>
        <v>0</v>
      </c>
      <c r="L413" s="92">
        <f ca="1">SUMIFS(OFFSET('BPC Data'!$F:$F,0,Summary!L$2),'BPC Data'!$E:$E,Summary!$D413,'BPC Data'!$B:$B,Summary!$C413)</f>
        <v>0</v>
      </c>
      <c r="M413" s="32"/>
      <c r="N413" s="110"/>
      <c r="O413" s="106">
        <f t="shared" si="168"/>
        <v>0</v>
      </c>
    </row>
    <row r="414" spans="1:15" s="16" customFormat="1" hidden="1" outlineLevel="1" x14ac:dyDescent="0.25">
      <c r="A414" s="16">
        <f t="shared" si="173"/>
        <v>37</v>
      </c>
      <c r="B414"/>
      <c r="C414">
        <f>$F405</f>
        <v>0</v>
      </c>
      <c r="D414" s="1" t="str">
        <f t="shared" si="172"/>
        <v>T_RENT_EXP - Tenant Rent Expense</v>
      </c>
      <c r="E414"/>
      <c r="F414" s="22" t="str">
        <f>_xll.EVDES(D414)</f>
        <v>Tenant Rent Expense</v>
      </c>
      <c r="G414" s="18">
        <f ca="1">SUMIFS(OFFSET('BPC Data'!$F:$F,0,Summary!G$2),'BPC Data'!$E:$E,Summary!$D414,'BPC Data'!$B:$B,Summary!$C414)</f>
        <v>0</v>
      </c>
      <c r="H414" s="92">
        <f ca="1">SUMIFS(OFFSET('BPC Data'!$F:$F,0,Summary!H$2),'BPC Data'!$E:$E,Summary!$D414,'BPC Data'!$B:$B,Summary!$C414)</f>
        <v>0</v>
      </c>
      <c r="I414" s="18">
        <f ca="1">SUMIFS(OFFSET('BPC Data'!$F:$F,0,Summary!I$2),'BPC Data'!$E:$E,Summary!$D414,'BPC Data'!$B:$B,Summary!$C414)</f>
        <v>0</v>
      </c>
      <c r="J414" s="92">
        <f ca="1">SUMIFS(OFFSET('BPC Data'!$F:$F,0,Summary!J$2),'BPC Data'!$E:$E,Summary!$D414,'BPC Data'!$B:$B,Summary!$C414)</f>
        <v>0</v>
      </c>
      <c r="K414" s="18">
        <f ca="1">SUMIFS(OFFSET('BPC Data'!$F:$F,0,Summary!K$2),'BPC Data'!$E:$E,Summary!$D414,'BPC Data'!$B:$B,Summary!$C414)</f>
        <v>0</v>
      </c>
      <c r="L414" s="92">
        <f ca="1">SUMIFS(OFFSET('BPC Data'!$F:$F,0,Summary!L$2),'BPC Data'!$E:$E,Summary!$D414,'BPC Data'!$B:$B,Summary!$C414)</f>
        <v>0</v>
      </c>
      <c r="M414" s="32"/>
      <c r="N414" s="110"/>
      <c r="O414" s="106">
        <f t="shared" si="168"/>
        <v>0</v>
      </c>
    </row>
    <row r="415" spans="1:15" s="16" customFormat="1" hidden="1" outlineLevel="1" x14ac:dyDescent="0.25">
      <c r="A415" s="16">
        <f t="shared" si="173"/>
        <v>37</v>
      </c>
      <c r="B415"/>
      <c r="C415"/>
      <c r="D415" s="1" t="str">
        <f t="shared" si="172"/>
        <v>x</v>
      </c>
      <c r="E415"/>
      <c r="F415" s="22" t="s">
        <v>0</v>
      </c>
      <c r="G415" s="11" t="e">
        <f t="shared" ref="G415:H415" ca="1" si="174">G413/G414</f>
        <v>#DIV/0!</v>
      </c>
      <c r="H415" s="93" t="e">
        <f t="shared" ca="1" si="174"/>
        <v>#DIV/0!</v>
      </c>
      <c r="I415" s="11" t="e">
        <f t="shared" ref="I415:J415" ca="1" si="175">I413/I414</f>
        <v>#DIV/0!</v>
      </c>
      <c r="J415" s="93" t="e">
        <f t="shared" ca="1" si="175"/>
        <v>#DIV/0!</v>
      </c>
      <c r="K415" s="11" t="e">
        <f t="shared" ref="K415:L415" ca="1" si="176">K413/K414</f>
        <v>#DIV/0!</v>
      </c>
      <c r="L415" s="93" t="e">
        <f t="shared" ca="1" si="176"/>
        <v>#DIV/0!</v>
      </c>
      <c r="M415" s="32"/>
      <c r="N415" s="110"/>
      <c r="O415" s="106">
        <f t="shared" si="168"/>
        <v>0</v>
      </c>
    </row>
    <row r="416" spans="1:15" s="16" customFormat="1" hidden="1" outlineLevel="1" x14ac:dyDescent="0.25">
      <c r="A416" s="16">
        <f>IF(AND(D416&lt;&gt;"",C416=""),A415+1,A415)</f>
        <v>38</v>
      </c>
      <c r="B416" s="4"/>
      <c r="C416" s="4"/>
      <c r="D416" s="4" t="str">
        <f t="shared" si="172"/>
        <v>x</v>
      </c>
      <c r="E416" s="4"/>
      <c r="F416" s="21">
        <f>INDEX(PropertyList!$D:$D,MATCH(Summary!$A416,PropertyList!$C:$C,0))</f>
        <v>0</v>
      </c>
      <c r="G416" s="10"/>
      <c r="H416" s="91"/>
      <c r="I416" s="10"/>
      <c r="J416" s="91"/>
      <c r="K416" s="10"/>
      <c r="L416" s="91"/>
      <c r="M416" s="32"/>
      <c r="N416" s="110"/>
      <c r="O416" s="106">
        <f t="shared" si="168"/>
        <v>0</v>
      </c>
    </row>
    <row r="417" spans="1:15" s="16" customFormat="1" hidden="1" outlineLevel="1" x14ac:dyDescent="0.25">
      <c r="A417" s="16">
        <f>IF(AND(F417&lt;&gt;"",D417=""),A416+1,A416)</f>
        <v>38</v>
      </c>
      <c r="C417">
        <f>$F416</f>
        <v>0</v>
      </c>
      <c r="D417" s="3" t="str">
        <f t="shared" si="172"/>
        <v>PAY_PAT_DAYS - Total Payor Patient Days</v>
      </c>
      <c r="F417" s="22" t="str">
        <f>_xll.EVDES(D417)</f>
        <v>Total Payor Patient Days</v>
      </c>
      <c r="G417" s="18">
        <f ca="1">SUMIFS(OFFSET('BPC Data'!$F:$F,0,Summary!G$2),'BPC Data'!$E:$E,Summary!$D417,'BPC Data'!$B:$B,Summary!$C417)</f>
        <v>0</v>
      </c>
      <c r="H417" s="92">
        <f ca="1">SUMIFS(OFFSET('BPC Data'!$F:$F,0,Summary!H$2),'BPC Data'!$E:$E,Summary!$D417,'BPC Data'!$B:$B,Summary!$C417)</f>
        <v>0</v>
      </c>
      <c r="I417" s="18">
        <f ca="1">SUMIFS(OFFSET('BPC Data'!$F:$F,0,Summary!I$2),'BPC Data'!$E:$E,Summary!$D417,'BPC Data'!$B:$B,Summary!$C417)</f>
        <v>0</v>
      </c>
      <c r="J417" s="92">
        <f ca="1">SUMIFS(OFFSET('BPC Data'!$F:$F,0,Summary!J$2),'BPC Data'!$E:$E,Summary!$D417,'BPC Data'!$B:$B,Summary!$C417)</f>
        <v>0</v>
      </c>
      <c r="K417" s="18">
        <f ca="1">SUMIFS(OFFSET('BPC Data'!$F:$F,0,Summary!K$2),'BPC Data'!$E:$E,Summary!$D417,'BPC Data'!$B:$B,Summary!$C417)</f>
        <v>0</v>
      </c>
      <c r="L417" s="92">
        <f ca="1">SUMIFS(OFFSET('BPC Data'!$F:$F,0,Summary!L$2),'BPC Data'!$E:$E,Summary!$D417,'BPC Data'!$B:$B,Summary!$C417)</f>
        <v>0</v>
      </c>
      <c r="M417" s="32"/>
      <c r="N417" s="110"/>
      <c r="O417" s="106">
        <f t="shared" si="168"/>
        <v>0</v>
      </c>
    </row>
    <row r="418" spans="1:15" s="16" customFormat="1" hidden="1" outlineLevel="1" x14ac:dyDescent="0.25">
      <c r="A418" s="16">
        <f t="shared" ref="A418:A426" si="177">IF(AND(F418&lt;&gt;"",D418=""),A417+1,A417)</f>
        <v>38</v>
      </c>
      <c r="C418">
        <f>$F416</f>
        <v>0</v>
      </c>
      <c r="D418" s="3" t="str">
        <f t="shared" si="172"/>
        <v>A_BEDS_TOTAL - Total Available Beds</v>
      </c>
      <c r="F418" s="22" t="str">
        <f>_xll.EVDES(D418)</f>
        <v>Total Available Beds</v>
      </c>
      <c r="G418" s="18">
        <f ca="1">SUMIFS(OFFSET('BPC Data'!$F:$F,0,Summary!G$2),'BPC Data'!$E:$E,Summary!$D418,'BPC Data'!$B:$B,Summary!$C418)</f>
        <v>0</v>
      </c>
      <c r="H418" s="92">
        <f ca="1">SUMIFS(OFFSET('BPC Data'!$F:$F,0,Summary!H$2),'BPC Data'!$E:$E,Summary!$D418,'BPC Data'!$B:$B,Summary!$C418)</f>
        <v>0</v>
      </c>
      <c r="I418" s="18">
        <f ca="1">SUMIFS(OFFSET('BPC Data'!$F:$F,0,Summary!I$2),'BPC Data'!$E:$E,Summary!$D418,'BPC Data'!$B:$B,Summary!$C418)</f>
        <v>0</v>
      </c>
      <c r="J418" s="92">
        <f ca="1">SUMIFS(OFFSET('BPC Data'!$F:$F,0,Summary!J$2),'BPC Data'!$E:$E,Summary!$D418,'BPC Data'!$B:$B,Summary!$C418)</f>
        <v>0</v>
      </c>
      <c r="K418" s="18">
        <f ca="1">SUMIFS(OFFSET('BPC Data'!$F:$F,0,Summary!K$2),'BPC Data'!$E:$E,Summary!$D418,'BPC Data'!$B:$B,Summary!$C418)</f>
        <v>0</v>
      </c>
      <c r="L418" s="92">
        <f ca="1">SUMIFS(OFFSET('BPC Data'!$F:$F,0,Summary!L$2),'BPC Data'!$E:$E,Summary!$D418,'BPC Data'!$B:$B,Summary!$C418)</f>
        <v>0</v>
      </c>
      <c r="M418" s="32"/>
      <c r="N418" s="110"/>
      <c r="O418" s="106">
        <f t="shared" si="168"/>
        <v>0</v>
      </c>
    </row>
    <row r="419" spans="1:15" s="16" customFormat="1" hidden="1" outlineLevel="1" x14ac:dyDescent="0.25">
      <c r="A419" s="16">
        <f t="shared" si="177"/>
        <v>38</v>
      </c>
      <c r="B419"/>
      <c r="C419">
        <f>$F416</f>
        <v>0</v>
      </c>
      <c r="D419" s="3" t="str">
        <f t="shared" si="172"/>
        <v>T_REVENUES - Total Tenant Revenues</v>
      </c>
      <c r="E419"/>
      <c r="F419" s="22" t="str">
        <f>_xll.EVDES(D419)</f>
        <v>Total Tenant Revenues</v>
      </c>
      <c r="G419" s="18">
        <f ca="1">SUMIFS(OFFSET('BPC Data'!$F:$F,0,Summary!G$2),'BPC Data'!$E:$E,Summary!$D419,'BPC Data'!$B:$B,Summary!$C419)</f>
        <v>0</v>
      </c>
      <c r="H419" s="92">
        <f ca="1">SUMIFS(OFFSET('BPC Data'!$F:$F,0,Summary!H$2),'BPC Data'!$E:$E,Summary!$D419,'BPC Data'!$B:$B,Summary!$C419)</f>
        <v>0</v>
      </c>
      <c r="I419" s="18">
        <f ca="1">SUMIFS(OFFSET('BPC Data'!$F:$F,0,Summary!I$2),'BPC Data'!$E:$E,Summary!$D419,'BPC Data'!$B:$B,Summary!$C419)</f>
        <v>0</v>
      </c>
      <c r="J419" s="92">
        <f ca="1">SUMIFS(OFFSET('BPC Data'!$F:$F,0,Summary!J$2),'BPC Data'!$E:$E,Summary!$D419,'BPC Data'!$B:$B,Summary!$C419)</f>
        <v>0</v>
      </c>
      <c r="K419" s="18">
        <f ca="1">SUMIFS(OFFSET('BPC Data'!$F:$F,0,Summary!K$2),'BPC Data'!$E:$E,Summary!$D419,'BPC Data'!$B:$B,Summary!$C419)</f>
        <v>0</v>
      </c>
      <c r="L419" s="92">
        <f ca="1">SUMIFS(OFFSET('BPC Data'!$F:$F,0,Summary!L$2),'BPC Data'!$E:$E,Summary!$D419,'BPC Data'!$B:$B,Summary!$C419)</f>
        <v>0</v>
      </c>
      <c r="M419" s="32"/>
      <c r="N419" s="110"/>
      <c r="O419" s="106">
        <f t="shared" si="168"/>
        <v>0</v>
      </c>
    </row>
    <row r="420" spans="1:15" s="16" customFormat="1" hidden="1" outlineLevel="1" x14ac:dyDescent="0.25">
      <c r="A420" s="16">
        <f t="shared" si="177"/>
        <v>38</v>
      </c>
      <c r="B420"/>
      <c r="C420">
        <f>$F416</f>
        <v>0</v>
      </c>
      <c r="D420" s="3" t="str">
        <f t="shared" si="172"/>
        <v>T_OPEX - Tenant Operating Expenses</v>
      </c>
      <c r="E420"/>
      <c r="F420" s="22" t="str">
        <f>_xll.EVDES(D420)</f>
        <v>Tenant Operating Expenses</v>
      </c>
      <c r="G420" s="18">
        <f ca="1">SUMIFS(OFFSET('BPC Data'!$F:$F,0,Summary!G$2),'BPC Data'!$E:$E,Summary!$D420,'BPC Data'!$B:$B,Summary!$C420)</f>
        <v>0</v>
      </c>
      <c r="H420" s="92">
        <f ca="1">SUMIFS(OFFSET('BPC Data'!$F:$F,0,Summary!H$2),'BPC Data'!$E:$E,Summary!$D420,'BPC Data'!$B:$B,Summary!$C420)</f>
        <v>0</v>
      </c>
      <c r="I420" s="18">
        <f ca="1">SUMIFS(OFFSET('BPC Data'!$F:$F,0,Summary!I$2),'BPC Data'!$E:$E,Summary!$D420,'BPC Data'!$B:$B,Summary!$C420)</f>
        <v>0</v>
      </c>
      <c r="J420" s="92">
        <f ca="1">SUMIFS(OFFSET('BPC Data'!$F:$F,0,Summary!J$2),'BPC Data'!$E:$E,Summary!$D420,'BPC Data'!$B:$B,Summary!$C420)</f>
        <v>0</v>
      </c>
      <c r="K420" s="18">
        <f ca="1">SUMIFS(OFFSET('BPC Data'!$F:$F,0,Summary!K$2),'BPC Data'!$E:$E,Summary!$D420,'BPC Data'!$B:$B,Summary!$C420)</f>
        <v>0</v>
      </c>
      <c r="L420" s="92">
        <f ca="1">SUMIFS(OFFSET('BPC Data'!$F:$F,0,Summary!L$2),'BPC Data'!$E:$E,Summary!$D420,'BPC Data'!$B:$B,Summary!$C420)</f>
        <v>0</v>
      </c>
      <c r="M420" s="32"/>
      <c r="N420" s="110"/>
      <c r="O420" s="106">
        <f t="shared" si="168"/>
        <v>0</v>
      </c>
    </row>
    <row r="421" spans="1:15" s="16" customFormat="1" hidden="1" outlineLevel="1" x14ac:dyDescent="0.25">
      <c r="A421" s="16">
        <f t="shared" si="177"/>
        <v>38</v>
      </c>
      <c r="B421"/>
      <c r="C421">
        <f>$F416</f>
        <v>0</v>
      </c>
      <c r="D421" s="3" t="str">
        <f t="shared" si="172"/>
        <v>T_BAD_DEBT - Tenant Bad Debt Expense</v>
      </c>
      <c r="E421"/>
      <c r="F421" s="22" t="str">
        <f>_xll.EVDES(D421)</f>
        <v>Tenant Bad Debt Expense</v>
      </c>
      <c r="G421" s="18">
        <f ca="1">SUMIFS(OFFSET('BPC Data'!$F:$F,0,Summary!G$2),'BPC Data'!$E:$E,Summary!$D421,'BPC Data'!$B:$B,Summary!$C421)</f>
        <v>0</v>
      </c>
      <c r="H421" s="92">
        <f ca="1">SUMIFS(OFFSET('BPC Data'!$F:$F,0,Summary!H$2),'BPC Data'!$E:$E,Summary!$D421,'BPC Data'!$B:$B,Summary!$C421)</f>
        <v>0</v>
      </c>
      <c r="I421" s="18">
        <f ca="1">SUMIFS(OFFSET('BPC Data'!$F:$F,0,Summary!I$2),'BPC Data'!$E:$E,Summary!$D421,'BPC Data'!$B:$B,Summary!$C421)</f>
        <v>0</v>
      </c>
      <c r="J421" s="92">
        <f ca="1">SUMIFS(OFFSET('BPC Data'!$F:$F,0,Summary!J$2),'BPC Data'!$E:$E,Summary!$D421,'BPC Data'!$B:$B,Summary!$C421)</f>
        <v>0</v>
      </c>
      <c r="K421" s="18">
        <f ca="1">SUMIFS(OFFSET('BPC Data'!$F:$F,0,Summary!K$2),'BPC Data'!$E:$E,Summary!$D421,'BPC Data'!$B:$B,Summary!$C421)</f>
        <v>0</v>
      </c>
      <c r="L421" s="92">
        <f ca="1">SUMIFS(OFFSET('BPC Data'!$F:$F,0,Summary!L$2),'BPC Data'!$E:$E,Summary!$D421,'BPC Data'!$B:$B,Summary!$C421)</f>
        <v>0</v>
      </c>
      <c r="M421" s="32"/>
      <c r="N421" s="110"/>
      <c r="O421" s="106">
        <f t="shared" si="168"/>
        <v>0</v>
      </c>
    </row>
    <row r="422" spans="1:15" s="16" customFormat="1" hidden="1" outlineLevel="1" x14ac:dyDescent="0.25">
      <c r="A422" s="16">
        <f t="shared" si="177"/>
        <v>38</v>
      </c>
      <c r="B422"/>
      <c r="C422">
        <f>$F416</f>
        <v>0</v>
      </c>
      <c r="D422" s="2" t="str">
        <f t="shared" si="172"/>
        <v>T_EBITDARM - EBITDARM</v>
      </c>
      <c r="E422"/>
      <c r="F422" s="22" t="str">
        <f>_xll.EVDES(D422)</f>
        <v>EBITDARM</v>
      </c>
      <c r="G422" s="18">
        <f ca="1">SUMIFS(OFFSET('BPC Data'!$F:$F,0,Summary!G$2),'BPC Data'!$E:$E,Summary!$D422,'BPC Data'!$B:$B,Summary!$C422)</f>
        <v>0</v>
      </c>
      <c r="H422" s="92">
        <f ca="1">SUMIFS(OFFSET('BPC Data'!$F:$F,0,Summary!H$2),'BPC Data'!$E:$E,Summary!$D422,'BPC Data'!$B:$B,Summary!$C422)</f>
        <v>0</v>
      </c>
      <c r="I422" s="18">
        <f ca="1">SUMIFS(OFFSET('BPC Data'!$F:$F,0,Summary!I$2),'BPC Data'!$E:$E,Summary!$D422,'BPC Data'!$B:$B,Summary!$C422)</f>
        <v>0</v>
      </c>
      <c r="J422" s="92">
        <f ca="1">SUMIFS(OFFSET('BPC Data'!$F:$F,0,Summary!J$2),'BPC Data'!$E:$E,Summary!$D422,'BPC Data'!$B:$B,Summary!$C422)</f>
        <v>0</v>
      </c>
      <c r="K422" s="18">
        <f ca="1">SUMIFS(OFFSET('BPC Data'!$F:$F,0,Summary!K$2),'BPC Data'!$E:$E,Summary!$D422,'BPC Data'!$B:$B,Summary!$C422)</f>
        <v>0</v>
      </c>
      <c r="L422" s="92">
        <f ca="1">SUMIFS(OFFSET('BPC Data'!$F:$F,0,Summary!L$2),'BPC Data'!$E:$E,Summary!$D422,'BPC Data'!$B:$B,Summary!$C422)</f>
        <v>0</v>
      </c>
      <c r="M422" s="32"/>
      <c r="N422" s="110"/>
      <c r="O422" s="106">
        <f t="shared" si="168"/>
        <v>0</v>
      </c>
    </row>
    <row r="423" spans="1:15" s="16" customFormat="1" hidden="1" outlineLevel="1" x14ac:dyDescent="0.25">
      <c r="A423" s="16">
        <f t="shared" si="177"/>
        <v>38</v>
      </c>
      <c r="B423"/>
      <c r="C423">
        <f>$F416</f>
        <v>0</v>
      </c>
      <c r="D423" s="2" t="str">
        <f t="shared" si="172"/>
        <v>T_MGMT_FEE - Tenant Management Fee - Actual</v>
      </c>
      <c r="E423"/>
      <c r="F423" s="22" t="str">
        <f>_xll.EVDES(D423)</f>
        <v>Tenant Management Fee - Actual</v>
      </c>
      <c r="G423" s="18">
        <f ca="1">SUMIFS(OFFSET('BPC Data'!$F:$F,0,Summary!G$2),'BPC Data'!$E:$E,Summary!$D423,'BPC Data'!$B:$B,Summary!$C423)</f>
        <v>0</v>
      </c>
      <c r="H423" s="92">
        <f ca="1">SUMIFS(OFFSET('BPC Data'!$F:$F,0,Summary!H$2),'BPC Data'!$E:$E,Summary!$D423,'BPC Data'!$B:$B,Summary!$C423)</f>
        <v>0</v>
      </c>
      <c r="I423" s="18">
        <f ca="1">SUMIFS(OFFSET('BPC Data'!$F:$F,0,Summary!I$2),'BPC Data'!$E:$E,Summary!$D423,'BPC Data'!$B:$B,Summary!$C423)</f>
        <v>0</v>
      </c>
      <c r="J423" s="92">
        <f ca="1">SUMIFS(OFFSET('BPC Data'!$F:$F,0,Summary!J$2),'BPC Data'!$E:$E,Summary!$D423,'BPC Data'!$B:$B,Summary!$C423)</f>
        <v>0</v>
      </c>
      <c r="K423" s="18">
        <f ca="1">SUMIFS(OFFSET('BPC Data'!$F:$F,0,Summary!K$2),'BPC Data'!$E:$E,Summary!$D423,'BPC Data'!$B:$B,Summary!$C423)</f>
        <v>0</v>
      </c>
      <c r="L423" s="92">
        <f ca="1">SUMIFS(OFFSET('BPC Data'!$F:$F,0,Summary!L$2),'BPC Data'!$E:$E,Summary!$D423,'BPC Data'!$B:$B,Summary!$C423)</f>
        <v>0</v>
      </c>
      <c r="M423" s="32"/>
      <c r="N423" s="110"/>
      <c r="O423" s="106">
        <f t="shared" si="168"/>
        <v>0</v>
      </c>
    </row>
    <row r="424" spans="1:15" s="16" customFormat="1" hidden="1" outlineLevel="1" x14ac:dyDescent="0.25">
      <c r="A424" s="16">
        <f t="shared" si="177"/>
        <v>38</v>
      </c>
      <c r="B424"/>
      <c r="C424">
        <f>$F416</f>
        <v>0</v>
      </c>
      <c r="D424" s="1" t="str">
        <f t="shared" si="172"/>
        <v>T_EBITDAR - EBITDAR</v>
      </c>
      <c r="E424"/>
      <c r="F424" s="22" t="str">
        <f>_xll.EVDES(D424)</f>
        <v>EBITDAR</v>
      </c>
      <c r="G424" s="18">
        <f ca="1">SUMIFS(OFFSET('BPC Data'!$F:$F,0,Summary!G$2),'BPC Data'!$E:$E,Summary!$D424,'BPC Data'!$B:$B,Summary!$C424)</f>
        <v>0</v>
      </c>
      <c r="H424" s="92">
        <f ca="1">SUMIFS(OFFSET('BPC Data'!$F:$F,0,Summary!H$2),'BPC Data'!$E:$E,Summary!$D424,'BPC Data'!$B:$B,Summary!$C424)</f>
        <v>0</v>
      </c>
      <c r="I424" s="18">
        <f ca="1">SUMIFS(OFFSET('BPC Data'!$F:$F,0,Summary!I$2),'BPC Data'!$E:$E,Summary!$D424,'BPC Data'!$B:$B,Summary!$C424)</f>
        <v>0</v>
      </c>
      <c r="J424" s="92">
        <f ca="1">SUMIFS(OFFSET('BPC Data'!$F:$F,0,Summary!J$2),'BPC Data'!$E:$E,Summary!$D424,'BPC Data'!$B:$B,Summary!$C424)</f>
        <v>0</v>
      </c>
      <c r="K424" s="18">
        <f ca="1">SUMIFS(OFFSET('BPC Data'!$F:$F,0,Summary!K$2),'BPC Data'!$E:$E,Summary!$D424,'BPC Data'!$B:$B,Summary!$C424)</f>
        <v>0</v>
      </c>
      <c r="L424" s="92">
        <f ca="1">SUMIFS(OFFSET('BPC Data'!$F:$F,0,Summary!L$2),'BPC Data'!$E:$E,Summary!$D424,'BPC Data'!$B:$B,Summary!$C424)</f>
        <v>0</v>
      </c>
      <c r="M424" s="32"/>
      <c r="N424" s="110"/>
      <c r="O424" s="106">
        <f t="shared" si="168"/>
        <v>0</v>
      </c>
    </row>
    <row r="425" spans="1:15" s="16" customFormat="1" hidden="1" outlineLevel="1" x14ac:dyDescent="0.25">
      <c r="A425" s="16">
        <f t="shared" si="177"/>
        <v>38</v>
      </c>
      <c r="B425"/>
      <c r="C425">
        <f>$F416</f>
        <v>0</v>
      </c>
      <c r="D425" s="1" t="str">
        <f t="shared" si="172"/>
        <v>T_RENT_EXP - Tenant Rent Expense</v>
      </c>
      <c r="E425"/>
      <c r="F425" s="22" t="str">
        <f>_xll.EVDES(D425)</f>
        <v>Tenant Rent Expense</v>
      </c>
      <c r="G425" s="18">
        <f ca="1">SUMIFS(OFFSET('BPC Data'!$F:$F,0,Summary!G$2),'BPC Data'!$E:$E,Summary!$D425,'BPC Data'!$B:$B,Summary!$C425)</f>
        <v>0</v>
      </c>
      <c r="H425" s="92">
        <f ca="1">SUMIFS(OFFSET('BPC Data'!$F:$F,0,Summary!H$2),'BPC Data'!$E:$E,Summary!$D425,'BPC Data'!$B:$B,Summary!$C425)</f>
        <v>0</v>
      </c>
      <c r="I425" s="18">
        <f ca="1">SUMIFS(OFFSET('BPC Data'!$F:$F,0,Summary!I$2),'BPC Data'!$E:$E,Summary!$D425,'BPC Data'!$B:$B,Summary!$C425)</f>
        <v>0</v>
      </c>
      <c r="J425" s="92">
        <f ca="1">SUMIFS(OFFSET('BPC Data'!$F:$F,0,Summary!J$2),'BPC Data'!$E:$E,Summary!$D425,'BPC Data'!$B:$B,Summary!$C425)</f>
        <v>0</v>
      </c>
      <c r="K425" s="18">
        <f ca="1">SUMIFS(OFFSET('BPC Data'!$F:$F,0,Summary!K$2),'BPC Data'!$E:$E,Summary!$D425,'BPC Data'!$B:$B,Summary!$C425)</f>
        <v>0</v>
      </c>
      <c r="L425" s="92">
        <f ca="1">SUMIFS(OFFSET('BPC Data'!$F:$F,0,Summary!L$2),'BPC Data'!$E:$E,Summary!$D425,'BPC Data'!$B:$B,Summary!$C425)</f>
        <v>0</v>
      </c>
      <c r="M425" s="32"/>
      <c r="N425" s="110"/>
      <c r="O425" s="106">
        <f t="shared" si="168"/>
        <v>0</v>
      </c>
    </row>
    <row r="426" spans="1:15" s="16" customFormat="1" hidden="1" outlineLevel="1" x14ac:dyDescent="0.25">
      <c r="A426" s="16">
        <f t="shared" si="177"/>
        <v>38</v>
      </c>
      <c r="B426"/>
      <c r="C426"/>
      <c r="D426" s="1" t="str">
        <f t="shared" si="172"/>
        <v>x</v>
      </c>
      <c r="E426"/>
      <c r="F426" s="22" t="s">
        <v>0</v>
      </c>
      <c r="G426" s="11" t="e">
        <f t="shared" ref="G426:H426" ca="1" si="178">G424/G425</f>
        <v>#DIV/0!</v>
      </c>
      <c r="H426" s="93" t="e">
        <f t="shared" ca="1" si="178"/>
        <v>#DIV/0!</v>
      </c>
      <c r="I426" s="11" t="e">
        <f t="shared" ref="I426:J426" ca="1" si="179">I424/I425</f>
        <v>#DIV/0!</v>
      </c>
      <c r="J426" s="93" t="e">
        <f t="shared" ca="1" si="179"/>
        <v>#DIV/0!</v>
      </c>
      <c r="K426" s="11" t="e">
        <f t="shared" ref="K426:L426" ca="1" si="180">K424/K425</f>
        <v>#DIV/0!</v>
      </c>
      <c r="L426" s="93" t="e">
        <f t="shared" ca="1" si="180"/>
        <v>#DIV/0!</v>
      </c>
      <c r="M426" s="32"/>
      <c r="N426" s="110"/>
      <c r="O426" s="106">
        <f t="shared" si="168"/>
        <v>0</v>
      </c>
    </row>
    <row r="427" spans="1:15" s="16" customFormat="1" hidden="1" outlineLevel="1" x14ac:dyDescent="0.25">
      <c r="A427" s="16">
        <f>IF(AND(D427&lt;&gt;"",C427=""),A426+1,A426)</f>
        <v>39</v>
      </c>
      <c r="B427" s="4"/>
      <c r="C427" s="4"/>
      <c r="D427" s="4" t="str">
        <f t="shared" si="172"/>
        <v>x</v>
      </c>
      <c r="E427" s="4"/>
      <c r="F427" s="21">
        <f>INDEX(PropertyList!$D:$D,MATCH(Summary!$A427,PropertyList!$C:$C,0))</f>
        <v>0</v>
      </c>
      <c r="G427" s="10"/>
      <c r="H427" s="91"/>
      <c r="I427" s="10"/>
      <c r="J427" s="91"/>
      <c r="K427" s="10"/>
      <c r="L427" s="91"/>
      <c r="M427" s="32"/>
      <c r="N427" s="110"/>
      <c r="O427" s="106">
        <f t="shared" si="168"/>
        <v>0</v>
      </c>
    </row>
    <row r="428" spans="1:15" s="16" customFormat="1" hidden="1" outlineLevel="1" x14ac:dyDescent="0.25">
      <c r="A428" s="16">
        <f>IF(AND(F428&lt;&gt;"",D428=""),A427+1,A427)</f>
        <v>39</v>
      </c>
      <c r="C428">
        <f>$F427</f>
        <v>0</v>
      </c>
      <c r="D428" s="3" t="str">
        <f t="shared" si="172"/>
        <v>PAY_PAT_DAYS - Total Payor Patient Days</v>
      </c>
      <c r="F428" s="22" t="str">
        <f>_xll.EVDES(D428)</f>
        <v>Total Payor Patient Days</v>
      </c>
      <c r="G428" s="18">
        <f ca="1">SUMIFS(OFFSET('BPC Data'!$F:$F,0,Summary!G$2),'BPC Data'!$E:$E,Summary!$D428,'BPC Data'!$B:$B,Summary!$C428)</f>
        <v>0</v>
      </c>
      <c r="H428" s="92">
        <f ca="1">SUMIFS(OFFSET('BPC Data'!$F:$F,0,Summary!H$2),'BPC Data'!$E:$E,Summary!$D428,'BPC Data'!$B:$B,Summary!$C428)</f>
        <v>0</v>
      </c>
      <c r="I428" s="18">
        <f ca="1">SUMIFS(OFFSET('BPC Data'!$F:$F,0,Summary!I$2),'BPC Data'!$E:$E,Summary!$D428,'BPC Data'!$B:$B,Summary!$C428)</f>
        <v>0</v>
      </c>
      <c r="J428" s="92">
        <f ca="1">SUMIFS(OFFSET('BPC Data'!$F:$F,0,Summary!J$2),'BPC Data'!$E:$E,Summary!$D428,'BPC Data'!$B:$B,Summary!$C428)</f>
        <v>0</v>
      </c>
      <c r="K428" s="18">
        <f ca="1">SUMIFS(OFFSET('BPC Data'!$F:$F,0,Summary!K$2),'BPC Data'!$E:$E,Summary!$D428,'BPC Data'!$B:$B,Summary!$C428)</f>
        <v>0</v>
      </c>
      <c r="L428" s="92">
        <f ca="1">SUMIFS(OFFSET('BPC Data'!$F:$F,0,Summary!L$2),'BPC Data'!$E:$E,Summary!$D428,'BPC Data'!$B:$B,Summary!$C428)</f>
        <v>0</v>
      </c>
      <c r="M428" s="32"/>
      <c r="N428" s="110"/>
      <c r="O428" s="106">
        <f t="shared" si="168"/>
        <v>0</v>
      </c>
    </row>
    <row r="429" spans="1:15" s="16" customFormat="1" hidden="1" outlineLevel="1" x14ac:dyDescent="0.25">
      <c r="A429" s="16">
        <f t="shared" ref="A429:A437" si="181">IF(AND(F429&lt;&gt;"",D429=""),A428+1,A428)</f>
        <v>39</v>
      </c>
      <c r="C429">
        <f>$F427</f>
        <v>0</v>
      </c>
      <c r="D429" s="3" t="str">
        <f t="shared" si="172"/>
        <v>A_BEDS_TOTAL - Total Available Beds</v>
      </c>
      <c r="F429" s="22" t="str">
        <f>_xll.EVDES(D429)</f>
        <v>Total Available Beds</v>
      </c>
      <c r="G429" s="18">
        <f ca="1">SUMIFS(OFFSET('BPC Data'!$F:$F,0,Summary!G$2),'BPC Data'!$E:$E,Summary!$D429,'BPC Data'!$B:$B,Summary!$C429)</f>
        <v>0</v>
      </c>
      <c r="H429" s="92">
        <f ca="1">SUMIFS(OFFSET('BPC Data'!$F:$F,0,Summary!H$2),'BPC Data'!$E:$E,Summary!$D429,'BPC Data'!$B:$B,Summary!$C429)</f>
        <v>0</v>
      </c>
      <c r="I429" s="18">
        <f ca="1">SUMIFS(OFFSET('BPC Data'!$F:$F,0,Summary!I$2),'BPC Data'!$E:$E,Summary!$D429,'BPC Data'!$B:$B,Summary!$C429)</f>
        <v>0</v>
      </c>
      <c r="J429" s="92">
        <f ca="1">SUMIFS(OFFSET('BPC Data'!$F:$F,0,Summary!J$2),'BPC Data'!$E:$E,Summary!$D429,'BPC Data'!$B:$B,Summary!$C429)</f>
        <v>0</v>
      </c>
      <c r="K429" s="18">
        <f ca="1">SUMIFS(OFFSET('BPC Data'!$F:$F,0,Summary!K$2),'BPC Data'!$E:$E,Summary!$D429,'BPC Data'!$B:$B,Summary!$C429)</f>
        <v>0</v>
      </c>
      <c r="L429" s="92">
        <f ca="1">SUMIFS(OFFSET('BPC Data'!$F:$F,0,Summary!L$2),'BPC Data'!$E:$E,Summary!$D429,'BPC Data'!$B:$B,Summary!$C429)</f>
        <v>0</v>
      </c>
      <c r="M429" s="32"/>
      <c r="N429" s="110"/>
      <c r="O429" s="106">
        <f t="shared" si="168"/>
        <v>0</v>
      </c>
    </row>
    <row r="430" spans="1:15" s="16" customFormat="1" hidden="1" outlineLevel="1" x14ac:dyDescent="0.25">
      <c r="A430" s="16">
        <f t="shared" si="181"/>
        <v>39</v>
      </c>
      <c r="B430"/>
      <c r="C430">
        <f>$F427</f>
        <v>0</v>
      </c>
      <c r="D430" s="3" t="str">
        <f t="shared" si="172"/>
        <v>T_REVENUES - Total Tenant Revenues</v>
      </c>
      <c r="E430"/>
      <c r="F430" s="22" t="str">
        <f>_xll.EVDES(D430)</f>
        <v>Total Tenant Revenues</v>
      </c>
      <c r="G430" s="18">
        <f ca="1">SUMIFS(OFFSET('BPC Data'!$F:$F,0,Summary!G$2),'BPC Data'!$E:$E,Summary!$D430,'BPC Data'!$B:$B,Summary!$C430)</f>
        <v>0</v>
      </c>
      <c r="H430" s="92">
        <f ca="1">SUMIFS(OFFSET('BPC Data'!$F:$F,0,Summary!H$2),'BPC Data'!$E:$E,Summary!$D430,'BPC Data'!$B:$B,Summary!$C430)</f>
        <v>0</v>
      </c>
      <c r="I430" s="18">
        <f ca="1">SUMIFS(OFFSET('BPC Data'!$F:$F,0,Summary!I$2),'BPC Data'!$E:$E,Summary!$D430,'BPC Data'!$B:$B,Summary!$C430)</f>
        <v>0</v>
      </c>
      <c r="J430" s="92">
        <f ca="1">SUMIFS(OFFSET('BPC Data'!$F:$F,0,Summary!J$2),'BPC Data'!$E:$E,Summary!$D430,'BPC Data'!$B:$B,Summary!$C430)</f>
        <v>0</v>
      </c>
      <c r="K430" s="18">
        <f ca="1">SUMIFS(OFFSET('BPC Data'!$F:$F,0,Summary!K$2),'BPC Data'!$E:$E,Summary!$D430,'BPC Data'!$B:$B,Summary!$C430)</f>
        <v>0</v>
      </c>
      <c r="L430" s="92">
        <f ca="1">SUMIFS(OFFSET('BPC Data'!$F:$F,0,Summary!L$2),'BPC Data'!$E:$E,Summary!$D430,'BPC Data'!$B:$B,Summary!$C430)</f>
        <v>0</v>
      </c>
      <c r="M430" s="32"/>
      <c r="N430" s="110"/>
      <c r="O430" s="106">
        <f t="shared" si="168"/>
        <v>0</v>
      </c>
    </row>
    <row r="431" spans="1:15" s="16" customFormat="1" hidden="1" outlineLevel="1" x14ac:dyDescent="0.25">
      <c r="A431" s="16">
        <f t="shared" si="181"/>
        <v>39</v>
      </c>
      <c r="B431"/>
      <c r="C431">
        <f>$F427</f>
        <v>0</v>
      </c>
      <c r="D431" s="3" t="str">
        <f t="shared" si="172"/>
        <v>T_OPEX - Tenant Operating Expenses</v>
      </c>
      <c r="E431"/>
      <c r="F431" s="22" t="str">
        <f>_xll.EVDES(D431)</f>
        <v>Tenant Operating Expenses</v>
      </c>
      <c r="G431" s="18">
        <f ca="1">SUMIFS(OFFSET('BPC Data'!$F:$F,0,Summary!G$2),'BPC Data'!$E:$E,Summary!$D431,'BPC Data'!$B:$B,Summary!$C431)</f>
        <v>0</v>
      </c>
      <c r="H431" s="92">
        <f ca="1">SUMIFS(OFFSET('BPC Data'!$F:$F,0,Summary!H$2),'BPC Data'!$E:$E,Summary!$D431,'BPC Data'!$B:$B,Summary!$C431)</f>
        <v>0</v>
      </c>
      <c r="I431" s="18">
        <f ca="1">SUMIFS(OFFSET('BPC Data'!$F:$F,0,Summary!I$2),'BPC Data'!$E:$E,Summary!$D431,'BPC Data'!$B:$B,Summary!$C431)</f>
        <v>0</v>
      </c>
      <c r="J431" s="92">
        <f ca="1">SUMIFS(OFFSET('BPC Data'!$F:$F,0,Summary!J$2),'BPC Data'!$E:$E,Summary!$D431,'BPC Data'!$B:$B,Summary!$C431)</f>
        <v>0</v>
      </c>
      <c r="K431" s="18">
        <f ca="1">SUMIFS(OFFSET('BPC Data'!$F:$F,0,Summary!K$2),'BPC Data'!$E:$E,Summary!$D431,'BPC Data'!$B:$B,Summary!$C431)</f>
        <v>0</v>
      </c>
      <c r="L431" s="92">
        <f ca="1">SUMIFS(OFFSET('BPC Data'!$F:$F,0,Summary!L$2),'BPC Data'!$E:$E,Summary!$D431,'BPC Data'!$B:$B,Summary!$C431)</f>
        <v>0</v>
      </c>
      <c r="M431" s="32"/>
      <c r="N431" s="110"/>
      <c r="O431" s="106">
        <f t="shared" si="168"/>
        <v>0</v>
      </c>
    </row>
    <row r="432" spans="1:15" s="16" customFormat="1" hidden="1" outlineLevel="1" x14ac:dyDescent="0.25">
      <c r="A432" s="16">
        <f t="shared" si="181"/>
        <v>39</v>
      </c>
      <c r="B432"/>
      <c r="C432">
        <f>$F427</f>
        <v>0</v>
      </c>
      <c r="D432" s="3" t="str">
        <f t="shared" si="172"/>
        <v>T_BAD_DEBT - Tenant Bad Debt Expense</v>
      </c>
      <c r="E432"/>
      <c r="F432" s="22" t="str">
        <f>_xll.EVDES(D432)</f>
        <v>Tenant Bad Debt Expense</v>
      </c>
      <c r="G432" s="18">
        <f ca="1">SUMIFS(OFFSET('BPC Data'!$F:$F,0,Summary!G$2),'BPC Data'!$E:$E,Summary!$D432,'BPC Data'!$B:$B,Summary!$C432)</f>
        <v>0</v>
      </c>
      <c r="H432" s="92">
        <f ca="1">SUMIFS(OFFSET('BPC Data'!$F:$F,0,Summary!H$2),'BPC Data'!$E:$E,Summary!$D432,'BPC Data'!$B:$B,Summary!$C432)</f>
        <v>0</v>
      </c>
      <c r="I432" s="18">
        <f ca="1">SUMIFS(OFFSET('BPC Data'!$F:$F,0,Summary!I$2),'BPC Data'!$E:$E,Summary!$D432,'BPC Data'!$B:$B,Summary!$C432)</f>
        <v>0</v>
      </c>
      <c r="J432" s="92">
        <f ca="1">SUMIFS(OFFSET('BPC Data'!$F:$F,0,Summary!J$2),'BPC Data'!$E:$E,Summary!$D432,'BPC Data'!$B:$B,Summary!$C432)</f>
        <v>0</v>
      </c>
      <c r="K432" s="18">
        <f ca="1">SUMIFS(OFFSET('BPC Data'!$F:$F,0,Summary!K$2),'BPC Data'!$E:$E,Summary!$D432,'BPC Data'!$B:$B,Summary!$C432)</f>
        <v>0</v>
      </c>
      <c r="L432" s="92">
        <f ca="1">SUMIFS(OFFSET('BPC Data'!$F:$F,0,Summary!L$2),'BPC Data'!$E:$E,Summary!$D432,'BPC Data'!$B:$B,Summary!$C432)</f>
        <v>0</v>
      </c>
      <c r="M432" s="32"/>
      <c r="N432" s="110"/>
      <c r="O432" s="106">
        <f t="shared" si="168"/>
        <v>0</v>
      </c>
    </row>
    <row r="433" spans="1:15" s="16" customFormat="1" hidden="1" outlineLevel="1" x14ac:dyDescent="0.25">
      <c r="A433" s="16">
        <f t="shared" si="181"/>
        <v>39</v>
      </c>
      <c r="B433"/>
      <c r="C433">
        <f>$F427</f>
        <v>0</v>
      </c>
      <c r="D433" s="2" t="str">
        <f t="shared" si="172"/>
        <v>T_EBITDARM - EBITDARM</v>
      </c>
      <c r="E433"/>
      <c r="F433" s="22" t="str">
        <f>_xll.EVDES(D433)</f>
        <v>EBITDARM</v>
      </c>
      <c r="G433" s="18">
        <f ca="1">SUMIFS(OFFSET('BPC Data'!$F:$F,0,Summary!G$2),'BPC Data'!$E:$E,Summary!$D433,'BPC Data'!$B:$B,Summary!$C433)</f>
        <v>0</v>
      </c>
      <c r="H433" s="92">
        <f ca="1">SUMIFS(OFFSET('BPC Data'!$F:$F,0,Summary!H$2),'BPC Data'!$E:$E,Summary!$D433,'BPC Data'!$B:$B,Summary!$C433)</f>
        <v>0</v>
      </c>
      <c r="I433" s="18">
        <f ca="1">SUMIFS(OFFSET('BPC Data'!$F:$F,0,Summary!I$2),'BPC Data'!$E:$E,Summary!$D433,'BPC Data'!$B:$B,Summary!$C433)</f>
        <v>0</v>
      </c>
      <c r="J433" s="92">
        <f ca="1">SUMIFS(OFFSET('BPC Data'!$F:$F,0,Summary!J$2),'BPC Data'!$E:$E,Summary!$D433,'BPC Data'!$B:$B,Summary!$C433)</f>
        <v>0</v>
      </c>
      <c r="K433" s="18">
        <f ca="1">SUMIFS(OFFSET('BPC Data'!$F:$F,0,Summary!K$2),'BPC Data'!$E:$E,Summary!$D433,'BPC Data'!$B:$B,Summary!$C433)</f>
        <v>0</v>
      </c>
      <c r="L433" s="92">
        <f ca="1">SUMIFS(OFFSET('BPC Data'!$F:$F,0,Summary!L$2),'BPC Data'!$E:$E,Summary!$D433,'BPC Data'!$B:$B,Summary!$C433)</f>
        <v>0</v>
      </c>
      <c r="M433" s="32"/>
      <c r="N433" s="110"/>
      <c r="O433" s="106">
        <f t="shared" si="168"/>
        <v>0</v>
      </c>
    </row>
    <row r="434" spans="1:15" s="16" customFormat="1" hidden="1" outlineLevel="1" x14ac:dyDescent="0.25">
      <c r="A434" s="16">
        <f t="shared" si="181"/>
        <v>39</v>
      </c>
      <c r="B434"/>
      <c r="C434">
        <f>$F427</f>
        <v>0</v>
      </c>
      <c r="D434" s="2" t="str">
        <f t="shared" si="172"/>
        <v>T_MGMT_FEE - Tenant Management Fee - Actual</v>
      </c>
      <c r="E434"/>
      <c r="F434" s="22" t="str">
        <f>_xll.EVDES(D434)</f>
        <v>Tenant Management Fee - Actual</v>
      </c>
      <c r="G434" s="18">
        <f ca="1">SUMIFS(OFFSET('BPC Data'!$F:$F,0,Summary!G$2),'BPC Data'!$E:$E,Summary!$D434,'BPC Data'!$B:$B,Summary!$C434)</f>
        <v>0</v>
      </c>
      <c r="H434" s="92">
        <f ca="1">SUMIFS(OFFSET('BPC Data'!$F:$F,0,Summary!H$2),'BPC Data'!$E:$E,Summary!$D434,'BPC Data'!$B:$B,Summary!$C434)</f>
        <v>0</v>
      </c>
      <c r="I434" s="18">
        <f ca="1">SUMIFS(OFFSET('BPC Data'!$F:$F,0,Summary!I$2),'BPC Data'!$E:$E,Summary!$D434,'BPC Data'!$B:$B,Summary!$C434)</f>
        <v>0</v>
      </c>
      <c r="J434" s="92">
        <f ca="1">SUMIFS(OFFSET('BPC Data'!$F:$F,0,Summary!J$2),'BPC Data'!$E:$E,Summary!$D434,'BPC Data'!$B:$B,Summary!$C434)</f>
        <v>0</v>
      </c>
      <c r="K434" s="18">
        <f ca="1">SUMIFS(OFFSET('BPC Data'!$F:$F,0,Summary!K$2),'BPC Data'!$E:$E,Summary!$D434,'BPC Data'!$B:$B,Summary!$C434)</f>
        <v>0</v>
      </c>
      <c r="L434" s="92">
        <f ca="1">SUMIFS(OFFSET('BPC Data'!$F:$F,0,Summary!L$2),'BPC Data'!$E:$E,Summary!$D434,'BPC Data'!$B:$B,Summary!$C434)</f>
        <v>0</v>
      </c>
      <c r="M434" s="32"/>
      <c r="N434" s="110"/>
      <c r="O434" s="106">
        <f t="shared" si="168"/>
        <v>0</v>
      </c>
    </row>
    <row r="435" spans="1:15" s="16" customFormat="1" hidden="1" outlineLevel="1" x14ac:dyDescent="0.25">
      <c r="A435" s="16">
        <f t="shared" si="181"/>
        <v>39</v>
      </c>
      <c r="B435"/>
      <c r="C435">
        <f>$F427</f>
        <v>0</v>
      </c>
      <c r="D435" s="1" t="str">
        <f t="shared" si="172"/>
        <v>T_EBITDAR - EBITDAR</v>
      </c>
      <c r="E435"/>
      <c r="F435" s="22" t="str">
        <f>_xll.EVDES(D435)</f>
        <v>EBITDAR</v>
      </c>
      <c r="G435" s="18">
        <f ca="1">SUMIFS(OFFSET('BPC Data'!$F:$F,0,Summary!G$2),'BPC Data'!$E:$E,Summary!$D435,'BPC Data'!$B:$B,Summary!$C435)</f>
        <v>0</v>
      </c>
      <c r="H435" s="92">
        <f ca="1">SUMIFS(OFFSET('BPC Data'!$F:$F,0,Summary!H$2),'BPC Data'!$E:$E,Summary!$D435,'BPC Data'!$B:$B,Summary!$C435)</f>
        <v>0</v>
      </c>
      <c r="I435" s="18">
        <f ca="1">SUMIFS(OFFSET('BPC Data'!$F:$F,0,Summary!I$2),'BPC Data'!$E:$E,Summary!$D435,'BPC Data'!$B:$B,Summary!$C435)</f>
        <v>0</v>
      </c>
      <c r="J435" s="92">
        <f ca="1">SUMIFS(OFFSET('BPC Data'!$F:$F,0,Summary!J$2),'BPC Data'!$E:$E,Summary!$D435,'BPC Data'!$B:$B,Summary!$C435)</f>
        <v>0</v>
      </c>
      <c r="K435" s="18">
        <f ca="1">SUMIFS(OFFSET('BPC Data'!$F:$F,0,Summary!K$2),'BPC Data'!$E:$E,Summary!$D435,'BPC Data'!$B:$B,Summary!$C435)</f>
        <v>0</v>
      </c>
      <c r="L435" s="92">
        <f ca="1">SUMIFS(OFFSET('BPC Data'!$F:$F,0,Summary!L$2),'BPC Data'!$E:$E,Summary!$D435,'BPC Data'!$B:$B,Summary!$C435)</f>
        <v>0</v>
      </c>
      <c r="M435" s="32"/>
      <c r="N435" s="110"/>
      <c r="O435" s="106">
        <f t="shared" si="168"/>
        <v>0</v>
      </c>
    </row>
    <row r="436" spans="1:15" s="16" customFormat="1" hidden="1" outlineLevel="1" x14ac:dyDescent="0.25">
      <c r="A436" s="16">
        <f t="shared" si="181"/>
        <v>39</v>
      </c>
      <c r="B436"/>
      <c r="C436">
        <f>$F427</f>
        <v>0</v>
      </c>
      <c r="D436" s="1" t="str">
        <f t="shared" si="172"/>
        <v>T_RENT_EXP - Tenant Rent Expense</v>
      </c>
      <c r="E436"/>
      <c r="F436" s="22" t="str">
        <f>_xll.EVDES(D436)</f>
        <v>Tenant Rent Expense</v>
      </c>
      <c r="G436" s="18">
        <f ca="1">SUMIFS(OFFSET('BPC Data'!$F:$F,0,Summary!G$2),'BPC Data'!$E:$E,Summary!$D436,'BPC Data'!$B:$B,Summary!$C436)</f>
        <v>0</v>
      </c>
      <c r="H436" s="92">
        <f ca="1">SUMIFS(OFFSET('BPC Data'!$F:$F,0,Summary!H$2),'BPC Data'!$E:$E,Summary!$D436,'BPC Data'!$B:$B,Summary!$C436)</f>
        <v>0</v>
      </c>
      <c r="I436" s="18">
        <f ca="1">SUMIFS(OFFSET('BPC Data'!$F:$F,0,Summary!I$2),'BPC Data'!$E:$E,Summary!$D436,'BPC Data'!$B:$B,Summary!$C436)</f>
        <v>0</v>
      </c>
      <c r="J436" s="92">
        <f ca="1">SUMIFS(OFFSET('BPC Data'!$F:$F,0,Summary!J$2),'BPC Data'!$E:$E,Summary!$D436,'BPC Data'!$B:$B,Summary!$C436)</f>
        <v>0</v>
      </c>
      <c r="K436" s="18">
        <f ca="1">SUMIFS(OFFSET('BPC Data'!$F:$F,0,Summary!K$2),'BPC Data'!$E:$E,Summary!$D436,'BPC Data'!$B:$B,Summary!$C436)</f>
        <v>0</v>
      </c>
      <c r="L436" s="92">
        <f ca="1">SUMIFS(OFFSET('BPC Data'!$F:$F,0,Summary!L$2),'BPC Data'!$E:$E,Summary!$D436,'BPC Data'!$B:$B,Summary!$C436)</f>
        <v>0</v>
      </c>
      <c r="M436" s="32"/>
      <c r="N436" s="110"/>
      <c r="O436" s="106">
        <f t="shared" si="168"/>
        <v>0</v>
      </c>
    </row>
    <row r="437" spans="1:15" s="16" customFormat="1" hidden="1" outlineLevel="1" x14ac:dyDescent="0.25">
      <c r="A437" s="16">
        <f t="shared" si="181"/>
        <v>39</v>
      </c>
      <c r="B437"/>
      <c r="C437"/>
      <c r="D437" s="1" t="str">
        <f t="shared" si="172"/>
        <v>x</v>
      </c>
      <c r="E437"/>
      <c r="F437" s="22" t="s">
        <v>0</v>
      </c>
      <c r="G437" s="11" t="e">
        <f t="shared" ref="G437:H437" ca="1" si="182">G435/G436</f>
        <v>#DIV/0!</v>
      </c>
      <c r="H437" s="93" t="e">
        <f t="shared" ca="1" si="182"/>
        <v>#DIV/0!</v>
      </c>
      <c r="I437" s="11" t="e">
        <f t="shared" ref="I437:J437" ca="1" si="183">I435/I436</f>
        <v>#DIV/0!</v>
      </c>
      <c r="J437" s="93" t="e">
        <f t="shared" ca="1" si="183"/>
        <v>#DIV/0!</v>
      </c>
      <c r="K437" s="11" t="e">
        <f t="shared" ref="K437:L437" ca="1" si="184">K435/K436</f>
        <v>#DIV/0!</v>
      </c>
      <c r="L437" s="93" t="e">
        <f t="shared" ca="1" si="184"/>
        <v>#DIV/0!</v>
      </c>
      <c r="M437" s="32"/>
      <c r="N437" s="110"/>
      <c r="O437" s="106">
        <f t="shared" si="168"/>
        <v>0</v>
      </c>
    </row>
    <row r="438" spans="1:15" s="16" customFormat="1" hidden="1" outlineLevel="1" x14ac:dyDescent="0.25">
      <c r="A438" s="16">
        <f>IF(AND(D438&lt;&gt;"",C438=""),A437+1,A437)</f>
        <v>40</v>
      </c>
      <c r="B438" s="4"/>
      <c r="C438" s="4"/>
      <c r="D438" s="4" t="str">
        <f t="shared" si="172"/>
        <v>x</v>
      </c>
      <c r="E438" s="4"/>
      <c r="F438" s="21">
        <f>INDEX(PropertyList!$D:$D,MATCH(Summary!$A438,PropertyList!$C:$C,0))</f>
        <v>0</v>
      </c>
      <c r="G438" s="10"/>
      <c r="H438" s="91"/>
      <c r="I438" s="10"/>
      <c r="J438" s="91"/>
      <c r="K438" s="10"/>
      <c r="L438" s="91"/>
      <c r="M438" s="32"/>
      <c r="N438" s="110"/>
      <c r="O438" s="106">
        <f t="shared" si="168"/>
        <v>0</v>
      </c>
    </row>
    <row r="439" spans="1:15" s="16" customFormat="1" hidden="1" outlineLevel="1" x14ac:dyDescent="0.25">
      <c r="A439" s="16">
        <f>IF(AND(F439&lt;&gt;"",D439=""),A438+1,A438)</f>
        <v>40</v>
      </c>
      <c r="C439">
        <f>$F438</f>
        <v>0</v>
      </c>
      <c r="D439" s="3" t="str">
        <f t="shared" si="172"/>
        <v>PAY_PAT_DAYS - Total Payor Patient Days</v>
      </c>
      <c r="F439" s="22" t="str">
        <f>_xll.EVDES(D439)</f>
        <v>Total Payor Patient Days</v>
      </c>
      <c r="G439" s="18">
        <f ca="1">SUMIFS(OFFSET('BPC Data'!$F:$F,0,Summary!G$2),'BPC Data'!$E:$E,Summary!$D439,'BPC Data'!$B:$B,Summary!$C439)</f>
        <v>0</v>
      </c>
      <c r="H439" s="92">
        <f ca="1">SUMIFS(OFFSET('BPC Data'!$F:$F,0,Summary!H$2),'BPC Data'!$E:$E,Summary!$D439,'BPC Data'!$B:$B,Summary!$C439)</f>
        <v>0</v>
      </c>
      <c r="I439" s="18">
        <f ca="1">SUMIFS(OFFSET('BPC Data'!$F:$F,0,Summary!I$2),'BPC Data'!$E:$E,Summary!$D439,'BPC Data'!$B:$B,Summary!$C439)</f>
        <v>0</v>
      </c>
      <c r="J439" s="92">
        <f ca="1">SUMIFS(OFFSET('BPC Data'!$F:$F,0,Summary!J$2),'BPC Data'!$E:$E,Summary!$D439,'BPC Data'!$B:$B,Summary!$C439)</f>
        <v>0</v>
      </c>
      <c r="K439" s="18">
        <f ca="1">SUMIFS(OFFSET('BPC Data'!$F:$F,0,Summary!K$2),'BPC Data'!$E:$E,Summary!$D439,'BPC Data'!$B:$B,Summary!$C439)</f>
        <v>0</v>
      </c>
      <c r="L439" s="92">
        <f ca="1">SUMIFS(OFFSET('BPC Data'!$F:$F,0,Summary!L$2),'BPC Data'!$E:$E,Summary!$D439,'BPC Data'!$B:$B,Summary!$C439)</f>
        <v>0</v>
      </c>
      <c r="M439" s="32"/>
      <c r="N439" s="110"/>
      <c r="O439" s="106">
        <f t="shared" si="168"/>
        <v>0</v>
      </c>
    </row>
    <row r="440" spans="1:15" s="16" customFormat="1" hidden="1" outlineLevel="1" x14ac:dyDescent="0.25">
      <c r="A440" s="16">
        <f t="shared" ref="A440:A448" si="185">IF(AND(F440&lt;&gt;"",D440=""),A439+1,A439)</f>
        <v>40</v>
      </c>
      <c r="C440">
        <f>$F438</f>
        <v>0</v>
      </c>
      <c r="D440" s="3" t="str">
        <f t="shared" si="172"/>
        <v>A_BEDS_TOTAL - Total Available Beds</v>
      </c>
      <c r="F440" s="22" t="str">
        <f>_xll.EVDES(D440)</f>
        <v>Total Available Beds</v>
      </c>
      <c r="G440" s="18">
        <f ca="1">SUMIFS(OFFSET('BPC Data'!$F:$F,0,Summary!G$2),'BPC Data'!$E:$E,Summary!$D440,'BPC Data'!$B:$B,Summary!$C440)</f>
        <v>0</v>
      </c>
      <c r="H440" s="92">
        <f ca="1">SUMIFS(OFFSET('BPC Data'!$F:$F,0,Summary!H$2),'BPC Data'!$E:$E,Summary!$D440,'BPC Data'!$B:$B,Summary!$C440)</f>
        <v>0</v>
      </c>
      <c r="I440" s="18">
        <f ca="1">SUMIFS(OFFSET('BPC Data'!$F:$F,0,Summary!I$2),'BPC Data'!$E:$E,Summary!$D440,'BPC Data'!$B:$B,Summary!$C440)</f>
        <v>0</v>
      </c>
      <c r="J440" s="92">
        <f ca="1">SUMIFS(OFFSET('BPC Data'!$F:$F,0,Summary!J$2),'BPC Data'!$E:$E,Summary!$D440,'BPC Data'!$B:$B,Summary!$C440)</f>
        <v>0</v>
      </c>
      <c r="K440" s="18">
        <f ca="1">SUMIFS(OFFSET('BPC Data'!$F:$F,0,Summary!K$2),'BPC Data'!$E:$E,Summary!$D440,'BPC Data'!$B:$B,Summary!$C440)</f>
        <v>0</v>
      </c>
      <c r="L440" s="92">
        <f ca="1">SUMIFS(OFFSET('BPC Data'!$F:$F,0,Summary!L$2),'BPC Data'!$E:$E,Summary!$D440,'BPC Data'!$B:$B,Summary!$C440)</f>
        <v>0</v>
      </c>
      <c r="M440" s="32"/>
      <c r="N440" s="110"/>
      <c r="O440" s="106">
        <f t="shared" si="168"/>
        <v>0</v>
      </c>
    </row>
    <row r="441" spans="1:15" s="16" customFormat="1" hidden="1" outlineLevel="1" x14ac:dyDescent="0.25">
      <c r="A441" s="16">
        <f t="shared" si="185"/>
        <v>40</v>
      </c>
      <c r="B441"/>
      <c r="C441">
        <f>$F438</f>
        <v>0</v>
      </c>
      <c r="D441" s="3" t="str">
        <f t="shared" si="172"/>
        <v>T_REVENUES - Total Tenant Revenues</v>
      </c>
      <c r="E441"/>
      <c r="F441" s="22" t="str">
        <f>_xll.EVDES(D441)</f>
        <v>Total Tenant Revenues</v>
      </c>
      <c r="G441" s="18">
        <f ca="1">SUMIFS(OFFSET('BPC Data'!$F:$F,0,Summary!G$2),'BPC Data'!$E:$E,Summary!$D441,'BPC Data'!$B:$B,Summary!$C441)</f>
        <v>0</v>
      </c>
      <c r="H441" s="92">
        <f ca="1">SUMIFS(OFFSET('BPC Data'!$F:$F,0,Summary!H$2),'BPC Data'!$E:$E,Summary!$D441,'BPC Data'!$B:$B,Summary!$C441)</f>
        <v>0</v>
      </c>
      <c r="I441" s="18">
        <f ca="1">SUMIFS(OFFSET('BPC Data'!$F:$F,0,Summary!I$2),'BPC Data'!$E:$E,Summary!$D441,'BPC Data'!$B:$B,Summary!$C441)</f>
        <v>0</v>
      </c>
      <c r="J441" s="92">
        <f ca="1">SUMIFS(OFFSET('BPC Data'!$F:$F,0,Summary!J$2),'BPC Data'!$E:$E,Summary!$D441,'BPC Data'!$B:$B,Summary!$C441)</f>
        <v>0</v>
      </c>
      <c r="K441" s="18">
        <f ca="1">SUMIFS(OFFSET('BPC Data'!$F:$F,0,Summary!K$2),'BPC Data'!$E:$E,Summary!$D441,'BPC Data'!$B:$B,Summary!$C441)</f>
        <v>0</v>
      </c>
      <c r="L441" s="92">
        <f ca="1">SUMIFS(OFFSET('BPC Data'!$F:$F,0,Summary!L$2),'BPC Data'!$E:$E,Summary!$D441,'BPC Data'!$B:$B,Summary!$C441)</f>
        <v>0</v>
      </c>
      <c r="M441" s="32"/>
      <c r="N441" s="110"/>
      <c r="O441" s="106">
        <f t="shared" si="168"/>
        <v>0</v>
      </c>
    </row>
    <row r="442" spans="1:15" s="16" customFormat="1" hidden="1" outlineLevel="1" x14ac:dyDescent="0.25">
      <c r="A442" s="16">
        <f t="shared" si="185"/>
        <v>40</v>
      </c>
      <c r="B442"/>
      <c r="C442">
        <f>$F438</f>
        <v>0</v>
      </c>
      <c r="D442" s="3" t="str">
        <f t="shared" si="172"/>
        <v>T_OPEX - Tenant Operating Expenses</v>
      </c>
      <c r="E442"/>
      <c r="F442" s="22" t="str">
        <f>_xll.EVDES(D442)</f>
        <v>Tenant Operating Expenses</v>
      </c>
      <c r="G442" s="18">
        <f ca="1">SUMIFS(OFFSET('BPC Data'!$F:$F,0,Summary!G$2),'BPC Data'!$E:$E,Summary!$D442,'BPC Data'!$B:$B,Summary!$C442)</f>
        <v>0</v>
      </c>
      <c r="H442" s="92">
        <f ca="1">SUMIFS(OFFSET('BPC Data'!$F:$F,0,Summary!H$2),'BPC Data'!$E:$E,Summary!$D442,'BPC Data'!$B:$B,Summary!$C442)</f>
        <v>0</v>
      </c>
      <c r="I442" s="18">
        <f ca="1">SUMIFS(OFFSET('BPC Data'!$F:$F,0,Summary!I$2),'BPC Data'!$E:$E,Summary!$D442,'BPC Data'!$B:$B,Summary!$C442)</f>
        <v>0</v>
      </c>
      <c r="J442" s="92">
        <f ca="1">SUMIFS(OFFSET('BPC Data'!$F:$F,0,Summary!J$2),'BPC Data'!$E:$E,Summary!$D442,'BPC Data'!$B:$B,Summary!$C442)</f>
        <v>0</v>
      </c>
      <c r="K442" s="18">
        <f ca="1">SUMIFS(OFFSET('BPC Data'!$F:$F,0,Summary!K$2),'BPC Data'!$E:$E,Summary!$D442,'BPC Data'!$B:$B,Summary!$C442)</f>
        <v>0</v>
      </c>
      <c r="L442" s="92">
        <f ca="1">SUMIFS(OFFSET('BPC Data'!$F:$F,0,Summary!L$2),'BPC Data'!$E:$E,Summary!$D442,'BPC Data'!$B:$B,Summary!$C442)</f>
        <v>0</v>
      </c>
      <c r="M442" s="32"/>
      <c r="N442" s="110"/>
      <c r="O442" s="106">
        <f t="shared" si="168"/>
        <v>0</v>
      </c>
    </row>
    <row r="443" spans="1:15" s="16" customFormat="1" hidden="1" outlineLevel="1" x14ac:dyDescent="0.25">
      <c r="A443" s="16">
        <f t="shared" si="185"/>
        <v>40</v>
      </c>
      <c r="B443"/>
      <c r="C443">
        <f>$F438</f>
        <v>0</v>
      </c>
      <c r="D443" s="3" t="str">
        <f t="shared" si="172"/>
        <v>T_BAD_DEBT - Tenant Bad Debt Expense</v>
      </c>
      <c r="E443"/>
      <c r="F443" s="22" t="str">
        <f>_xll.EVDES(D443)</f>
        <v>Tenant Bad Debt Expense</v>
      </c>
      <c r="G443" s="18">
        <f ca="1">SUMIFS(OFFSET('BPC Data'!$F:$F,0,Summary!G$2),'BPC Data'!$E:$E,Summary!$D443,'BPC Data'!$B:$B,Summary!$C443)</f>
        <v>0</v>
      </c>
      <c r="H443" s="92">
        <f ca="1">SUMIFS(OFFSET('BPC Data'!$F:$F,0,Summary!H$2),'BPC Data'!$E:$E,Summary!$D443,'BPC Data'!$B:$B,Summary!$C443)</f>
        <v>0</v>
      </c>
      <c r="I443" s="18">
        <f ca="1">SUMIFS(OFFSET('BPC Data'!$F:$F,0,Summary!I$2),'BPC Data'!$E:$E,Summary!$D443,'BPC Data'!$B:$B,Summary!$C443)</f>
        <v>0</v>
      </c>
      <c r="J443" s="92">
        <f ca="1">SUMIFS(OFFSET('BPC Data'!$F:$F,0,Summary!J$2),'BPC Data'!$E:$E,Summary!$D443,'BPC Data'!$B:$B,Summary!$C443)</f>
        <v>0</v>
      </c>
      <c r="K443" s="18">
        <f ca="1">SUMIFS(OFFSET('BPC Data'!$F:$F,0,Summary!K$2),'BPC Data'!$E:$E,Summary!$D443,'BPC Data'!$B:$B,Summary!$C443)</f>
        <v>0</v>
      </c>
      <c r="L443" s="92">
        <f ca="1">SUMIFS(OFFSET('BPC Data'!$F:$F,0,Summary!L$2),'BPC Data'!$E:$E,Summary!$D443,'BPC Data'!$B:$B,Summary!$C443)</f>
        <v>0</v>
      </c>
      <c r="M443" s="32"/>
      <c r="N443" s="110"/>
      <c r="O443" s="106">
        <f t="shared" si="168"/>
        <v>0</v>
      </c>
    </row>
    <row r="444" spans="1:15" s="16" customFormat="1" hidden="1" outlineLevel="1" x14ac:dyDescent="0.25">
      <c r="A444" s="16">
        <f t="shared" si="185"/>
        <v>40</v>
      </c>
      <c r="B444"/>
      <c r="C444">
        <f>$F438</f>
        <v>0</v>
      </c>
      <c r="D444" s="2" t="str">
        <f t="shared" si="172"/>
        <v>T_EBITDARM - EBITDARM</v>
      </c>
      <c r="E444"/>
      <c r="F444" s="22" t="str">
        <f>_xll.EVDES(D444)</f>
        <v>EBITDARM</v>
      </c>
      <c r="G444" s="18">
        <f ca="1">SUMIFS(OFFSET('BPC Data'!$F:$F,0,Summary!G$2),'BPC Data'!$E:$E,Summary!$D444,'BPC Data'!$B:$B,Summary!$C444)</f>
        <v>0</v>
      </c>
      <c r="H444" s="92">
        <f ca="1">SUMIFS(OFFSET('BPC Data'!$F:$F,0,Summary!H$2),'BPC Data'!$E:$E,Summary!$D444,'BPC Data'!$B:$B,Summary!$C444)</f>
        <v>0</v>
      </c>
      <c r="I444" s="18">
        <f ca="1">SUMIFS(OFFSET('BPC Data'!$F:$F,0,Summary!I$2),'BPC Data'!$E:$E,Summary!$D444,'BPC Data'!$B:$B,Summary!$C444)</f>
        <v>0</v>
      </c>
      <c r="J444" s="92">
        <f ca="1">SUMIFS(OFFSET('BPC Data'!$F:$F,0,Summary!J$2),'BPC Data'!$E:$E,Summary!$D444,'BPC Data'!$B:$B,Summary!$C444)</f>
        <v>0</v>
      </c>
      <c r="K444" s="18">
        <f ca="1">SUMIFS(OFFSET('BPC Data'!$F:$F,0,Summary!K$2),'BPC Data'!$E:$E,Summary!$D444,'BPC Data'!$B:$B,Summary!$C444)</f>
        <v>0</v>
      </c>
      <c r="L444" s="92">
        <f ca="1">SUMIFS(OFFSET('BPC Data'!$F:$F,0,Summary!L$2),'BPC Data'!$E:$E,Summary!$D444,'BPC Data'!$B:$B,Summary!$C444)</f>
        <v>0</v>
      </c>
      <c r="M444" s="32"/>
      <c r="N444" s="110"/>
      <c r="O444" s="106">
        <f t="shared" si="168"/>
        <v>0</v>
      </c>
    </row>
    <row r="445" spans="1:15" s="16" customFormat="1" hidden="1" outlineLevel="1" x14ac:dyDescent="0.25">
      <c r="A445" s="16">
        <f t="shared" si="185"/>
        <v>40</v>
      </c>
      <c r="B445"/>
      <c r="C445">
        <f>$F438</f>
        <v>0</v>
      </c>
      <c r="D445" s="2" t="str">
        <f t="shared" si="172"/>
        <v>T_MGMT_FEE - Tenant Management Fee - Actual</v>
      </c>
      <c r="E445"/>
      <c r="F445" s="22" t="str">
        <f>_xll.EVDES(D445)</f>
        <v>Tenant Management Fee - Actual</v>
      </c>
      <c r="G445" s="18">
        <f ca="1">SUMIFS(OFFSET('BPC Data'!$F:$F,0,Summary!G$2),'BPC Data'!$E:$E,Summary!$D445,'BPC Data'!$B:$B,Summary!$C445)</f>
        <v>0</v>
      </c>
      <c r="H445" s="92">
        <f ca="1">SUMIFS(OFFSET('BPC Data'!$F:$F,0,Summary!H$2),'BPC Data'!$E:$E,Summary!$D445,'BPC Data'!$B:$B,Summary!$C445)</f>
        <v>0</v>
      </c>
      <c r="I445" s="18">
        <f ca="1">SUMIFS(OFFSET('BPC Data'!$F:$F,0,Summary!I$2),'BPC Data'!$E:$E,Summary!$D445,'BPC Data'!$B:$B,Summary!$C445)</f>
        <v>0</v>
      </c>
      <c r="J445" s="92">
        <f ca="1">SUMIFS(OFFSET('BPC Data'!$F:$F,0,Summary!J$2),'BPC Data'!$E:$E,Summary!$D445,'BPC Data'!$B:$B,Summary!$C445)</f>
        <v>0</v>
      </c>
      <c r="K445" s="18">
        <f ca="1">SUMIFS(OFFSET('BPC Data'!$F:$F,0,Summary!K$2),'BPC Data'!$E:$E,Summary!$D445,'BPC Data'!$B:$B,Summary!$C445)</f>
        <v>0</v>
      </c>
      <c r="L445" s="92">
        <f ca="1">SUMIFS(OFFSET('BPC Data'!$F:$F,0,Summary!L$2),'BPC Data'!$E:$E,Summary!$D445,'BPC Data'!$B:$B,Summary!$C445)</f>
        <v>0</v>
      </c>
      <c r="M445" s="32"/>
      <c r="N445" s="110"/>
      <c r="O445" s="106">
        <f t="shared" si="168"/>
        <v>0</v>
      </c>
    </row>
    <row r="446" spans="1:15" s="16" customFormat="1" hidden="1" outlineLevel="1" x14ac:dyDescent="0.25">
      <c r="A446" s="16">
        <f t="shared" si="185"/>
        <v>40</v>
      </c>
      <c r="B446"/>
      <c r="C446">
        <f>$F438</f>
        <v>0</v>
      </c>
      <c r="D446" s="1" t="str">
        <f t="shared" si="172"/>
        <v>T_EBITDAR - EBITDAR</v>
      </c>
      <c r="E446"/>
      <c r="F446" s="22" t="str">
        <f>_xll.EVDES(D446)</f>
        <v>EBITDAR</v>
      </c>
      <c r="G446" s="18">
        <f ca="1">SUMIFS(OFFSET('BPC Data'!$F:$F,0,Summary!G$2),'BPC Data'!$E:$E,Summary!$D446,'BPC Data'!$B:$B,Summary!$C446)</f>
        <v>0</v>
      </c>
      <c r="H446" s="92">
        <f ca="1">SUMIFS(OFFSET('BPC Data'!$F:$F,0,Summary!H$2),'BPC Data'!$E:$E,Summary!$D446,'BPC Data'!$B:$B,Summary!$C446)</f>
        <v>0</v>
      </c>
      <c r="I446" s="18">
        <f ca="1">SUMIFS(OFFSET('BPC Data'!$F:$F,0,Summary!I$2),'BPC Data'!$E:$E,Summary!$D446,'BPC Data'!$B:$B,Summary!$C446)</f>
        <v>0</v>
      </c>
      <c r="J446" s="92">
        <f ca="1">SUMIFS(OFFSET('BPC Data'!$F:$F,0,Summary!J$2),'BPC Data'!$E:$E,Summary!$D446,'BPC Data'!$B:$B,Summary!$C446)</f>
        <v>0</v>
      </c>
      <c r="K446" s="18">
        <f ca="1">SUMIFS(OFFSET('BPC Data'!$F:$F,0,Summary!K$2),'BPC Data'!$E:$E,Summary!$D446,'BPC Data'!$B:$B,Summary!$C446)</f>
        <v>0</v>
      </c>
      <c r="L446" s="92">
        <f ca="1">SUMIFS(OFFSET('BPC Data'!$F:$F,0,Summary!L$2),'BPC Data'!$E:$E,Summary!$D446,'BPC Data'!$B:$B,Summary!$C446)</f>
        <v>0</v>
      </c>
      <c r="M446" s="32"/>
      <c r="N446" s="110"/>
      <c r="O446" s="106">
        <f t="shared" si="168"/>
        <v>0</v>
      </c>
    </row>
    <row r="447" spans="1:15" s="16" customFormat="1" hidden="1" outlineLevel="1" x14ac:dyDescent="0.25">
      <c r="A447" s="16">
        <f t="shared" si="185"/>
        <v>40</v>
      </c>
      <c r="B447"/>
      <c r="C447">
        <f>$F438</f>
        <v>0</v>
      </c>
      <c r="D447" s="1" t="str">
        <f t="shared" si="172"/>
        <v>T_RENT_EXP - Tenant Rent Expense</v>
      </c>
      <c r="E447"/>
      <c r="F447" s="22" t="str">
        <f>_xll.EVDES(D447)</f>
        <v>Tenant Rent Expense</v>
      </c>
      <c r="G447" s="18">
        <f ca="1">SUMIFS(OFFSET('BPC Data'!$F:$F,0,Summary!G$2),'BPC Data'!$E:$E,Summary!$D447,'BPC Data'!$B:$B,Summary!$C447)</f>
        <v>0</v>
      </c>
      <c r="H447" s="92">
        <f ca="1">SUMIFS(OFFSET('BPC Data'!$F:$F,0,Summary!H$2),'BPC Data'!$E:$E,Summary!$D447,'BPC Data'!$B:$B,Summary!$C447)</f>
        <v>0</v>
      </c>
      <c r="I447" s="18">
        <f ca="1">SUMIFS(OFFSET('BPC Data'!$F:$F,0,Summary!I$2),'BPC Data'!$E:$E,Summary!$D447,'BPC Data'!$B:$B,Summary!$C447)</f>
        <v>0</v>
      </c>
      <c r="J447" s="92">
        <f ca="1">SUMIFS(OFFSET('BPC Data'!$F:$F,0,Summary!J$2),'BPC Data'!$E:$E,Summary!$D447,'BPC Data'!$B:$B,Summary!$C447)</f>
        <v>0</v>
      </c>
      <c r="K447" s="18">
        <f ca="1">SUMIFS(OFFSET('BPC Data'!$F:$F,0,Summary!K$2),'BPC Data'!$E:$E,Summary!$D447,'BPC Data'!$B:$B,Summary!$C447)</f>
        <v>0</v>
      </c>
      <c r="L447" s="92">
        <f ca="1">SUMIFS(OFFSET('BPC Data'!$F:$F,0,Summary!L$2),'BPC Data'!$E:$E,Summary!$D447,'BPC Data'!$B:$B,Summary!$C447)</f>
        <v>0</v>
      </c>
      <c r="M447" s="32"/>
      <c r="N447" s="110"/>
      <c r="O447" s="106">
        <f t="shared" si="168"/>
        <v>0</v>
      </c>
    </row>
    <row r="448" spans="1:15" s="16" customFormat="1" hidden="1" outlineLevel="1" x14ac:dyDescent="0.25">
      <c r="A448" s="16">
        <f t="shared" si="185"/>
        <v>40</v>
      </c>
      <c r="B448"/>
      <c r="C448"/>
      <c r="D448" s="1" t="str">
        <f t="shared" si="172"/>
        <v>x</v>
      </c>
      <c r="E448"/>
      <c r="F448" s="22" t="s">
        <v>0</v>
      </c>
      <c r="G448" s="11" t="e">
        <f t="shared" ref="G448:H448" ca="1" si="186">G446/G447</f>
        <v>#DIV/0!</v>
      </c>
      <c r="H448" s="93" t="e">
        <f t="shared" ca="1" si="186"/>
        <v>#DIV/0!</v>
      </c>
      <c r="I448" s="11" t="e">
        <f t="shared" ref="I448:J448" ca="1" si="187">I446/I447</f>
        <v>#DIV/0!</v>
      </c>
      <c r="J448" s="93" t="e">
        <f t="shared" ca="1" si="187"/>
        <v>#DIV/0!</v>
      </c>
      <c r="K448" s="11" t="e">
        <f t="shared" ref="K448:L448" ca="1" si="188">K446/K447</f>
        <v>#DIV/0!</v>
      </c>
      <c r="L448" s="93" t="e">
        <f t="shared" ca="1" si="188"/>
        <v>#DIV/0!</v>
      </c>
      <c r="M448" s="32"/>
      <c r="N448" s="110"/>
      <c r="O448" s="106">
        <f t="shared" si="168"/>
        <v>0</v>
      </c>
    </row>
    <row r="449" spans="1:15" s="16" customFormat="1" hidden="1" outlineLevel="1" x14ac:dyDescent="0.25">
      <c r="A449" s="16">
        <f>IF(AND(D449&lt;&gt;"",C449=""),A448+1,A448)</f>
        <v>41</v>
      </c>
      <c r="B449" s="4"/>
      <c r="C449" s="4"/>
      <c r="D449" s="4" t="str">
        <f t="shared" si="172"/>
        <v>x</v>
      </c>
      <c r="E449" s="4"/>
      <c r="F449" s="21">
        <f>INDEX(PropertyList!$D:$D,MATCH(Summary!$A449,PropertyList!$C:$C,0))</f>
        <v>0</v>
      </c>
      <c r="G449" s="10"/>
      <c r="H449" s="91"/>
      <c r="I449" s="10"/>
      <c r="J449" s="91"/>
      <c r="K449" s="10"/>
      <c r="L449" s="91"/>
      <c r="M449" s="32"/>
      <c r="N449" s="110"/>
      <c r="O449" s="106">
        <f t="shared" si="168"/>
        <v>0</v>
      </c>
    </row>
    <row r="450" spans="1:15" s="16" customFormat="1" hidden="1" outlineLevel="1" x14ac:dyDescent="0.25">
      <c r="A450" s="16">
        <f>IF(AND(F450&lt;&gt;"",D450=""),A449+1,A449)</f>
        <v>41</v>
      </c>
      <c r="C450">
        <f>$F449</f>
        <v>0</v>
      </c>
      <c r="D450" s="3" t="str">
        <f t="shared" si="172"/>
        <v>PAY_PAT_DAYS - Total Payor Patient Days</v>
      </c>
      <c r="F450" s="22" t="str">
        <f>_xll.EVDES(D450)</f>
        <v>Total Payor Patient Days</v>
      </c>
      <c r="G450" s="18">
        <f ca="1">SUMIFS(OFFSET('BPC Data'!$F:$F,0,Summary!G$2),'BPC Data'!$E:$E,Summary!$D450,'BPC Data'!$B:$B,Summary!$C450)</f>
        <v>0</v>
      </c>
      <c r="H450" s="92">
        <f ca="1">SUMIFS(OFFSET('BPC Data'!$F:$F,0,Summary!H$2),'BPC Data'!$E:$E,Summary!$D450,'BPC Data'!$B:$B,Summary!$C450)</f>
        <v>0</v>
      </c>
      <c r="I450" s="18">
        <f ca="1">SUMIFS(OFFSET('BPC Data'!$F:$F,0,Summary!I$2),'BPC Data'!$E:$E,Summary!$D450,'BPC Data'!$B:$B,Summary!$C450)</f>
        <v>0</v>
      </c>
      <c r="J450" s="92">
        <f ca="1">SUMIFS(OFFSET('BPC Data'!$F:$F,0,Summary!J$2),'BPC Data'!$E:$E,Summary!$D450,'BPC Data'!$B:$B,Summary!$C450)</f>
        <v>0</v>
      </c>
      <c r="K450" s="18">
        <f ca="1">SUMIFS(OFFSET('BPC Data'!$F:$F,0,Summary!K$2),'BPC Data'!$E:$E,Summary!$D450,'BPC Data'!$B:$B,Summary!$C450)</f>
        <v>0</v>
      </c>
      <c r="L450" s="92">
        <f ca="1">SUMIFS(OFFSET('BPC Data'!$F:$F,0,Summary!L$2),'BPC Data'!$E:$E,Summary!$D450,'BPC Data'!$B:$B,Summary!$C450)</f>
        <v>0</v>
      </c>
      <c r="M450" s="32"/>
      <c r="N450" s="110"/>
      <c r="O450" s="106">
        <f t="shared" si="168"/>
        <v>0</v>
      </c>
    </row>
    <row r="451" spans="1:15" s="16" customFormat="1" hidden="1" outlineLevel="1" x14ac:dyDescent="0.25">
      <c r="A451" s="16">
        <f t="shared" ref="A451:A459" si="189">IF(AND(F451&lt;&gt;"",D451=""),A450+1,A450)</f>
        <v>41</v>
      </c>
      <c r="C451">
        <f>$F449</f>
        <v>0</v>
      </c>
      <c r="D451" s="3" t="str">
        <f t="shared" si="172"/>
        <v>A_BEDS_TOTAL - Total Available Beds</v>
      </c>
      <c r="F451" s="22" t="str">
        <f>_xll.EVDES(D451)</f>
        <v>Total Available Beds</v>
      </c>
      <c r="G451" s="18">
        <f ca="1">SUMIFS(OFFSET('BPC Data'!$F:$F,0,Summary!G$2),'BPC Data'!$E:$E,Summary!$D451,'BPC Data'!$B:$B,Summary!$C451)</f>
        <v>0</v>
      </c>
      <c r="H451" s="92">
        <f ca="1">SUMIFS(OFFSET('BPC Data'!$F:$F,0,Summary!H$2),'BPC Data'!$E:$E,Summary!$D451,'BPC Data'!$B:$B,Summary!$C451)</f>
        <v>0</v>
      </c>
      <c r="I451" s="18">
        <f ca="1">SUMIFS(OFFSET('BPC Data'!$F:$F,0,Summary!I$2),'BPC Data'!$E:$E,Summary!$D451,'BPC Data'!$B:$B,Summary!$C451)</f>
        <v>0</v>
      </c>
      <c r="J451" s="92">
        <f ca="1">SUMIFS(OFFSET('BPC Data'!$F:$F,0,Summary!J$2),'BPC Data'!$E:$E,Summary!$D451,'BPC Data'!$B:$B,Summary!$C451)</f>
        <v>0</v>
      </c>
      <c r="K451" s="18">
        <f ca="1">SUMIFS(OFFSET('BPC Data'!$F:$F,0,Summary!K$2),'BPC Data'!$E:$E,Summary!$D451,'BPC Data'!$B:$B,Summary!$C451)</f>
        <v>0</v>
      </c>
      <c r="L451" s="92">
        <f ca="1">SUMIFS(OFFSET('BPC Data'!$F:$F,0,Summary!L$2),'BPC Data'!$E:$E,Summary!$D451,'BPC Data'!$B:$B,Summary!$C451)</f>
        <v>0</v>
      </c>
      <c r="M451" s="32"/>
      <c r="N451" s="110"/>
      <c r="O451" s="106">
        <f t="shared" si="168"/>
        <v>0</v>
      </c>
    </row>
    <row r="452" spans="1:15" s="16" customFormat="1" hidden="1" outlineLevel="1" x14ac:dyDescent="0.25">
      <c r="A452" s="16">
        <f t="shared" si="189"/>
        <v>41</v>
      </c>
      <c r="B452"/>
      <c r="C452">
        <f>$F449</f>
        <v>0</v>
      </c>
      <c r="D452" s="3" t="str">
        <f t="shared" si="172"/>
        <v>T_REVENUES - Total Tenant Revenues</v>
      </c>
      <c r="E452"/>
      <c r="F452" s="22" t="str">
        <f>_xll.EVDES(D452)</f>
        <v>Total Tenant Revenues</v>
      </c>
      <c r="G452" s="18">
        <f ca="1">SUMIFS(OFFSET('BPC Data'!$F:$F,0,Summary!G$2),'BPC Data'!$E:$E,Summary!$D452,'BPC Data'!$B:$B,Summary!$C452)</f>
        <v>0</v>
      </c>
      <c r="H452" s="92">
        <f ca="1">SUMIFS(OFFSET('BPC Data'!$F:$F,0,Summary!H$2),'BPC Data'!$E:$E,Summary!$D452,'BPC Data'!$B:$B,Summary!$C452)</f>
        <v>0</v>
      </c>
      <c r="I452" s="18">
        <f ca="1">SUMIFS(OFFSET('BPC Data'!$F:$F,0,Summary!I$2),'BPC Data'!$E:$E,Summary!$D452,'BPC Data'!$B:$B,Summary!$C452)</f>
        <v>0</v>
      </c>
      <c r="J452" s="92">
        <f ca="1">SUMIFS(OFFSET('BPC Data'!$F:$F,0,Summary!J$2),'BPC Data'!$E:$E,Summary!$D452,'BPC Data'!$B:$B,Summary!$C452)</f>
        <v>0</v>
      </c>
      <c r="K452" s="18">
        <f ca="1">SUMIFS(OFFSET('BPC Data'!$F:$F,0,Summary!K$2),'BPC Data'!$E:$E,Summary!$D452,'BPC Data'!$B:$B,Summary!$C452)</f>
        <v>0</v>
      </c>
      <c r="L452" s="92">
        <f ca="1">SUMIFS(OFFSET('BPC Data'!$F:$F,0,Summary!L$2),'BPC Data'!$E:$E,Summary!$D452,'BPC Data'!$B:$B,Summary!$C452)</f>
        <v>0</v>
      </c>
      <c r="M452" s="32"/>
      <c r="N452" s="110"/>
      <c r="O452" s="106">
        <f t="shared" si="168"/>
        <v>0</v>
      </c>
    </row>
    <row r="453" spans="1:15" s="16" customFormat="1" hidden="1" outlineLevel="1" x14ac:dyDescent="0.25">
      <c r="A453" s="16">
        <f t="shared" si="189"/>
        <v>41</v>
      </c>
      <c r="B453"/>
      <c r="C453">
        <f>$F449</f>
        <v>0</v>
      </c>
      <c r="D453" s="3" t="str">
        <f t="shared" si="172"/>
        <v>T_OPEX - Tenant Operating Expenses</v>
      </c>
      <c r="E453"/>
      <c r="F453" s="22" t="str">
        <f>_xll.EVDES(D453)</f>
        <v>Tenant Operating Expenses</v>
      </c>
      <c r="G453" s="18">
        <f ca="1">SUMIFS(OFFSET('BPC Data'!$F:$F,0,Summary!G$2),'BPC Data'!$E:$E,Summary!$D453,'BPC Data'!$B:$B,Summary!$C453)</f>
        <v>0</v>
      </c>
      <c r="H453" s="92">
        <f ca="1">SUMIFS(OFFSET('BPC Data'!$F:$F,0,Summary!H$2),'BPC Data'!$E:$E,Summary!$D453,'BPC Data'!$B:$B,Summary!$C453)</f>
        <v>0</v>
      </c>
      <c r="I453" s="18">
        <f ca="1">SUMIFS(OFFSET('BPC Data'!$F:$F,0,Summary!I$2),'BPC Data'!$E:$E,Summary!$D453,'BPC Data'!$B:$B,Summary!$C453)</f>
        <v>0</v>
      </c>
      <c r="J453" s="92">
        <f ca="1">SUMIFS(OFFSET('BPC Data'!$F:$F,0,Summary!J$2),'BPC Data'!$E:$E,Summary!$D453,'BPC Data'!$B:$B,Summary!$C453)</f>
        <v>0</v>
      </c>
      <c r="K453" s="18">
        <f ca="1">SUMIFS(OFFSET('BPC Data'!$F:$F,0,Summary!K$2),'BPC Data'!$E:$E,Summary!$D453,'BPC Data'!$B:$B,Summary!$C453)</f>
        <v>0</v>
      </c>
      <c r="L453" s="92">
        <f ca="1">SUMIFS(OFFSET('BPC Data'!$F:$F,0,Summary!L$2),'BPC Data'!$E:$E,Summary!$D453,'BPC Data'!$B:$B,Summary!$C453)</f>
        <v>0</v>
      </c>
      <c r="M453" s="32"/>
      <c r="N453" s="110"/>
      <c r="O453" s="106">
        <f t="shared" si="168"/>
        <v>0</v>
      </c>
    </row>
    <row r="454" spans="1:15" s="16" customFormat="1" hidden="1" outlineLevel="1" x14ac:dyDescent="0.25">
      <c r="A454" s="16">
        <f t="shared" si="189"/>
        <v>41</v>
      </c>
      <c r="B454"/>
      <c r="C454">
        <f>$F449</f>
        <v>0</v>
      </c>
      <c r="D454" s="3" t="str">
        <f t="shared" si="172"/>
        <v>T_BAD_DEBT - Tenant Bad Debt Expense</v>
      </c>
      <c r="E454"/>
      <c r="F454" s="22" t="str">
        <f>_xll.EVDES(D454)</f>
        <v>Tenant Bad Debt Expense</v>
      </c>
      <c r="G454" s="18">
        <f ca="1">SUMIFS(OFFSET('BPC Data'!$F:$F,0,Summary!G$2),'BPC Data'!$E:$E,Summary!$D454,'BPC Data'!$B:$B,Summary!$C454)</f>
        <v>0</v>
      </c>
      <c r="H454" s="92">
        <f ca="1">SUMIFS(OFFSET('BPC Data'!$F:$F,0,Summary!H$2),'BPC Data'!$E:$E,Summary!$D454,'BPC Data'!$B:$B,Summary!$C454)</f>
        <v>0</v>
      </c>
      <c r="I454" s="18">
        <f ca="1">SUMIFS(OFFSET('BPC Data'!$F:$F,0,Summary!I$2),'BPC Data'!$E:$E,Summary!$D454,'BPC Data'!$B:$B,Summary!$C454)</f>
        <v>0</v>
      </c>
      <c r="J454" s="92">
        <f ca="1">SUMIFS(OFFSET('BPC Data'!$F:$F,0,Summary!J$2),'BPC Data'!$E:$E,Summary!$D454,'BPC Data'!$B:$B,Summary!$C454)</f>
        <v>0</v>
      </c>
      <c r="K454" s="18">
        <f ca="1">SUMIFS(OFFSET('BPC Data'!$F:$F,0,Summary!K$2),'BPC Data'!$E:$E,Summary!$D454,'BPC Data'!$B:$B,Summary!$C454)</f>
        <v>0</v>
      </c>
      <c r="L454" s="92">
        <f ca="1">SUMIFS(OFFSET('BPC Data'!$F:$F,0,Summary!L$2),'BPC Data'!$E:$E,Summary!$D454,'BPC Data'!$B:$B,Summary!$C454)</f>
        <v>0</v>
      </c>
      <c r="M454" s="32"/>
      <c r="N454" s="110"/>
      <c r="O454" s="106">
        <f t="shared" si="168"/>
        <v>0</v>
      </c>
    </row>
    <row r="455" spans="1:15" s="16" customFormat="1" hidden="1" outlineLevel="1" x14ac:dyDescent="0.25">
      <c r="A455" s="16">
        <f t="shared" si="189"/>
        <v>41</v>
      </c>
      <c r="B455"/>
      <c r="C455">
        <f>$F449</f>
        <v>0</v>
      </c>
      <c r="D455" s="2" t="str">
        <f t="shared" si="172"/>
        <v>T_EBITDARM - EBITDARM</v>
      </c>
      <c r="E455"/>
      <c r="F455" s="22" t="str">
        <f>_xll.EVDES(D455)</f>
        <v>EBITDARM</v>
      </c>
      <c r="G455" s="18">
        <f ca="1">SUMIFS(OFFSET('BPC Data'!$F:$F,0,Summary!G$2),'BPC Data'!$E:$E,Summary!$D455,'BPC Data'!$B:$B,Summary!$C455)</f>
        <v>0</v>
      </c>
      <c r="H455" s="92">
        <f ca="1">SUMIFS(OFFSET('BPC Data'!$F:$F,0,Summary!H$2),'BPC Data'!$E:$E,Summary!$D455,'BPC Data'!$B:$B,Summary!$C455)</f>
        <v>0</v>
      </c>
      <c r="I455" s="18">
        <f ca="1">SUMIFS(OFFSET('BPC Data'!$F:$F,0,Summary!I$2),'BPC Data'!$E:$E,Summary!$D455,'BPC Data'!$B:$B,Summary!$C455)</f>
        <v>0</v>
      </c>
      <c r="J455" s="92">
        <f ca="1">SUMIFS(OFFSET('BPC Data'!$F:$F,0,Summary!J$2),'BPC Data'!$E:$E,Summary!$D455,'BPC Data'!$B:$B,Summary!$C455)</f>
        <v>0</v>
      </c>
      <c r="K455" s="18">
        <f ca="1">SUMIFS(OFFSET('BPC Data'!$F:$F,0,Summary!K$2),'BPC Data'!$E:$E,Summary!$D455,'BPC Data'!$B:$B,Summary!$C455)</f>
        <v>0</v>
      </c>
      <c r="L455" s="92">
        <f ca="1">SUMIFS(OFFSET('BPC Data'!$F:$F,0,Summary!L$2),'BPC Data'!$E:$E,Summary!$D455,'BPC Data'!$B:$B,Summary!$C455)</f>
        <v>0</v>
      </c>
      <c r="M455" s="32"/>
      <c r="N455" s="110"/>
      <c r="O455" s="106">
        <f t="shared" si="168"/>
        <v>0</v>
      </c>
    </row>
    <row r="456" spans="1:15" s="16" customFormat="1" hidden="1" outlineLevel="1" x14ac:dyDescent="0.25">
      <c r="A456" s="16">
        <f t="shared" si="189"/>
        <v>41</v>
      </c>
      <c r="B456"/>
      <c r="C456">
        <f>$F449</f>
        <v>0</v>
      </c>
      <c r="D456" s="2" t="str">
        <f t="shared" si="172"/>
        <v>T_MGMT_FEE - Tenant Management Fee - Actual</v>
      </c>
      <c r="E456"/>
      <c r="F456" s="22" t="str">
        <f>_xll.EVDES(D456)</f>
        <v>Tenant Management Fee - Actual</v>
      </c>
      <c r="G456" s="18">
        <f ca="1">SUMIFS(OFFSET('BPC Data'!$F:$F,0,Summary!G$2),'BPC Data'!$E:$E,Summary!$D456,'BPC Data'!$B:$B,Summary!$C456)</f>
        <v>0</v>
      </c>
      <c r="H456" s="92">
        <f ca="1">SUMIFS(OFFSET('BPC Data'!$F:$F,0,Summary!H$2),'BPC Data'!$E:$E,Summary!$D456,'BPC Data'!$B:$B,Summary!$C456)</f>
        <v>0</v>
      </c>
      <c r="I456" s="18">
        <f ca="1">SUMIFS(OFFSET('BPC Data'!$F:$F,0,Summary!I$2),'BPC Data'!$E:$E,Summary!$D456,'BPC Data'!$B:$B,Summary!$C456)</f>
        <v>0</v>
      </c>
      <c r="J456" s="92">
        <f ca="1">SUMIFS(OFFSET('BPC Data'!$F:$F,0,Summary!J$2),'BPC Data'!$E:$E,Summary!$D456,'BPC Data'!$B:$B,Summary!$C456)</f>
        <v>0</v>
      </c>
      <c r="K456" s="18">
        <f ca="1">SUMIFS(OFFSET('BPC Data'!$F:$F,0,Summary!K$2),'BPC Data'!$E:$E,Summary!$D456,'BPC Data'!$B:$B,Summary!$C456)</f>
        <v>0</v>
      </c>
      <c r="L456" s="92">
        <f ca="1">SUMIFS(OFFSET('BPC Data'!$F:$F,0,Summary!L$2),'BPC Data'!$E:$E,Summary!$D456,'BPC Data'!$B:$B,Summary!$C456)</f>
        <v>0</v>
      </c>
      <c r="M456" s="32"/>
      <c r="N456" s="110"/>
      <c r="O456" s="106">
        <f t="shared" si="168"/>
        <v>0</v>
      </c>
    </row>
    <row r="457" spans="1:15" s="16" customFormat="1" hidden="1" outlineLevel="1" x14ac:dyDescent="0.25">
      <c r="A457" s="16">
        <f t="shared" si="189"/>
        <v>41</v>
      </c>
      <c r="B457"/>
      <c r="C457">
        <f>$F449</f>
        <v>0</v>
      </c>
      <c r="D457" s="1" t="str">
        <f t="shared" si="172"/>
        <v>T_EBITDAR - EBITDAR</v>
      </c>
      <c r="E457"/>
      <c r="F457" s="22" t="str">
        <f>_xll.EVDES(D457)</f>
        <v>EBITDAR</v>
      </c>
      <c r="G457" s="18">
        <f ca="1">SUMIFS(OFFSET('BPC Data'!$F:$F,0,Summary!G$2),'BPC Data'!$E:$E,Summary!$D457,'BPC Data'!$B:$B,Summary!$C457)</f>
        <v>0</v>
      </c>
      <c r="H457" s="92">
        <f ca="1">SUMIFS(OFFSET('BPC Data'!$F:$F,0,Summary!H$2),'BPC Data'!$E:$E,Summary!$D457,'BPC Data'!$B:$B,Summary!$C457)</f>
        <v>0</v>
      </c>
      <c r="I457" s="18">
        <f ca="1">SUMIFS(OFFSET('BPC Data'!$F:$F,0,Summary!I$2),'BPC Data'!$E:$E,Summary!$D457,'BPC Data'!$B:$B,Summary!$C457)</f>
        <v>0</v>
      </c>
      <c r="J457" s="92">
        <f ca="1">SUMIFS(OFFSET('BPC Data'!$F:$F,0,Summary!J$2),'BPC Data'!$E:$E,Summary!$D457,'BPC Data'!$B:$B,Summary!$C457)</f>
        <v>0</v>
      </c>
      <c r="K457" s="18">
        <f ca="1">SUMIFS(OFFSET('BPC Data'!$F:$F,0,Summary!K$2),'BPC Data'!$E:$E,Summary!$D457,'BPC Data'!$B:$B,Summary!$C457)</f>
        <v>0</v>
      </c>
      <c r="L457" s="92">
        <f ca="1">SUMIFS(OFFSET('BPC Data'!$F:$F,0,Summary!L$2),'BPC Data'!$E:$E,Summary!$D457,'BPC Data'!$B:$B,Summary!$C457)</f>
        <v>0</v>
      </c>
      <c r="M457" s="32"/>
      <c r="N457" s="110"/>
      <c r="O457" s="106">
        <f t="shared" si="168"/>
        <v>0</v>
      </c>
    </row>
    <row r="458" spans="1:15" s="16" customFormat="1" hidden="1" outlineLevel="1" x14ac:dyDescent="0.25">
      <c r="A458" s="16">
        <f t="shared" si="189"/>
        <v>41</v>
      </c>
      <c r="B458"/>
      <c r="C458">
        <f>$F449</f>
        <v>0</v>
      </c>
      <c r="D458" s="1" t="str">
        <f t="shared" si="172"/>
        <v>T_RENT_EXP - Tenant Rent Expense</v>
      </c>
      <c r="E458"/>
      <c r="F458" s="22" t="str">
        <f>_xll.EVDES(D458)</f>
        <v>Tenant Rent Expense</v>
      </c>
      <c r="G458" s="18">
        <f ca="1">SUMIFS(OFFSET('BPC Data'!$F:$F,0,Summary!G$2),'BPC Data'!$E:$E,Summary!$D458,'BPC Data'!$B:$B,Summary!$C458)</f>
        <v>0</v>
      </c>
      <c r="H458" s="92">
        <f ca="1">SUMIFS(OFFSET('BPC Data'!$F:$F,0,Summary!H$2),'BPC Data'!$E:$E,Summary!$D458,'BPC Data'!$B:$B,Summary!$C458)</f>
        <v>0</v>
      </c>
      <c r="I458" s="18">
        <f ca="1">SUMIFS(OFFSET('BPC Data'!$F:$F,0,Summary!I$2),'BPC Data'!$E:$E,Summary!$D458,'BPC Data'!$B:$B,Summary!$C458)</f>
        <v>0</v>
      </c>
      <c r="J458" s="92">
        <f ca="1">SUMIFS(OFFSET('BPC Data'!$F:$F,0,Summary!J$2),'BPC Data'!$E:$E,Summary!$D458,'BPC Data'!$B:$B,Summary!$C458)</f>
        <v>0</v>
      </c>
      <c r="K458" s="18">
        <f ca="1">SUMIFS(OFFSET('BPC Data'!$F:$F,0,Summary!K$2),'BPC Data'!$E:$E,Summary!$D458,'BPC Data'!$B:$B,Summary!$C458)</f>
        <v>0</v>
      </c>
      <c r="L458" s="92">
        <f ca="1">SUMIFS(OFFSET('BPC Data'!$F:$F,0,Summary!L$2),'BPC Data'!$E:$E,Summary!$D458,'BPC Data'!$B:$B,Summary!$C458)</f>
        <v>0</v>
      </c>
      <c r="M458" s="32"/>
      <c r="N458" s="110"/>
      <c r="O458" s="106">
        <f t="shared" si="168"/>
        <v>0</v>
      </c>
    </row>
    <row r="459" spans="1:15" s="16" customFormat="1" hidden="1" outlineLevel="1" x14ac:dyDescent="0.25">
      <c r="A459" s="16">
        <f t="shared" si="189"/>
        <v>41</v>
      </c>
      <c r="B459"/>
      <c r="C459"/>
      <c r="D459" s="1" t="str">
        <f t="shared" si="172"/>
        <v>x</v>
      </c>
      <c r="E459"/>
      <c r="F459" s="22" t="s">
        <v>0</v>
      </c>
      <c r="G459" s="11" t="e">
        <f t="shared" ref="G459:H459" ca="1" si="190">G457/G458</f>
        <v>#DIV/0!</v>
      </c>
      <c r="H459" s="93" t="e">
        <f t="shared" ca="1" si="190"/>
        <v>#DIV/0!</v>
      </c>
      <c r="I459" s="11" t="e">
        <f t="shared" ref="I459:J459" ca="1" si="191">I457/I458</f>
        <v>#DIV/0!</v>
      </c>
      <c r="J459" s="93" t="e">
        <f t="shared" ca="1" si="191"/>
        <v>#DIV/0!</v>
      </c>
      <c r="K459" s="11" t="e">
        <f t="shared" ref="K459:L459" ca="1" si="192">K457/K458</f>
        <v>#DIV/0!</v>
      </c>
      <c r="L459" s="93" t="e">
        <f t="shared" ca="1" si="192"/>
        <v>#DIV/0!</v>
      </c>
      <c r="M459" s="32"/>
      <c r="N459" s="110"/>
      <c r="O459" s="106">
        <f t="shared" si="168"/>
        <v>0</v>
      </c>
    </row>
    <row r="460" spans="1:15" s="16" customFormat="1" hidden="1" outlineLevel="1" x14ac:dyDescent="0.25">
      <c r="A460" s="16">
        <f>IF(AND(D460&lt;&gt;"",C460=""),A459+1,A459)</f>
        <v>42</v>
      </c>
      <c r="B460" s="4"/>
      <c r="C460" s="4"/>
      <c r="D460" s="4" t="str">
        <f t="shared" si="172"/>
        <v>x</v>
      </c>
      <c r="E460" s="4"/>
      <c r="F460" s="21">
        <f>INDEX(PropertyList!$D:$D,MATCH(Summary!$A460,PropertyList!$C:$C,0))</f>
        <v>0</v>
      </c>
      <c r="G460" s="10"/>
      <c r="H460" s="91"/>
      <c r="I460" s="10"/>
      <c r="J460" s="91"/>
      <c r="K460" s="10"/>
      <c r="L460" s="91"/>
      <c r="M460" s="32"/>
      <c r="N460" s="110"/>
      <c r="O460" s="106">
        <f t="shared" ref="O460:O523" si="193">N460-M460</f>
        <v>0</v>
      </c>
    </row>
    <row r="461" spans="1:15" s="16" customFormat="1" hidden="1" outlineLevel="1" x14ac:dyDescent="0.25">
      <c r="A461" s="16">
        <f>IF(AND(F461&lt;&gt;"",D461=""),A460+1,A460)</f>
        <v>42</v>
      </c>
      <c r="C461">
        <f>$F460</f>
        <v>0</v>
      </c>
      <c r="D461" s="3" t="str">
        <f t="shared" si="172"/>
        <v>PAY_PAT_DAYS - Total Payor Patient Days</v>
      </c>
      <c r="F461" s="22" t="str">
        <f>_xll.EVDES(D461)</f>
        <v>Total Payor Patient Days</v>
      </c>
      <c r="G461" s="18">
        <f ca="1">SUMIFS(OFFSET('BPC Data'!$F:$F,0,Summary!G$2),'BPC Data'!$E:$E,Summary!$D461,'BPC Data'!$B:$B,Summary!$C461)</f>
        <v>0</v>
      </c>
      <c r="H461" s="92">
        <f ca="1">SUMIFS(OFFSET('BPC Data'!$F:$F,0,Summary!H$2),'BPC Data'!$E:$E,Summary!$D461,'BPC Data'!$B:$B,Summary!$C461)</f>
        <v>0</v>
      </c>
      <c r="I461" s="18">
        <f ca="1">SUMIFS(OFFSET('BPC Data'!$F:$F,0,Summary!I$2),'BPC Data'!$E:$E,Summary!$D461,'BPC Data'!$B:$B,Summary!$C461)</f>
        <v>0</v>
      </c>
      <c r="J461" s="92">
        <f ca="1">SUMIFS(OFFSET('BPC Data'!$F:$F,0,Summary!J$2),'BPC Data'!$E:$E,Summary!$D461,'BPC Data'!$B:$B,Summary!$C461)</f>
        <v>0</v>
      </c>
      <c r="K461" s="18">
        <f ca="1">SUMIFS(OFFSET('BPC Data'!$F:$F,0,Summary!K$2),'BPC Data'!$E:$E,Summary!$D461,'BPC Data'!$B:$B,Summary!$C461)</f>
        <v>0</v>
      </c>
      <c r="L461" s="92">
        <f ca="1">SUMIFS(OFFSET('BPC Data'!$F:$F,0,Summary!L$2),'BPC Data'!$E:$E,Summary!$D461,'BPC Data'!$B:$B,Summary!$C461)</f>
        <v>0</v>
      </c>
      <c r="M461" s="32"/>
      <c r="N461" s="110"/>
      <c r="O461" s="106">
        <f t="shared" si="193"/>
        <v>0</v>
      </c>
    </row>
    <row r="462" spans="1:15" s="16" customFormat="1" hidden="1" outlineLevel="1" x14ac:dyDescent="0.25">
      <c r="A462" s="16">
        <f t="shared" ref="A462:A470" si="194">IF(AND(F462&lt;&gt;"",D462=""),A461+1,A461)</f>
        <v>42</v>
      </c>
      <c r="C462">
        <f>$F460</f>
        <v>0</v>
      </c>
      <c r="D462" s="3" t="str">
        <f t="shared" si="172"/>
        <v>A_BEDS_TOTAL - Total Available Beds</v>
      </c>
      <c r="F462" s="22" t="str">
        <f>_xll.EVDES(D462)</f>
        <v>Total Available Beds</v>
      </c>
      <c r="G462" s="18">
        <f ca="1">SUMIFS(OFFSET('BPC Data'!$F:$F,0,Summary!G$2),'BPC Data'!$E:$E,Summary!$D462,'BPC Data'!$B:$B,Summary!$C462)</f>
        <v>0</v>
      </c>
      <c r="H462" s="92">
        <f ca="1">SUMIFS(OFFSET('BPC Data'!$F:$F,0,Summary!H$2),'BPC Data'!$E:$E,Summary!$D462,'BPC Data'!$B:$B,Summary!$C462)</f>
        <v>0</v>
      </c>
      <c r="I462" s="18">
        <f ca="1">SUMIFS(OFFSET('BPC Data'!$F:$F,0,Summary!I$2),'BPC Data'!$E:$E,Summary!$D462,'BPC Data'!$B:$B,Summary!$C462)</f>
        <v>0</v>
      </c>
      <c r="J462" s="92">
        <f ca="1">SUMIFS(OFFSET('BPC Data'!$F:$F,0,Summary!J$2),'BPC Data'!$E:$E,Summary!$D462,'BPC Data'!$B:$B,Summary!$C462)</f>
        <v>0</v>
      </c>
      <c r="K462" s="18">
        <f ca="1">SUMIFS(OFFSET('BPC Data'!$F:$F,0,Summary!K$2),'BPC Data'!$E:$E,Summary!$D462,'BPC Data'!$B:$B,Summary!$C462)</f>
        <v>0</v>
      </c>
      <c r="L462" s="92">
        <f ca="1">SUMIFS(OFFSET('BPC Data'!$F:$F,0,Summary!L$2),'BPC Data'!$E:$E,Summary!$D462,'BPC Data'!$B:$B,Summary!$C462)</f>
        <v>0</v>
      </c>
      <c r="M462" s="32"/>
      <c r="N462" s="110"/>
      <c r="O462" s="106">
        <f t="shared" si="193"/>
        <v>0</v>
      </c>
    </row>
    <row r="463" spans="1:15" s="16" customFormat="1" hidden="1" outlineLevel="1" x14ac:dyDescent="0.25">
      <c r="A463" s="16">
        <f t="shared" si="194"/>
        <v>42</v>
      </c>
      <c r="B463"/>
      <c r="C463">
        <f>$F460</f>
        <v>0</v>
      </c>
      <c r="D463" s="3" t="str">
        <f t="shared" si="172"/>
        <v>T_REVENUES - Total Tenant Revenues</v>
      </c>
      <c r="E463"/>
      <c r="F463" s="22" t="str">
        <f>_xll.EVDES(D463)</f>
        <v>Total Tenant Revenues</v>
      </c>
      <c r="G463" s="18">
        <f ca="1">SUMIFS(OFFSET('BPC Data'!$F:$F,0,Summary!G$2),'BPC Data'!$E:$E,Summary!$D463,'BPC Data'!$B:$B,Summary!$C463)</f>
        <v>0</v>
      </c>
      <c r="H463" s="92">
        <f ca="1">SUMIFS(OFFSET('BPC Data'!$F:$F,0,Summary!H$2),'BPC Data'!$E:$E,Summary!$D463,'BPC Data'!$B:$B,Summary!$C463)</f>
        <v>0</v>
      </c>
      <c r="I463" s="18">
        <f ca="1">SUMIFS(OFFSET('BPC Data'!$F:$F,0,Summary!I$2),'BPC Data'!$E:$E,Summary!$D463,'BPC Data'!$B:$B,Summary!$C463)</f>
        <v>0</v>
      </c>
      <c r="J463" s="92">
        <f ca="1">SUMIFS(OFFSET('BPC Data'!$F:$F,0,Summary!J$2),'BPC Data'!$E:$E,Summary!$D463,'BPC Data'!$B:$B,Summary!$C463)</f>
        <v>0</v>
      </c>
      <c r="K463" s="18">
        <f ca="1">SUMIFS(OFFSET('BPC Data'!$F:$F,0,Summary!K$2),'BPC Data'!$E:$E,Summary!$D463,'BPC Data'!$B:$B,Summary!$C463)</f>
        <v>0</v>
      </c>
      <c r="L463" s="92">
        <f ca="1">SUMIFS(OFFSET('BPC Data'!$F:$F,0,Summary!L$2),'BPC Data'!$E:$E,Summary!$D463,'BPC Data'!$B:$B,Summary!$C463)</f>
        <v>0</v>
      </c>
      <c r="M463" s="32"/>
      <c r="N463" s="110"/>
      <c r="O463" s="106">
        <f t="shared" si="193"/>
        <v>0</v>
      </c>
    </row>
    <row r="464" spans="1:15" s="16" customFormat="1" hidden="1" outlineLevel="1" x14ac:dyDescent="0.25">
      <c r="A464" s="16">
        <f t="shared" si="194"/>
        <v>42</v>
      </c>
      <c r="B464"/>
      <c r="C464">
        <f>$F460</f>
        <v>0</v>
      </c>
      <c r="D464" s="3" t="str">
        <f t="shared" si="172"/>
        <v>T_OPEX - Tenant Operating Expenses</v>
      </c>
      <c r="E464"/>
      <c r="F464" s="22" t="str">
        <f>_xll.EVDES(D464)</f>
        <v>Tenant Operating Expenses</v>
      </c>
      <c r="G464" s="18">
        <f ca="1">SUMIFS(OFFSET('BPC Data'!$F:$F,0,Summary!G$2),'BPC Data'!$E:$E,Summary!$D464,'BPC Data'!$B:$B,Summary!$C464)</f>
        <v>0</v>
      </c>
      <c r="H464" s="92">
        <f ca="1">SUMIFS(OFFSET('BPC Data'!$F:$F,0,Summary!H$2),'BPC Data'!$E:$E,Summary!$D464,'BPC Data'!$B:$B,Summary!$C464)</f>
        <v>0</v>
      </c>
      <c r="I464" s="18">
        <f ca="1">SUMIFS(OFFSET('BPC Data'!$F:$F,0,Summary!I$2),'BPC Data'!$E:$E,Summary!$D464,'BPC Data'!$B:$B,Summary!$C464)</f>
        <v>0</v>
      </c>
      <c r="J464" s="92">
        <f ca="1">SUMIFS(OFFSET('BPC Data'!$F:$F,0,Summary!J$2),'BPC Data'!$E:$E,Summary!$D464,'BPC Data'!$B:$B,Summary!$C464)</f>
        <v>0</v>
      </c>
      <c r="K464" s="18">
        <f ca="1">SUMIFS(OFFSET('BPC Data'!$F:$F,0,Summary!K$2),'BPC Data'!$E:$E,Summary!$D464,'BPC Data'!$B:$B,Summary!$C464)</f>
        <v>0</v>
      </c>
      <c r="L464" s="92">
        <f ca="1">SUMIFS(OFFSET('BPC Data'!$F:$F,0,Summary!L$2),'BPC Data'!$E:$E,Summary!$D464,'BPC Data'!$B:$B,Summary!$C464)</f>
        <v>0</v>
      </c>
      <c r="M464" s="32"/>
      <c r="N464" s="110"/>
      <c r="O464" s="106">
        <f t="shared" si="193"/>
        <v>0</v>
      </c>
    </row>
    <row r="465" spans="1:15" s="16" customFormat="1" hidden="1" outlineLevel="1" x14ac:dyDescent="0.25">
      <c r="A465" s="16">
        <f t="shared" si="194"/>
        <v>42</v>
      </c>
      <c r="B465"/>
      <c r="C465">
        <f>$F460</f>
        <v>0</v>
      </c>
      <c r="D465" s="3" t="str">
        <f t="shared" si="172"/>
        <v>T_BAD_DEBT - Tenant Bad Debt Expense</v>
      </c>
      <c r="E465"/>
      <c r="F465" s="22" t="str">
        <f>_xll.EVDES(D465)</f>
        <v>Tenant Bad Debt Expense</v>
      </c>
      <c r="G465" s="18">
        <f ca="1">SUMIFS(OFFSET('BPC Data'!$F:$F,0,Summary!G$2),'BPC Data'!$E:$E,Summary!$D465,'BPC Data'!$B:$B,Summary!$C465)</f>
        <v>0</v>
      </c>
      <c r="H465" s="92">
        <f ca="1">SUMIFS(OFFSET('BPC Data'!$F:$F,0,Summary!H$2),'BPC Data'!$E:$E,Summary!$D465,'BPC Data'!$B:$B,Summary!$C465)</f>
        <v>0</v>
      </c>
      <c r="I465" s="18">
        <f ca="1">SUMIFS(OFFSET('BPC Data'!$F:$F,0,Summary!I$2),'BPC Data'!$E:$E,Summary!$D465,'BPC Data'!$B:$B,Summary!$C465)</f>
        <v>0</v>
      </c>
      <c r="J465" s="92">
        <f ca="1">SUMIFS(OFFSET('BPC Data'!$F:$F,0,Summary!J$2),'BPC Data'!$E:$E,Summary!$D465,'BPC Data'!$B:$B,Summary!$C465)</f>
        <v>0</v>
      </c>
      <c r="K465" s="18">
        <f ca="1">SUMIFS(OFFSET('BPC Data'!$F:$F,0,Summary!K$2),'BPC Data'!$E:$E,Summary!$D465,'BPC Data'!$B:$B,Summary!$C465)</f>
        <v>0</v>
      </c>
      <c r="L465" s="92">
        <f ca="1">SUMIFS(OFFSET('BPC Data'!$F:$F,0,Summary!L$2),'BPC Data'!$E:$E,Summary!$D465,'BPC Data'!$B:$B,Summary!$C465)</f>
        <v>0</v>
      </c>
      <c r="M465" s="32"/>
      <c r="N465" s="110"/>
      <c r="O465" s="106">
        <f t="shared" si="193"/>
        <v>0</v>
      </c>
    </row>
    <row r="466" spans="1:15" s="16" customFormat="1" hidden="1" outlineLevel="1" x14ac:dyDescent="0.25">
      <c r="A466" s="16">
        <f t="shared" si="194"/>
        <v>42</v>
      </c>
      <c r="B466"/>
      <c r="C466">
        <f>$F460</f>
        <v>0</v>
      </c>
      <c r="D466" s="2" t="str">
        <f t="shared" si="172"/>
        <v>T_EBITDARM - EBITDARM</v>
      </c>
      <c r="E466"/>
      <c r="F466" s="22" t="str">
        <f>_xll.EVDES(D466)</f>
        <v>EBITDARM</v>
      </c>
      <c r="G466" s="18">
        <f ca="1">SUMIFS(OFFSET('BPC Data'!$F:$F,0,Summary!G$2),'BPC Data'!$E:$E,Summary!$D466,'BPC Data'!$B:$B,Summary!$C466)</f>
        <v>0</v>
      </c>
      <c r="H466" s="92">
        <f ca="1">SUMIFS(OFFSET('BPC Data'!$F:$F,0,Summary!H$2),'BPC Data'!$E:$E,Summary!$D466,'BPC Data'!$B:$B,Summary!$C466)</f>
        <v>0</v>
      </c>
      <c r="I466" s="18">
        <f ca="1">SUMIFS(OFFSET('BPC Data'!$F:$F,0,Summary!I$2),'BPC Data'!$E:$E,Summary!$D466,'BPC Data'!$B:$B,Summary!$C466)</f>
        <v>0</v>
      </c>
      <c r="J466" s="92">
        <f ca="1">SUMIFS(OFFSET('BPC Data'!$F:$F,0,Summary!J$2),'BPC Data'!$E:$E,Summary!$D466,'BPC Data'!$B:$B,Summary!$C466)</f>
        <v>0</v>
      </c>
      <c r="K466" s="18">
        <f ca="1">SUMIFS(OFFSET('BPC Data'!$F:$F,0,Summary!K$2),'BPC Data'!$E:$E,Summary!$D466,'BPC Data'!$B:$B,Summary!$C466)</f>
        <v>0</v>
      </c>
      <c r="L466" s="92">
        <f ca="1">SUMIFS(OFFSET('BPC Data'!$F:$F,0,Summary!L$2),'BPC Data'!$E:$E,Summary!$D466,'BPC Data'!$B:$B,Summary!$C466)</f>
        <v>0</v>
      </c>
      <c r="M466" s="32"/>
      <c r="N466" s="110"/>
      <c r="O466" s="106">
        <f t="shared" si="193"/>
        <v>0</v>
      </c>
    </row>
    <row r="467" spans="1:15" s="16" customFormat="1" hidden="1" outlineLevel="1" x14ac:dyDescent="0.25">
      <c r="A467" s="16">
        <f t="shared" si="194"/>
        <v>42</v>
      </c>
      <c r="B467"/>
      <c r="C467">
        <f>$F460</f>
        <v>0</v>
      </c>
      <c r="D467" s="2" t="str">
        <f t="shared" si="172"/>
        <v>T_MGMT_FEE - Tenant Management Fee - Actual</v>
      </c>
      <c r="E467"/>
      <c r="F467" s="22" t="str">
        <f>_xll.EVDES(D467)</f>
        <v>Tenant Management Fee - Actual</v>
      </c>
      <c r="G467" s="18">
        <f ca="1">SUMIFS(OFFSET('BPC Data'!$F:$F,0,Summary!G$2),'BPC Data'!$E:$E,Summary!$D467,'BPC Data'!$B:$B,Summary!$C467)</f>
        <v>0</v>
      </c>
      <c r="H467" s="92">
        <f ca="1">SUMIFS(OFFSET('BPC Data'!$F:$F,0,Summary!H$2),'BPC Data'!$E:$E,Summary!$D467,'BPC Data'!$B:$B,Summary!$C467)</f>
        <v>0</v>
      </c>
      <c r="I467" s="18">
        <f ca="1">SUMIFS(OFFSET('BPC Data'!$F:$F,0,Summary!I$2),'BPC Data'!$E:$E,Summary!$D467,'BPC Data'!$B:$B,Summary!$C467)</f>
        <v>0</v>
      </c>
      <c r="J467" s="92">
        <f ca="1">SUMIFS(OFFSET('BPC Data'!$F:$F,0,Summary!J$2),'BPC Data'!$E:$E,Summary!$D467,'BPC Data'!$B:$B,Summary!$C467)</f>
        <v>0</v>
      </c>
      <c r="K467" s="18">
        <f ca="1">SUMIFS(OFFSET('BPC Data'!$F:$F,0,Summary!K$2),'BPC Data'!$E:$E,Summary!$D467,'BPC Data'!$B:$B,Summary!$C467)</f>
        <v>0</v>
      </c>
      <c r="L467" s="92">
        <f ca="1">SUMIFS(OFFSET('BPC Data'!$F:$F,0,Summary!L$2),'BPC Data'!$E:$E,Summary!$D467,'BPC Data'!$B:$B,Summary!$C467)</f>
        <v>0</v>
      </c>
      <c r="M467" s="32"/>
      <c r="N467" s="110"/>
      <c r="O467" s="106">
        <f t="shared" si="193"/>
        <v>0</v>
      </c>
    </row>
    <row r="468" spans="1:15" s="16" customFormat="1" hidden="1" outlineLevel="1" x14ac:dyDescent="0.25">
      <c r="A468" s="16">
        <f t="shared" si="194"/>
        <v>42</v>
      </c>
      <c r="B468"/>
      <c r="C468">
        <f>$F460</f>
        <v>0</v>
      </c>
      <c r="D468" s="1" t="str">
        <f t="shared" si="172"/>
        <v>T_EBITDAR - EBITDAR</v>
      </c>
      <c r="E468"/>
      <c r="F468" s="22" t="str">
        <f>_xll.EVDES(D468)</f>
        <v>EBITDAR</v>
      </c>
      <c r="G468" s="18">
        <f ca="1">SUMIFS(OFFSET('BPC Data'!$F:$F,0,Summary!G$2),'BPC Data'!$E:$E,Summary!$D468,'BPC Data'!$B:$B,Summary!$C468)</f>
        <v>0</v>
      </c>
      <c r="H468" s="92">
        <f ca="1">SUMIFS(OFFSET('BPC Data'!$F:$F,0,Summary!H$2),'BPC Data'!$E:$E,Summary!$D468,'BPC Data'!$B:$B,Summary!$C468)</f>
        <v>0</v>
      </c>
      <c r="I468" s="18">
        <f ca="1">SUMIFS(OFFSET('BPC Data'!$F:$F,0,Summary!I$2),'BPC Data'!$E:$E,Summary!$D468,'BPC Data'!$B:$B,Summary!$C468)</f>
        <v>0</v>
      </c>
      <c r="J468" s="92">
        <f ca="1">SUMIFS(OFFSET('BPC Data'!$F:$F,0,Summary!J$2),'BPC Data'!$E:$E,Summary!$D468,'BPC Data'!$B:$B,Summary!$C468)</f>
        <v>0</v>
      </c>
      <c r="K468" s="18">
        <f ca="1">SUMIFS(OFFSET('BPC Data'!$F:$F,0,Summary!K$2),'BPC Data'!$E:$E,Summary!$D468,'BPC Data'!$B:$B,Summary!$C468)</f>
        <v>0</v>
      </c>
      <c r="L468" s="92">
        <f ca="1">SUMIFS(OFFSET('BPC Data'!$F:$F,0,Summary!L$2),'BPC Data'!$E:$E,Summary!$D468,'BPC Data'!$B:$B,Summary!$C468)</f>
        <v>0</v>
      </c>
      <c r="M468" s="32"/>
      <c r="N468" s="110"/>
      <c r="O468" s="106">
        <f t="shared" si="193"/>
        <v>0</v>
      </c>
    </row>
    <row r="469" spans="1:15" s="16" customFormat="1" hidden="1" outlineLevel="1" x14ac:dyDescent="0.25">
      <c r="A469" s="16">
        <f t="shared" si="194"/>
        <v>42</v>
      </c>
      <c r="B469"/>
      <c r="C469">
        <f>$F460</f>
        <v>0</v>
      </c>
      <c r="D469" s="1" t="str">
        <f t="shared" si="172"/>
        <v>T_RENT_EXP - Tenant Rent Expense</v>
      </c>
      <c r="E469"/>
      <c r="F469" s="22" t="str">
        <f>_xll.EVDES(D469)</f>
        <v>Tenant Rent Expense</v>
      </c>
      <c r="G469" s="18">
        <f ca="1">SUMIFS(OFFSET('BPC Data'!$F:$F,0,Summary!G$2),'BPC Data'!$E:$E,Summary!$D469,'BPC Data'!$B:$B,Summary!$C469)</f>
        <v>0</v>
      </c>
      <c r="H469" s="92">
        <f ca="1">SUMIFS(OFFSET('BPC Data'!$F:$F,0,Summary!H$2),'BPC Data'!$E:$E,Summary!$D469,'BPC Data'!$B:$B,Summary!$C469)</f>
        <v>0</v>
      </c>
      <c r="I469" s="18">
        <f ca="1">SUMIFS(OFFSET('BPC Data'!$F:$F,0,Summary!I$2),'BPC Data'!$E:$E,Summary!$D469,'BPC Data'!$B:$B,Summary!$C469)</f>
        <v>0</v>
      </c>
      <c r="J469" s="92">
        <f ca="1">SUMIFS(OFFSET('BPC Data'!$F:$F,0,Summary!J$2),'BPC Data'!$E:$E,Summary!$D469,'BPC Data'!$B:$B,Summary!$C469)</f>
        <v>0</v>
      </c>
      <c r="K469" s="18">
        <f ca="1">SUMIFS(OFFSET('BPC Data'!$F:$F,0,Summary!K$2),'BPC Data'!$E:$E,Summary!$D469,'BPC Data'!$B:$B,Summary!$C469)</f>
        <v>0</v>
      </c>
      <c r="L469" s="92">
        <f ca="1">SUMIFS(OFFSET('BPC Data'!$F:$F,0,Summary!L$2),'BPC Data'!$E:$E,Summary!$D469,'BPC Data'!$B:$B,Summary!$C469)</f>
        <v>0</v>
      </c>
      <c r="M469" s="32"/>
      <c r="N469" s="110"/>
      <c r="O469" s="106">
        <f t="shared" si="193"/>
        <v>0</v>
      </c>
    </row>
    <row r="470" spans="1:15" s="16" customFormat="1" hidden="1" outlineLevel="1" x14ac:dyDescent="0.25">
      <c r="A470" s="16">
        <f t="shared" si="194"/>
        <v>42</v>
      </c>
      <c r="B470"/>
      <c r="C470"/>
      <c r="D470" s="1" t="str">
        <f t="shared" ref="D470:D533" si="195">$D459</f>
        <v>x</v>
      </c>
      <c r="E470"/>
      <c r="F470" s="22" t="s">
        <v>0</v>
      </c>
      <c r="G470" s="11" t="e">
        <f t="shared" ref="G470:H470" ca="1" si="196">G468/G469</f>
        <v>#DIV/0!</v>
      </c>
      <c r="H470" s="93" t="e">
        <f t="shared" ca="1" si="196"/>
        <v>#DIV/0!</v>
      </c>
      <c r="I470" s="11" t="e">
        <f t="shared" ref="I470:J470" ca="1" si="197">I468/I469</f>
        <v>#DIV/0!</v>
      </c>
      <c r="J470" s="93" t="e">
        <f t="shared" ca="1" si="197"/>
        <v>#DIV/0!</v>
      </c>
      <c r="K470" s="11" t="e">
        <f t="shared" ref="K470:L470" ca="1" si="198">K468/K469</f>
        <v>#DIV/0!</v>
      </c>
      <c r="L470" s="93" t="e">
        <f t="shared" ca="1" si="198"/>
        <v>#DIV/0!</v>
      </c>
      <c r="M470" s="32"/>
      <c r="N470" s="110"/>
      <c r="O470" s="106">
        <f t="shared" si="193"/>
        <v>0</v>
      </c>
    </row>
    <row r="471" spans="1:15" s="16" customFormat="1" hidden="1" outlineLevel="1" x14ac:dyDescent="0.25">
      <c r="A471" s="16">
        <f>IF(AND(D471&lt;&gt;"",C471=""),A470+1,A470)</f>
        <v>43</v>
      </c>
      <c r="B471" s="4"/>
      <c r="C471" s="4"/>
      <c r="D471" s="4" t="str">
        <f t="shared" si="195"/>
        <v>x</v>
      </c>
      <c r="E471" s="4"/>
      <c r="F471" s="21">
        <f>INDEX(PropertyList!$D:$D,MATCH(Summary!$A471,PropertyList!$C:$C,0))</f>
        <v>0</v>
      </c>
      <c r="G471" s="10"/>
      <c r="H471" s="91"/>
      <c r="I471" s="10"/>
      <c r="J471" s="91"/>
      <c r="K471" s="10"/>
      <c r="L471" s="91"/>
      <c r="M471" s="32"/>
      <c r="N471" s="110"/>
      <c r="O471" s="106">
        <f t="shared" si="193"/>
        <v>0</v>
      </c>
    </row>
    <row r="472" spans="1:15" s="16" customFormat="1" hidden="1" outlineLevel="1" x14ac:dyDescent="0.25">
      <c r="A472" s="16">
        <f>IF(AND(F472&lt;&gt;"",D472=""),A471+1,A471)</f>
        <v>43</v>
      </c>
      <c r="C472">
        <f>$F471</f>
        <v>0</v>
      </c>
      <c r="D472" s="3" t="str">
        <f t="shared" si="195"/>
        <v>PAY_PAT_DAYS - Total Payor Patient Days</v>
      </c>
      <c r="F472" s="22" t="str">
        <f>_xll.EVDES(D472)</f>
        <v>Total Payor Patient Days</v>
      </c>
      <c r="G472" s="18">
        <f ca="1">SUMIFS(OFFSET('BPC Data'!$F:$F,0,Summary!G$2),'BPC Data'!$E:$E,Summary!$D472,'BPC Data'!$B:$B,Summary!$C472)</f>
        <v>0</v>
      </c>
      <c r="H472" s="92">
        <f ca="1">SUMIFS(OFFSET('BPC Data'!$F:$F,0,Summary!H$2),'BPC Data'!$E:$E,Summary!$D472,'BPC Data'!$B:$B,Summary!$C472)</f>
        <v>0</v>
      </c>
      <c r="I472" s="18">
        <f ca="1">SUMIFS(OFFSET('BPC Data'!$F:$F,0,Summary!I$2),'BPC Data'!$E:$E,Summary!$D472,'BPC Data'!$B:$B,Summary!$C472)</f>
        <v>0</v>
      </c>
      <c r="J472" s="92">
        <f ca="1">SUMIFS(OFFSET('BPC Data'!$F:$F,0,Summary!J$2),'BPC Data'!$E:$E,Summary!$D472,'BPC Data'!$B:$B,Summary!$C472)</f>
        <v>0</v>
      </c>
      <c r="K472" s="18">
        <f ca="1">SUMIFS(OFFSET('BPC Data'!$F:$F,0,Summary!K$2),'BPC Data'!$E:$E,Summary!$D472,'BPC Data'!$B:$B,Summary!$C472)</f>
        <v>0</v>
      </c>
      <c r="L472" s="92">
        <f ca="1">SUMIFS(OFFSET('BPC Data'!$F:$F,0,Summary!L$2),'BPC Data'!$E:$E,Summary!$D472,'BPC Data'!$B:$B,Summary!$C472)</f>
        <v>0</v>
      </c>
      <c r="M472" s="32"/>
      <c r="N472" s="110"/>
      <c r="O472" s="106">
        <f t="shared" si="193"/>
        <v>0</v>
      </c>
    </row>
    <row r="473" spans="1:15" s="16" customFormat="1" hidden="1" outlineLevel="1" x14ac:dyDescent="0.25">
      <c r="A473" s="16">
        <f t="shared" ref="A473:A481" si="199">IF(AND(F473&lt;&gt;"",D473=""),A472+1,A472)</f>
        <v>43</v>
      </c>
      <c r="C473">
        <f>$F471</f>
        <v>0</v>
      </c>
      <c r="D473" s="3" t="str">
        <f t="shared" si="195"/>
        <v>A_BEDS_TOTAL - Total Available Beds</v>
      </c>
      <c r="F473" s="22" t="str">
        <f>_xll.EVDES(D473)</f>
        <v>Total Available Beds</v>
      </c>
      <c r="G473" s="18">
        <f ca="1">SUMIFS(OFFSET('BPC Data'!$F:$F,0,Summary!G$2),'BPC Data'!$E:$E,Summary!$D473,'BPC Data'!$B:$B,Summary!$C473)</f>
        <v>0</v>
      </c>
      <c r="H473" s="92">
        <f ca="1">SUMIFS(OFFSET('BPC Data'!$F:$F,0,Summary!H$2),'BPC Data'!$E:$E,Summary!$D473,'BPC Data'!$B:$B,Summary!$C473)</f>
        <v>0</v>
      </c>
      <c r="I473" s="18">
        <f ca="1">SUMIFS(OFFSET('BPC Data'!$F:$F,0,Summary!I$2),'BPC Data'!$E:$E,Summary!$D473,'BPC Data'!$B:$B,Summary!$C473)</f>
        <v>0</v>
      </c>
      <c r="J473" s="92">
        <f ca="1">SUMIFS(OFFSET('BPC Data'!$F:$F,0,Summary!J$2),'BPC Data'!$E:$E,Summary!$D473,'BPC Data'!$B:$B,Summary!$C473)</f>
        <v>0</v>
      </c>
      <c r="K473" s="18">
        <f ca="1">SUMIFS(OFFSET('BPC Data'!$F:$F,0,Summary!K$2),'BPC Data'!$E:$E,Summary!$D473,'BPC Data'!$B:$B,Summary!$C473)</f>
        <v>0</v>
      </c>
      <c r="L473" s="92">
        <f ca="1">SUMIFS(OFFSET('BPC Data'!$F:$F,0,Summary!L$2),'BPC Data'!$E:$E,Summary!$D473,'BPC Data'!$B:$B,Summary!$C473)</f>
        <v>0</v>
      </c>
      <c r="M473" s="32"/>
      <c r="N473" s="110"/>
      <c r="O473" s="106">
        <f t="shared" si="193"/>
        <v>0</v>
      </c>
    </row>
    <row r="474" spans="1:15" s="16" customFormat="1" hidden="1" outlineLevel="1" x14ac:dyDescent="0.25">
      <c r="A474" s="16">
        <f t="shared" si="199"/>
        <v>43</v>
      </c>
      <c r="B474"/>
      <c r="C474">
        <f>$F471</f>
        <v>0</v>
      </c>
      <c r="D474" s="3" t="str">
        <f t="shared" si="195"/>
        <v>T_REVENUES - Total Tenant Revenues</v>
      </c>
      <c r="E474"/>
      <c r="F474" s="22" t="str">
        <f>_xll.EVDES(D474)</f>
        <v>Total Tenant Revenues</v>
      </c>
      <c r="G474" s="18">
        <f ca="1">SUMIFS(OFFSET('BPC Data'!$F:$F,0,Summary!G$2),'BPC Data'!$E:$E,Summary!$D474,'BPC Data'!$B:$B,Summary!$C474)</f>
        <v>0</v>
      </c>
      <c r="H474" s="92">
        <f ca="1">SUMIFS(OFFSET('BPC Data'!$F:$F,0,Summary!H$2),'BPC Data'!$E:$E,Summary!$D474,'BPC Data'!$B:$B,Summary!$C474)</f>
        <v>0</v>
      </c>
      <c r="I474" s="18">
        <f ca="1">SUMIFS(OFFSET('BPC Data'!$F:$F,0,Summary!I$2),'BPC Data'!$E:$E,Summary!$D474,'BPC Data'!$B:$B,Summary!$C474)</f>
        <v>0</v>
      </c>
      <c r="J474" s="92">
        <f ca="1">SUMIFS(OFFSET('BPC Data'!$F:$F,0,Summary!J$2),'BPC Data'!$E:$E,Summary!$D474,'BPC Data'!$B:$B,Summary!$C474)</f>
        <v>0</v>
      </c>
      <c r="K474" s="18">
        <f ca="1">SUMIFS(OFFSET('BPC Data'!$F:$F,0,Summary!K$2),'BPC Data'!$E:$E,Summary!$D474,'BPC Data'!$B:$B,Summary!$C474)</f>
        <v>0</v>
      </c>
      <c r="L474" s="92">
        <f ca="1">SUMIFS(OFFSET('BPC Data'!$F:$F,0,Summary!L$2),'BPC Data'!$E:$E,Summary!$D474,'BPC Data'!$B:$B,Summary!$C474)</f>
        <v>0</v>
      </c>
      <c r="M474" s="32"/>
      <c r="N474" s="110"/>
      <c r="O474" s="106">
        <f t="shared" si="193"/>
        <v>0</v>
      </c>
    </row>
    <row r="475" spans="1:15" s="16" customFormat="1" hidden="1" outlineLevel="1" x14ac:dyDescent="0.25">
      <c r="A475" s="16">
        <f t="shared" si="199"/>
        <v>43</v>
      </c>
      <c r="B475"/>
      <c r="C475">
        <f>$F471</f>
        <v>0</v>
      </c>
      <c r="D475" s="3" t="str">
        <f t="shared" si="195"/>
        <v>T_OPEX - Tenant Operating Expenses</v>
      </c>
      <c r="E475"/>
      <c r="F475" s="22" t="str">
        <f>_xll.EVDES(D475)</f>
        <v>Tenant Operating Expenses</v>
      </c>
      <c r="G475" s="18">
        <f ca="1">SUMIFS(OFFSET('BPC Data'!$F:$F,0,Summary!G$2),'BPC Data'!$E:$E,Summary!$D475,'BPC Data'!$B:$B,Summary!$C475)</f>
        <v>0</v>
      </c>
      <c r="H475" s="92">
        <f ca="1">SUMIFS(OFFSET('BPC Data'!$F:$F,0,Summary!H$2),'BPC Data'!$E:$E,Summary!$D475,'BPC Data'!$B:$B,Summary!$C475)</f>
        <v>0</v>
      </c>
      <c r="I475" s="18">
        <f ca="1">SUMIFS(OFFSET('BPC Data'!$F:$F,0,Summary!I$2),'BPC Data'!$E:$E,Summary!$D475,'BPC Data'!$B:$B,Summary!$C475)</f>
        <v>0</v>
      </c>
      <c r="J475" s="92">
        <f ca="1">SUMIFS(OFFSET('BPC Data'!$F:$F,0,Summary!J$2),'BPC Data'!$E:$E,Summary!$D475,'BPC Data'!$B:$B,Summary!$C475)</f>
        <v>0</v>
      </c>
      <c r="K475" s="18">
        <f ca="1">SUMIFS(OFFSET('BPC Data'!$F:$F,0,Summary!K$2),'BPC Data'!$E:$E,Summary!$D475,'BPC Data'!$B:$B,Summary!$C475)</f>
        <v>0</v>
      </c>
      <c r="L475" s="92">
        <f ca="1">SUMIFS(OFFSET('BPC Data'!$F:$F,0,Summary!L$2),'BPC Data'!$E:$E,Summary!$D475,'BPC Data'!$B:$B,Summary!$C475)</f>
        <v>0</v>
      </c>
      <c r="M475" s="32"/>
      <c r="N475" s="110"/>
      <c r="O475" s="106">
        <f t="shared" si="193"/>
        <v>0</v>
      </c>
    </row>
    <row r="476" spans="1:15" s="16" customFormat="1" hidden="1" outlineLevel="1" x14ac:dyDescent="0.25">
      <c r="A476" s="16">
        <f t="shared" si="199"/>
        <v>43</v>
      </c>
      <c r="B476"/>
      <c r="C476">
        <f>$F471</f>
        <v>0</v>
      </c>
      <c r="D476" s="3" t="str">
        <f t="shared" si="195"/>
        <v>T_BAD_DEBT - Tenant Bad Debt Expense</v>
      </c>
      <c r="E476"/>
      <c r="F476" s="22" t="str">
        <f>_xll.EVDES(D476)</f>
        <v>Tenant Bad Debt Expense</v>
      </c>
      <c r="G476" s="18">
        <f ca="1">SUMIFS(OFFSET('BPC Data'!$F:$F,0,Summary!G$2),'BPC Data'!$E:$E,Summary!$D476,'BPC Data'!$B:$B,Summary!$C476)</f>
        <v>0</v>
      </c>
      <c r="H476" s="92">
        <f ca="1">SUMIFS(OFFSET('BPC Data'!$F:$F,0,Summary!H$2),'BPC Data'!$E:$E,Summary!$D476,'BPC Data'!$B:$B,Summary!$C476)</f>
        <v>0</v>
      </c>
      <c r="I476" s="18">
        <f ca="1">SUMIFS(OFFSET('BPC Data'!$F:$F,0,Summary!I$2),'BPC Data'!$E:$E,Summary!$D476,'BPC Data'!$B:$B,Summary!$C476)</f>
        <v>0</v>
      </c>
      <c r="J476" s="92">
        <f ca="1">SUMIFS(OFFSET('BPC Data'!$F:$F,0,Summary!J$2),'BPC Data'!$E:$E,Summary!$D476,'BPC Data'!$B:$B,Summary!$C476)</f>
        <v>0</v>
      </c>
      <c r="K476" s="18">
        <f ca="1">SUMIFS(OFFSET('BPC Data'!$F:$F,0,Summary!K$2),'BPC Data'!$E:$E,Summary!$D476,'BPC Data'!$B:$B,Summary!$C476)</f>
        <v>0</v>
      </c>
      <c r="L476" s="92">
        <f ca="1">SUMIFS(OFFSET('BPC Data'!$F:$F,0,Summary!L$2),'BPC Data'!$E:$E,Summary!$D476,'BPC Data'!$B:$B,Summary!$C476)</f>
        <v>0</v>
      </c>
      <c r="M476" s="32"/>
      <c r="N476" s="110"/>
      <c r="O476" s="106">
        <f t="shared" si="193"/>
        <v>0</v>
      </c>
    </row>
    <row r="477" spans="1:15" s="16" customFormat="1" hidden="1" outlineLevel="1" x14ac:dyDescent="0.25">
      <c r="A477" s="16">
        <f t="shared" si="199"/>
        <v>43</v>
      </c>
      <c r="B477"/>
      <c r="C477">
        <f>$F471</f>
        <v>0</v>
      </c>
      <c r="D477" s="2" t="str">
        <f t="shared" si="195"/>
        <v>T_EBITDARM - EBITDARM</v>
      </c>
      <c r="E477"/>
      <c r="F477" s="22" t="str">
        <f>_xll.EVDES(D477)</f>
        <v>EBITDARM</v>
      </c>
      <c r="G477" s="18">
        <f ca="1">SUMIFS(OFFSET('BPC Data'!$F:$F,0,Summary!G$2),'BPC Data'!$E:$E,Summary!$D477,'BPC Data'!$B:$B,Summary!$C477)</f>
        <v>0</v>
      </c>
      <c r="H477" s="92">
        <f ca="1">SUMIFS(OFFSET('BPC Data'!$F:$F,0,Summary!H$2),'BPC Data'!$E:$E,Summary!$D477,'BPC Data'!$B:$B,Summary!$C477)</f>
        <v>0</v>
      </c>
      <c r="I477" s="18">
        <f ca="1">SUMIFS(OFFSET('BPC Data'!$F:$F,0,Summary!I$2),'BPC Data'!$E:$E,Summary!$D477,'BPC Data'!$B:$B,Summary!$C477)</f>
        <v>0</v>
      </c>
      <c r="J477" s="92">
        <f ca="1">SUMIFS(OFFSET('BPC Data'!$F:$F,0,Summary!J$2),'BPC Data'!$E:$E,Summary!$D477,'BPC Data'!$B:$B,Summary!$C477)</f>
        <v>0</v>
      </c>
      <c r="K477" s="18">
        <f ca="1">SUMIFS(OFFSET('BPC Data'!$F:$F,0,Summary!K$2),'BPC Data'!$E:$E,Summary!$D477,'BPC Data'!$B:$B,Summary!$C477)</f>
        <v>0</v>
      </c>
      <c r="L477" s="92">
        <f ca="1">SUMIFS(OFFSET('BPC Data'!$F:$F,0,Summary!L$2),'BPC Data'!$E:$E,Summary!$D477,'BPC Data'!$B:$B,Summary!$C477)</f>
        <v>0</v>
      </c>
      <c r="M477" s="32"/>
      <c r="N477" s="110"/>
      <c r="O477" s="106">
        <f t="shared" si="193"/>
        <v>0</v>
      </c>
    </row>
    <row r="478" spans="1:15" s="16" customFormat="1" hidden="1" outlineLevel="1" x14ac:dyDescent="0.25">
      <c r="A478" s="16">
        <f t="shared" si="199"/>
        <v>43</v>
      </c>
      <c r="B478"/>
      <c r="C478">
        <f>$F471</f>
        <v>0</v>
      </c>
      <c r="D478" s="2" t="str">
        <f t="shared" si="195"/>
        <v>T_MGMT_FEE - Tenant Management Fee - Actual</v>
      </c>
      <c r="E478"/>
      <c r="F478" s="22" t="str">
        <f>_xll.EVDES(D478)</f>
        <v>Tenant Management Fee - Actual</v>
      </c>
      <c r="G478" s="18">
        <f ca="1">SUMIFS(OFFSET('BPC Data'!$F:$F,0,Summary!G$2),'BPC Data'!$E:$E,Summary!$D478,'BPC Data'!$B:$B,Summary!$C478)</f>
        <v>0</v>
      </c>
      <c r="H478" s="92">
        <f ca="1">SUMIFS(OFFSET('BPC Data'!$F:$F,0,Summary!H$2),'BPC Data'!$E:$E,Summary!$D478,'BPC Data'!$B:$B,Summary!$C478)</f>
        <v>0</v>
      </c>
      <c r="I478" s="18">
        <f ca="1">SUMIFS(OFFSET('BPC Data'!$F:$F,0,Summary!I$2),'BPC Data'!$E:$E,Summary!$D478,'BPC Data'!$B:$B,Summary!$C478)</f>
        <v>0</v>
      </c>
      <c r="J478" s="92">
        <f ca="1">SUMIFS(OFFSET('BPC Data'!$F:$F,0,Summary!J$2),'BPC Data'!$E:$E,Summary!$D478,'BPC Data'!$B:$B,Summary!$C478)</f>
        <v>0</v>
      </c>
      <c r="K478" s="18">
        <f ca="1">SUMIFS(OFFSET('BPC Data'!$F:$F,0,Summary!K$2),'BPC Data'!$E:$E,Summary!$D478,'BPC Data'!$B:$B,Summary!$C478)</f>
        <v>0</v>
      </c>
      <c r="L478" s="92">
        <f ca="1">SUMIFS(OFFSET('BPC Data'!$F:$F,0,Summary!L$2),'BPC Data'!$E:$E,Summary!$D478,'BPC Data'!$B:$B,Summary!$C478)</f>
        <v>0</v>
      </c>
      <c r="M478" s="32"/>
      <c r="N478" s="110"/>
      <c r="O478" s="106">
        <f t="shared" si="193"/>
        <v>0</v>
      </c>
    </row>
    <row r="479" spans="1:15" s="16" customFormat="1" hidden="1" outlineLevel="1" x14ac:dyDescent="0.25">
      <c r="A479" s="16">
        <f t="shared" si="199"/>
        <v>43</v>
      </c>
      <c r="B479"/>
      <c r="C479">
        <f>$F471</f>
        <v>0</v>
      </c>
      <c r="D479" s="1" t="str">
        <f t="shared" si="195"/>
        <v>T_EBITDAR - EBITDAR</v>
      </c>
      <c r="E479"/>
      <c r="F479" s="22" t="str">
        <f>_xll.EVDES(D479)</f>
        <v>EBITDAR</v>
      </c>
      <c r="G479" s="18">
        <f ca="1">SUMIFS(OFFSET('BPC Data'!$F:$F,0,Summary!G$2),'BPC Data'!$E:$E,Summary!$D479,'BPC Data'!$B:$B,Summary!$C479)</f>
        <v>0</v>
      </c>
      <c r="H479" s="92">
        <f ca="1">SUMIFS(OFFSET('BPC Data'!$F:$F,0,Summary!H$2),'BPC Data'!$E:$E,Summary!$D479,'BPC Data'!$B:$B,Summary!$C479)</f>
        <v>0</v>
      </c>
      <c r="I479" s="18">
        <f ca="1">SUMIFS(OFFSET('BPC Data'!$F:$F,0,Summary!I$2),'BPC Data'!$E:$E,Summary!$D479,'BPC Data'!$B:$B,Summary!$C479)</f>
        <v>0</v>
      </c>
      <c r="J479" s="92">
        <f ca="1">SUMIFS(OFFSET('BPC Data'!$F:$F,0,Summary!J$2),'BPC Data'!$E:$E,Summary!$D479,'BPC Data'!$B:$B,Summary!$C479)</f>
        <v>0</v>
      </c>
      <c r="K479" s="18">
        <f ca="1">SUMIFS(OFFSET('BPC Data'!$F:$F,0,Summary!K$2),'BPC Data'!$E:$E,Summary!$D479,'BPC Data'!$B:$B,Summary!$C479)</f>
        <v>0</v>
      </c>
      <c r="L479" s="92">
        <f ca="1">SUMIFS(OFFSET('BPC Data'!$F:$F,0,Summary!L$2),'BPC Data'!$E:$E,Summary!$D479,'BPC Data'!$B:$B,Summary!$C479)</f>
        <v>0</v>
      </c>
      <c r="M479" s="32"/>
      <c r="N479" s="110"/>
      <c r="O479" s="106">
        <f t="shared" si="193"/>
        <v>0</v>
      </c>
    </row>
    <row r="480" spans="1:15" s="16" customFormat="1" hidden="1" outlineLevel="1" x14ac:dyDescent="0.25">
      <c r="A480" s="16">
        <f t="shared" si="199"/>
        <v>43</v>
      </c>
      <c r="B480"/>
      <c r="C480">
        <f>$F471</f>
        <v>0</v>
      </c>
      <c r="D480" s="1" t="str">
        <f t="shared" si="195"/>
        <v>T_RENT_EXP - Tenant Rent Expense</v>
      </c>
      <c r="E480"/>
      <c r="F480" s="22" t="str">
        <f>_xll.EVDES(D480)</f>
        <v>Tenant Rent Expense</v>
      </c>
      <c r="G480" s="18">
        <f ca="1">SUMIFS(OFFSET('BPC Data'!$F:$F,0,Summary!G$2),'BPC Data'!$E:$E,Summary!$D480,'BPC Data'!$B:$B,Summary!$C480)</f>
        <v>0</v>
      </c>
      <c r="H480" s="92">
        <f ca="1">SUMIFS(OFFSET('BPC Data'!$F:$F,0,Summary!H$2),'BPC Data'!$E:$E,Summary!$D480,'BPC Data'!$B:$B,Summary!$C480)</f>
        <v>0</v>
      </c>
      <c r="I480" s="18">
        <f ca="1">SUMIFS(OFFSET('BPC Data'!$F:$F,0,Summary!I$2),'BPC Data'!$E:$E,Summary!$D480,'BPC Data'!$B:$B,Summary!$C480)</f>
        <v>0</v>
      </c>
      <c r="J480" s="92">
        <f ca="1">SUMIFS(OFFSET('BPC Data'!$F:$F,0,Summary!J$2),'BPC Data'!$E:$E,Summary!$D480,'BPC Data'!$B:$B,Summary!$C480)</f>
        <v>0</v>
      </c>
      <c r="K480" s="18">
        <f ca="1">SUMIFS(OFFSET('BPC Data'!$F:$F,0,Summary!K$2),'BPC Data'!$E:$E,Summary!$D480,'BPC Data'!$B:$B,Summary!$C480)</f>
        <v>0</v>
      </c>
      <c r="L480" s="92">
        <f ca="1">SUMIFS(OFFSET('BPC Data'!$F:$F,0,Summary!L$2),'BPC Data'!$E:$E,Summary!$D480,'BPC Data'!$B:$B,Summary!$C480)</f>
        <v>0</v>
      </c>
      <c r="M480" s="32"/>
      <c r="N480" s="110"/>
      <c r="O480" s="106">
        <f t="shared" si="193"/>
        <v>0</v>
      </c>
    </row>
    <row r="481" spans="1:15" s="16" customFormat="1" hidden="1" outlineLevel="1" x14ac:dyDescent="0.25">
      <c r="A481" s="16">
        <f t="shared" si="199"/>
        <v>43</v>
      </c>
      <c r="B481"/>
      <c r="C481"/>
      <c r="D481" s="1" t="str">
        <f t="shared" si="195"/>
        <v>x</v>
      </c>
      <c r="E481"/>
      <c r="F481" s="22" t="s">
        <v>0</v>
      </c>
      <c r="G481" s="11" t="e">
        <f t="shared" ref="G481:H481" ca="1" si="200">G479/G480</f>
        <v>#DIV/0!</v>
      </c>
      <c r="H481" s="93" t="e">
        <f t="shared" ca="1" si="200"/>
        <v>#DIV/0!</v>
      </c>
      <c r="I481" s="11" t="e">
        <f t="shared" ref="I481:J481" ca="1" si="201">I479/I480</f>
        <v>#DIV/0!</v>
      </c>
      <c r="J481" s="93" t="e">
        <f t="shared" ca="1" si="201"/>
        <v>#DIV/0!</v>
      </c>
      <c r="K481" s="11" t="e">
        <f t="shared" ref="K481:L481" ca="1" si="202">K479/K480</f>
        <v>#DIV/0!</v>
      </c>
      <c r="L481" s="93" t="e">
        <f t="shared" ca="1" si="202"/>
        <v>#DIV/0!</v>
      </c>
      <c r="M481" s="32"/>
      <c r="N481" s="110"/>
      <c r="O481" s="106">
        <f t="shared" si="193"/>
        <v>0</v>
      </c>
    </row>
    <row r="482" spans="1:15" s="16" customFormat="1" hidden="1" outlineLevel="1" x14ac:dyDescent="0.25">
      <c r="A482" s="16">
        <f>IF(AND(D482&lt;&gt;"",C482=""),A481+1,A481)</f>
        <v>44</v>
      </c>
      <c r="B482" s="4"/>
      <c r="C482" s="4"/>
      <c r="D482" s="4" t="str">
        <f t="shared" si="195"/>
        <v>x</v>
      </c>
      <c r="E482" s="4"/>
      <c r="F482" s="21">
        <f>INDEX(PropertyList!$D:$D,MATCH(Summary!$A482,PropertyList!$C:$C,0))</f>
        <v>0</v>
      </c>
      <c r="G482" s="10"/>
      <c r="H482" s="91"/>
      <c r="I482" s="10"/>
      <c r="J482" s="91"/>
      <c r="K482" s="10"/>
      <c r="L482" s="91"/>
      <c r="M482" s="32"/>
      <c r="N482" s="110"/>
      <c r="O482" s="106">
        <f t="shared" si="193"/>
        <v>0</v>
      </c>
    </row>
    <row r="483" spans="1:15" s="16" customFormat="1" hidden="1" outlineLevel="1" x14ac:dyDescent="0.25">
      <c r="A483" s="16">
        <f>IF(AND(F483&lt;&gt;"",D483=""),A482+1,A482)</f>
        <v>44</v>
      </c>
      <c r="C483">
        <f>$F482</f>
        <v>0</v>
      </c>
      <c r="D483" s="3" t="str">
        <f t="shared" si="195"/>
        <v>PAY_PAT_DAYS - Total Payor Patient Days</v>
      </c>
      <c r="F483" s="22" t="str">
        <f>_xll.EVDES(D483)</f>
        <v>Total Payor Patient Days</v>
      </c>
      <c r="G483" s="18">
        <f ca="1">SUMIFS(OFFSET('BPC Data'!$F:$F,0,Summary!G$2),'BPC Data'!$E:$E,Summary!$D483,'BPC Data'!$B:$B,Summary!$C483)</f>
        <v>0</v>
      </c>
      <c r="H483" s="92">
        <f ca="1">SUMIFS(OFFSET('BPC Data'!$F:$F,0,Summary!H$2),'BPC Data'!$E:$E,Summary!$D483,'BPC Data'!$B:$B,Summary!$C483)</f>
        <v>0</v>
      </c>
      <c r="I483" s="18">
        <f ca="1">SUMIFS(OFFSET('BPC Data'!$F:$F,0,Summary!I$2),'BPC Data'!$E:$E,Summary!$D483,'BPC Data'!$B:$B,Summary!$C483)</f>
        <v>0</v>
      </c>
      <c r="J483" s="92">
        <f ca="1">SUMIFS(OFFSET('BPC Data'!$F:$F,0,Summary!J$2),'BPC Data'!$E:$E,Summary!$D483,'BPC Data'!$B:$B,Summary!$C483)</f>
        <v>0</v>
      </c>
      <c r="K483" s="18">
        <f ca="1">SUMIFS(OFFSET('BPC Data'!$F:$F,0,Summary!K$2),'BPC Data'!$E:$E,Summary!$D483,'BPC Data'!$B:$B,Summary!$C483)</f>
        <v>0</v>
      </c>
      <c r="L483" s="92">
        <f ca="1">SUMIFS(OFFSET('BPC Data'!$F:$F,0,Summary!L$2),'BPC Data'!$E:$E,Summary!$D483,'BPC Data'!$B:$B,Summary!$C483)</f>
        <v>0</v>
      </c>
      <c r="M483" s="32"/>
      <c r="N483" s="110"/>
      <c r="O483" s="106">
        <f t="shared" si="193"/>
        <v>0</v>
      </c>
    </row>
    <row r="484" spans="1:15" s="16" customFormat="1" hidden="1" outlineLevel="1" x14ac:dyDescent="0.25">
      <c r="A484" s="16">
        <f t="shared" ref="A484:A492" si="203">IF(AND(F484&lt;&gt;"",D484=""),A483+1,A483)</f>
        <v>44</v>
      </c>
      <c r="C484">
        <f>$F482</f>
        <v>0</v>
      </c>
      <c r="D484" s="3" t="str">
        <f t="shared" si="195"/>
        <v>A_BEDS_TOTAL - Total Available Beds</v>
      </c>
      <c r="F484" s="22" t="str">
        <f>_xll.EVDES(D484)</f>
        <v>Total Available Beds</v>
      </c>
      <c r="G484" s="18">
        <f ca="1">SUMIFS(OFFSET('BPC Data'!$F:$F,0,Summary!G$2),'BPC Data'!$E:$E,Summary!$D484,'BPC Data'!$B:$B,Summary!$C484)</f>
        <v>0</v>
      </c>
      <c r="H484" s="92">
        <f ca="1">SUMIFS(OFFSET('BPC Data'!$F:$F,0,Summary!H$2),'BPC Data'!$E:$E,Summary!$D484,'BPC Data'!$B:$B,Summary!$C484)</f>
        <v>0</v>
      </c>
      <c r="I484" s="18">
        <f ca="1">SUMIFS(OFFSET('BPC Data'!$F:$F,0,Summary!I$2),'BPC Data'!$E:$E,Summary!$D484,'BPC Data'!$B:$B,Summary!$C484)</f>
        <v>0</v>
      </c>
      <c r="J484" s="92">
        <f ca="1">SUMIFS(OFFSET('BPC Data'!$F:$F,0,Summary!J$2),'BPC Data'!$E:$E,Summary!$D484,'BPC Data'!$B:$B,Summary!$C484)</f>
        <v>0</v>
      </c>
      <c r="K484" s="18">
        <f ca="1">SUMIFS(OFFSET('BPC Data'!$F:$F,0,Summary!K$2),'BPC Data'!$E:$E,Summary!$D484,'BPC Data'!$B:$B,Summary!$C484)</f>
        <v>0</v>
      </c>
      <c r="L484" s="92">
        <f ca="1">SUMIFS(OFFSET('BPC Data'!$F:$F,0,Summary!L$2),'BPC Data'!$E:$E,Summary!$D484,'BPC Data'!$B:$B,Summary!$C484)</f>
        <v>0</v>
      </c>
      <c r="M484" s="32"/>
      <c r="N484" s="110"/>
      <c r="O484" s="106">
        <f t="shared" si="193"/>
        <v>0</v>
      </c>
    </row>
    <row r="485" spans="1:15" s="16" customFormat="1" hidden="1" outlineLevel="1" x14ac:dyDescent="0.25">
      <c r="A485" s="16">
        <f t="shared" si="203"/>
        <v>44</v>
      </c>
      <c r="B485"/>
      <c r="C485">
        <f>$F482</f>
        <v>0</v>
      </c>
      <c r="D485" s="3" t="str">
        <f t="shared" si="195"/>
        <v>T_REVENUES - Total Tenant Revenues</v>
      </c>
      <c r="E485"/>
      <c r="F485" s="22" t="str">
        <f>_xll.EVDES(D485)</f>
        <v>Total Tenant Revenues</v>
      </c>
      <c r="G485" s="18">
        <f ca="1">SUMIFS(OFFSET('BPC Data'!$F:$F,0,Summary!G$2),'BPC Data'!$E:$E,Summary!$D485,'BPC Data'!$B:$B,Summary!$C485)</f>
        <v>0</v>
      </c>
      <c r="H485" s="92">
        <f ca="1">SUMIFS(OFFSET('BPC Data'!$F:$F,0,Summary!H$2),'BPC Data'!$E:$E,Summary!$D485,'BPC Data'!$B:$B,Summary!$C485)</f>
        <v>0</v>
      </c>
      <c r="I485" s="18">
        <f ca="1">SUMIFS(OFFSET('BPC Data'!$F:$F,0,Summary!I$2),'BPC Data'!$E:$E,Summary!$D485,'BPC Data'!$B:$B,Summary!$C485)</f>
        <v>0</v>
      </c>
      <c r="J485" s="92">
        <f ca="1">SUMIFS(OFFSET('BPC Data'!$F:$F,0,Summary!J$2),'BPC Data'!$E:$E,Summary!$D485,'BPC Data'!$B:$B,Summary!$C485)</f>
        <v>0</v>
      </c>
      <c r="K485" s="18">
        <f ca="1">SUMIFS(OFFSET('BPC Data'!$F:$F,0,Summary!K$2),'BPC Data'!$E:$E,Summary!$D485,'BPC Data'!$B:$B,Summary!$C485)</f>
        <v>0</v>
      </c>
      <c r="L485" s="92">
        <f ca="1">SUMIFS(OFFSET('BPC Data'!$F:$F,0,Summary!L$2),'BPC Data'!$E:$E,Summary!$D485,'BPC Data'!$B:$B,Summary!$C485)</f>
        <v>0</v>
      </c>
      <c r="M485" s="32"/>
      <c r="N485" s="110"/>
      <c r="O485" s="106">
        <f t="shared" si="193"/>
        <v>0</v>
      </c>
    </row>
    <row r="486" spans="1:15" s="16" customFormat="1" hidden="1" outlineLevel="1" x14ac:dyDescent="0.25">
      <c r="A486" s="16">
        <f t="shared" si="203"/>
        <v>44</v>
      </c>
      <c r="B486"/>
      <c r="C486">
        <f>$F482</f>
        <v>0</v>
      </c>
      <c r="D486" s="3" t="str">
        <f t="shared" si="195"/>
        <v>T_OPEX - Tenant Operating Expenses</v>
      </c>
      <c r="E486"/>
      <c r="F486" s="22" t="str">
        <f>_xll.EVDES(D486)</f>
        <v>Tenant Operating Expenses</v>
      </c>
      <c r="G486" s="18">
        <f ca="1">SUMIFS(OFFSET('BPC Data'!$F:$F,0,Summary!G$2),'BPC Data'!$E:$E,Summary!$D486,'BPC Data'!$B:$B,Summary!$C486)</f>
        <v>0</v>
      </c>
      <c r="H486" s="92">
        <f ca="1">SUMIFS(OFFSET('BPC Data'!$F:$F,0,Summary!H$2),'BPC Data'!$E:$E,Summary!$D486,'BPC Data'!$B:$B,Summary!$C486)</f>
        <v>0</v>
      </c>
      <c r="I486" s="18">
        <f ca="1">SUMIFS(OFFSET('BPC Data'!$F:$F,0,Summary!I$2),'BPC Data'!$E:$E,Summary!$D486,'BPC Data'!$B:$B,Summary!$C486)</f>
        <v>0</v>
      </c>
      <c r="J486" s="92">
        <f ca="1">SUMIFS(OFFSET('BPC Data'!$F:$F,0,Summary!J$2),'BPC Data'!$E:$E,Summary!$D486,'BPC Data'!$B:$B,Summary!$C486)</f>
        <v>0</v>
      </c>
      <c r="K486" s="18">
        <f ca="1">SUMIFS(OFFSET('BPC Data'!$F:$F,0,Summary!K$2),'BPC Data'!$E:$E,Summary!$D486,'BPC Data'!$B:$B,Summary!$C486)</f>
        <v>0</v>
      </c>
      <c r="L486" s="92">
        <f ca="1">SUMIFS(OFFSET('BPC Data'!$F:$F,0,Summary!L$2),'BPC Data'!$E:$E,Summary!$D486,'BPC Data'!$B:$B,Summary!$C486)</f>
        <v>0</v>
      </c>
      <c r="M486" s="32"/>
      <c r="N486" s="110"/>
      <c r="O486" s="106">
        <f t="shared" si="193"/>
        <v>0</v>
      </c>
    </row>
    <row r="487" spans="1:15" s="16" customFormat="1" hidden="1" outlineLevel="1" x14ac:dyDescent="0.25">
      <c r="A487" s="16">
        <f t="shared" si="203"/>
        <v>44</v>
      </c>
      <c r="B487"/>
      <c r="C487">
        <f>$F482</f>
        <v>0</v>
      </c>
      <c r="D487" s="3" t="str">
        <f t="shared" si="195"/>
        <v>T_BAD_DEBT - Tenant Bad Debt Expense</v>
      </c>
      <c r="E487"/>
      <c r="F487" s="22" t="str">
        <f>_xll.EVDES(D487)</f>
        <v>Tenant Bad Debt Expense</v>
      </c>
      <c r="G487" s="18">
        <f ca="1">SUMIFS(OFFSET('BPC Data'!$F:$F,0,Summary!G$2),'BPC Data'!$E:$E,Summary!$D487,'BPC Data'!$B:$B,Summary!$C487)</f>
        <v>0</v>
      </c>
      <c r="H487" s="92">
        <f ca="1">SUMIFS(OFFSET('BPC Data'!$F:$F,0,Summary!H$2),'BPC Data'!$E:$E,Summary!$D487,'BPC Data'!$B:$B,Summary!$C487)</f>
        <v>0</v>
      </c>
      <c r="I487" s="18">
        <f ca="1">SUMIFS(OFFSET('BPC Data'!$F:$F,0,Summary!I$2),'BPC Data'!$E:$E,Summary!$D487,'BPC Data'!$B:$B,Summary!$C487)</f>
        <v>0</v>
      </c>
      <c r="J487" s="92">
        <f ca="1">SUMIFS(OFFSET('BPC Data'!$F:$F,0,Summary!J$2),'BPC Data'!$E:$E,Summary!$D487,'BPC Data'!$B:$B,Summary!$C487)</f>
        <v>0</v>
      </c>
      <c r="K487" s="18">
        <f ca="1">SUMIFS(OFFSET('BPC Data'!$F:$F,0,Summary!K$2),'BPC Data'!$E:$E,Summary!$D487,'BPC Data'!$B:$B,Summary!$C487)</f>
        <v>0</v>
      </c>
      <c r="L487" s="92">
        <f ca="1">SUMIFS(OFFSET('BPC Data'!$F:$F,0,Summary!L$2),'BPC Data'!$E:$E,Summary!$D487,'BPC Data'!$B:$B,Summary!$C487)</f>
        <v>0</v>
      </c>
      <c r="M487" s="32"/>
      <c r="N487" s="110"/>
      <c r="O487" s="106">
        <f t="shared" si="193"/>
        <v>0</v>
      </c>
    </row>
    <row r="488" spans="1:15" s="16" customFormat="1" hidden="1" outlineLevel="1" x14ac:dyDescent="0.25">
      <c r="A488" s="16">
        <f t="shared" si="203"/>
        <v>44</v>
      </c>
      <c r="B488"/>
      <c r="C488">
        <f>$F482</f>
        <v>0</v>
      </c>
      <c r="D488" s="2" t="str">
        <f t="shared" si="195"/>
        <v>T_EBITDARM - EBITDARM</v>
      </c>
      <c r="E488"/>
      <c r="F488" s="22" t="str">
        <f>_xll.EVDES(D488)</f>
        <v>EBITDARM</v>
      </c>
      <c r="G488" s="18">
        <f ca="1">SUMIFS(OFFSET('BPC Data'!$F:$F,0,Summary!G$2),'BPC Data'!$E:$E,Summary!$D488,'BPC Data'!$B:$B,Summary!$C488)</f>
        <v>0</v>
      </c>
      <c r="H488" s="92">
        <f ca="1">SUMIFS(OFFSET('BPC Data'!$F:$F,0,Summary!H$2),'BPC Data'!$E:$E,Summary!$D488,'BPC Data'!$B:$B,Summary!$C488)</f>
        <v>0</v>
      </c>
      <c r="I488" s="18">
        <f ca="1">SUMIFS(OFFSET('BPC Data'!$F:$F,0,Summary!I$2),'BPC Data'!$E:$E,Summary!$D488,'BPC Data'!$B:$B,Summary!$C488)</f>
        <v>0</v>
      </c>
      <c r="J488" s="92">
        <f ca="1">SUMIFS(OFFSET('BPC Data'!$F:$F,0,Summary!J$2),'BPC Data'!$E:$E,Summary!$D488,'BPC Data'!$B:$B,Summary!$C488)</f>
        <v>0</v>
      </c>
      <c r="K488" s="18">
        <f ca="1">SUMIFS(OFFSET('BPC Data'!$F:$F,0,Summary!K$2),'BPC Data'!$E:$E,Summary!$D488,'BPC Data'!$B:$B,Summary!$C488)</f>
        <v>0</v>
      </c>
      <c r="L488" s="92">
        <f ca="1">SUMIFS(OFFSET('BPC Data'!$F:$F,0,Summary!L$2),'BPC Data'!$E:$E,Summary!$D488,'BPC Data'!$B:$B,Summary!$C488)</f>
        <v>0</v>
      </c>
      <c r="M488" s="32"/>
      <c r="N488" s="110"/>
      <c r="O488" s="106">
        <f t="shared" si="193"/>
        <v>0</v>
      </c>
    </row>
    <row r="489" spans="1:15" s="16" customFormat="1" hidden="1" outlineLevel="1" x14ac:dyDescent="0.25">
      <c r="A489" s="16">
        <f t="shared" si="203"/>
        <v>44</v>
      </c>
      <c r="B489"/>
      <c r="C489">
        <f>$F482</f>
        <v>0</v>
      </c>
      <c r="D489" s="2" t="str">
        <f t="shared" si="195"/>
        <v>T_MGMT_FEE - Tenant Management Fee - Actual</v>
      </c>
      <c r="E489"/>
      <c r="F489" s="22" t="str">
        <f>_xll.EVDES(D489)</f>
        <v>Tenant Management Fee - Actual</v>
      </c>
      <c r="G489" s="18">
        <f ca="1">SUMIFS(OFFSET('BPC Data'!$F:$F,0,Summary!G$2),'BPC Data'!$E:$E,Summary!$D489,'BPC Data'!$B:$B,Summary!$C489)</f>
        <v>0</v>
      </c>
      <c r="H489" s="92">
        <f ca="1">SUMIFS(OFFSET('BPC Data'!$F:$F,0,Summary!H$2),'BPC Data'!$E:$E,Summary!$D489,'BPC Data'!$B:$B,Summary!$C489)</f>
        <v>0</v>
      </c>
      <c r="I489" s="18">
        <f ca="1">SUMIFS(OFFSET('BPC Data'!$F:$F,0,Summary!I$2),'BPC Data'!$E:$E,Summary!$D489,'BPC Data'!$B:$B,Summary!$C489)</f>
        <v>0</v>
      </c>
      <c r="J489" s="92">
        <f ca="1">SUMIFS(OFFSET('BPC Data'!$F:$F,0,Summary!J$2),'BPC Data'!$E:$E,Summary!$D489,'BPC Data'!$B:$B,Summary!$C489)</f>
        <v>0</v>
      </c>
      <c r="K489" s="18">
        <f ca="1">SUMIFS(OFFSET('BPC Data'!$F:$F,0,Summary!K$2),'BPC Data'!$E:$E,Summary!$D489,'BPC Data'!$B:$B,Summary!$C489)</f>
        <v>0</v>
      </c>
      <c r="L489" s="92">
        <f ca="1">SUMIFS(OFFSET('BPC Data'!$F:$F,0,Summary!L$2),'BPC Data'!$E:$E,Summary!$D489,'BPC Data'!$B:$B,Summary!$C489)</f>
        <v>0</v>
      </c>
      <c r="M489" s="32"/>
      <c r="N489" s="110"/>
      <c r="O489" s="106">
        <f t="shared" si="193"/>
        <v>0</v>
      </c>
    </row>
    <row r="490" spans="1:15" s="16" customFormat="1" hidden="1" outlineLevel="1" x14ac:dyDescent="0.25">
      <c r="A490" s="16">
        <f t="shared" si="203"/>
        <v>44</v>
      </c>
      <c r="B490"/>
      <c r="C490">
        <f>$F482</f>
        <v>0</v>
      </c>
      <c r="D490" s="1" t="str">
        <f t="shared" si="195"/>
        <v>T_EBITDAR - EBITDAR</v>
      </c>
      <c r="E490"/>
      <c r="F490" s="22" t="str">
        <f>_xll.EVDES(D490)</f>
        <v>EBITDAR</v>
      </c>
      <c r="G490" s="18">
        <f ca="1">SUMIFS(OFFSET('BPC Data'!$F:$F,0,Summary!G$2),'BPC Data'!$E:$E,Summary!$D490,'BPC Data'!$B:$B,Summary!$C490)</f>
        <v>0</v>
      </c>
      <c r="H490" s="92">
        <f ca="1">SUMIFS(OFFSET('BPC Data'!$F:$F,0,Summary!H$2),'BPC Data'!$E:$E,Summary!$D490,'BPC Data'!$B:$B,Summary!$C490)</f>
        <v>0</v>
      </c>
      <c r="I490" s="18">
        <f ca="1">SUMIFS(OFFSET('BPC Data'!$F:$F,0,Summary!I$2),'BPC Data'!$E:$E,Summary!$D490,'BPC Data'!$B:$B,Summary!$C490)</f>
        <v>0</v>
      </c>
      <c r="J490" s="92">
        <f ca="1">SUMIFS(OFFSET('BPC Data'!$F:$F,0,Summary!J$2),'BPC Data'!$E:$E,Summary!$D490,'BPC Data'!$B:$B,Summary!$C490)</f>
        <v>0</v>
      </c>
      <c r="K490" s="18">
        <f ca="1">SUMIFS(OFFSET('BPC Data'!$F:$F,0,Summary!K$2),'BPC Data'!$E:$E,Summary!$D490,'BPC Data'!$B:$B,Summary!$C490)</f>
        <v>0</v>
      </c>
      <c r="L490" s="92">
        <f ca="1">SUMIFS(OFFSET('BPC Data'!$F:$F,0,Summary!L$2),'BPC Data'!$E:$E,Summary!$D490,'BPC Data'!$B:$B,Summary!$C490)</f>
        <v>0</v>
      </c>
      <c r="M490" s="32"/>
      <c r="N490" s="110"/>
      <c r="O490" s="106">
        <f t="shared" si="193"/>
        <v>0</v>
      </c>
    </row>
    <row r="491" spans="1:15" s="16" customFormat="1" hidden="1" outlineLevel="1" x14ac:dyDescent="0.25">
      <c r="A491" s="16">
        <f t="shared" si="203"/>
        <v>44</v>
      </c>
      <c r="B491"/>
      <c r="C491">
        <f>$F482</f>
        <v>0</v>
      </c>
      <c r="D491" s="1" t="str">
        <f t="shared" si="195"/>
        <v>T_RENT_EXP - Tenant Rent Expense</v>
      </c>
      <c r="E491"/>
      <c r="F491" s="22" t="str">
        <f>_xll.EVDES(D491)</f>
        <v>Tenant Rent Expense</v>
      </c>
      <c r="G491" s="18">
        <f ca="1">SUMIFS(OFFSET('BPC Data'!$F:$F,0,Summary!G$2),'BPC Data'!$E:$E,Summary!$D491,'BPC Data'!$B:$B,Summary!$C491)</f>
        <v>0</v>
      </c>
      <c r="H491" s="92">
        <f ca="1">SUMIFS(OFFSET('BPC Data'!$F:$F,0,Summary!H$2),'BPC Data'!$E:$E,Summary!$D491,'BPC Data'!$B:$B,Summary!$C491)</f>
        <v>0</v>
      </c>
      <c r="I491" s="18">
        <f ca="1">SUMIFS(OFFSET('BPC Data'!$F:$F,0,Summary!I$2),'BPC Data'!$E:$E,Summary!$D491,'BPC Data'!$B:$B,Summary!$C491)</f>
        <v>0</v>
      </c>
      <c r="J491" s="92">
        <f ca="1">SUMIFS(OFFSET('BPC Data'!$F:$F,0,Summary!J$2),'BPC Data'!$E:$E,Summary!$D491,'BPC Data'!$B:$B,Summary!$C491)</f>
        <v>0</v>
      </c>
      <c r="K491" s="18">
        <f ca="1">SUMIFS(OFFSET('BPC Data'!$F:$F,0,Summary!K$2),'BPC Data'!$E:$E,Summary!$D491,'BPC Data'!$B:$B,Summary!$C491)</f>
        <v>0</v>
      </c>
      <c r="L491" s="92">
        <f ca="1">SUMIFS(OFFSET('BPC Data'!$F:$F,0,Summary!L$2),'BPC Data'!$E:$E,Summary!$D491,'BPC Data'!$B:$B,Summary!$C491)</f>
        <v>0</v>
      </c>
      <c r="M491" s="32"/>
      <c r="N491" s="110"/>
      <c r="O491" s="106">
        <f t="shared" si="193"/>
        <v>0</v>
      </c>
    </row>
    <row r="492" spans="1:15" s="16" customFormat="1" hidden="1" outlineLevel="1" x14ac:dyDescent="0.25">
      <c r="A492" s="16">
        <f t="shared" si="203"/>
        <v>44</v>
      </c>
      <c r="B492"/>
      <c r="C492"/>
      <c r="D492" s="1" t="str">
        <f t="shared" si="195"/>
        <v>x</v>
      </c>
      <c r="E492"/>
      <c r="F492" s="22" t="s">
        <v>0</v>
      </c>
      <c r="G492" s="11" t="e">
        <f t="shared" ref="G492:H492" ca="1" si="204">G490/G491</f>
        <v>#DIV/0!</v>
      </c>
      <c r="H492" s="93" t="e">
        <f t="shared" ca="1" si="204"/>
        <v>#DIV/0!</v>
      </c>
      <c r="I492" s="11" t="e">
        <f t="shared" ref="I492:J492" ca="1" si="205">I490/I491</f>
        <v>#DIV/0!</v>
      </c>
      <c r="J492" s="93" t="e">
        <f t="shared" ca="1" si="205"/>
        <v>#DIV/0!</v>
      </c>
      <c r="K492" s="11" t="e">
        <f t="shared" ref="K492:L492" ca="1" si="206">K490/K491</f>
        <v>#DIV/0!</v>
      </c>
      <c r="L492" s="93" t="e">
        <f t="shared" ca="1" si="206"/>
        <v>#DIV/0!</v>
      </c>
      <c r="M492" s="32"/>
      <c r="N492" s="110"/>
      <c r="O492" s="106">
        <f t="shared" si="193"/>
        <v>0</v>
      </c>
    </row>
    <row r="493" spans="1:15" s="16" customFormat="1" hidden="1" outlineLevel="1" x14ac:dyDescent="0.25">
      <c r="A493" s="16">
        <f>IF(AND(D493&lt;&gt;"",C493=""),A492+1,A492)</f>
        <v>45</v>
      </c>
      <c r="B493" s="4"/>
      <c r="C493" s="4"/>
      <c r="D493" s="4" t="str">
        <f t="shared" si="195"/>
        <v>x</v>
      </c>
      <c r="E493" s="4"/>
      <c r="F493" s="21">
        <f>INDEX(PropertyList!$D:$D,MATCH(Summary!$A493,PropertyList!$C:$C,0))</f>
        <v>0</v>
      </c>
      <c r="G493" s="10"/>
      <c r="H493" s="91"/>
      <c r="I493" s="10"/>
      <c r="J493" s="91"/>
      <c r="K493" s="10"/>
      <c r="L493" s="91"/>
      <c r="M493" s="32"/>
      <c r="N493" s="110"/>
      <c r="O493" s="106">
        <f t="shared" si="193"/>
        <v>0</v>
      </c>
    </row>
    <row r="494" spans="1:15" s="16" customFormat="1" hidden="1" outlineLevel="1" x14ac:dyDescent="0.25">
      <c r="A494" s="16">
        <f>IF(AND(F494&lt;&gt;"",D494=""),A493+1,A493)</f>
        <v>45</v>
      </c>
      <c r="C494">
        <f>$F493</f>
        <v>0</v>
      </c>
      <c r="D494" s="3" t="str">
        <f t="shared" si="195"/>
        <v>PAY_PAT_DAYS - Total Payor Patient Days</v>
      </c>
      <c r="F494" s="22" t="str">
        <f>_xll.EVDES(D494)</f>
        <v>Total Payor Patient Days</v>
      </c>
      <c r="G494" s="18">
        <f ca="1">SUMIFS(OFFSET('BPC Data'!$F:$F,0,Summary!G$2),'BPC Data'!$E:$E,Summary!$D494,'BPC Data'!$B:$B,Summary!$C494)</f>
        <v>0</v>
      </c>
      <c r="H494" s="92">
        <f ca="1">SUMIFS(OFFSET('BPC Data'!$F:$F,0,Summary!H$2),'BPC Data'!$E:$E,Summary!$D494,'BPC Data'!$B:$B,Summary!$C494)</f>
        <v>0</v>
      </c>
      <c r="I494" s="18">
        <f ca="1">SUMIFS(OFFSET('BPC Data'!$F:$F,0,Summary!I$2),'BPC Data'!$E:$E,Summary!$D494,'BPC Data'!$B:$B,Summary!$C494)</f>
        <v>0</v>
      </c>
      <c r="J494" s="92">
        <f ca="1">SUMIFS(OFFSET('BPC Data'!$F:$F,0,Summary!J$2),'BPC Data'!$E:$E,Summary!$D494,'BPC Data'!$B:$B,Summary!$C494)</f>
        <v>0</v>
      </c>
      <c r="K494" s="18">
        <f ca="1">SUMIFS(OFFSET('BPC Data'!$F:$F,0,Summary!K$2),'BPC Data'!$E:$E,Summary!$D494,'BPC Data'!$B:$B,Summary!$C494)</f>
        <v>0</v>
      </c>
      <c r="L494" s="92">
        <f ca="1">SUMIFS(OFFSET('BPC Data'!$F:$F,0,Summary!L$2),'BPC Data'!$E:$E,Summary!$D494,'BPC Data'!$B:$B,Summary!$C494)</f>
        <v>0</v>
      </c>
      <c r="M494" s="32"/>
      <c r="N494" s="110"/>
      <c r="O494" s="106">
        <f t="shared" si="193"/>
        <v>0</v>
      </c>
    </row>
    <row r="495" spans="1:15" s="16" customFormat="1" hidden="1" outlineLevel="1" x14ac:dyDescent="0.25">
      <c r="A495" s="16">
        <f t="shared" ref="A495:A503" si="207">IF(AND(F495&lt;&gt;"",D495=""),A494+1,A494)</f>
        <v>45</v>
      </c>
      <c r="C495">
        <f>$F493</f>
        <v>0</v>
      </c>
      <c r="D495" s="3" t="str">
        <f t="shared" si="195"/>
        <v>A_BEDS_TOTAL - Total Available Beds</v>
      </c>
      <c r="F495" s="22" t="str">
        <f>_xll.EVDES(D495)</f>
        <v>Total Available Beds</v>
      </c>
      <c r="G495" s="18">
        <f ca="1">SUMIFS(OFFSET('BPC Data'!$F:$F,0,Summary!G$2),'BPC Data'!$E:$E,Summary!$D495,'BPC Data'!$B:$B,Summary!$C495)</f>
        <v>0</v>
      </c>
      <c r="H495" s="92">
        <f ca="1">SUMIFS(OFFSET('BPC Data'!$F:$F,0,Summary!H$2),'BPC Data'!$E:$E,Summary!$D495,'BPC Data'!$B:$B,Summary!$C495)</f>
        <v>0</v>
      </c>
      <c r="I495" s="18">
        <f ca="1">SUMIFS(OFFSET('BPC Data'!$F:$F,0,Summary!I$2),'BPC Data'!$E:$E,Summary!$D495,'BPC Data'!$B:$B,Summary!$C495)</f>
        <v>0</v>
      </c>
      <c r="J495" s="92">
        <f ca="1">SUMIFS(OFFSET('BPC Data'!$F:$F,0,Summary!J$2),'BPC Data'!$E:$E,Summary!$D495,'BPC Data'!$B:$B,Summary!$C495)</f>
        <v>0</v>
      </c>
      <c r="K495" s="18">
        <f ca="1">SUMIFS(OFFSET('BPC Data'!$F:$F,0,Summary!K$2),'BPC Data'!$E:$E,Summary!$D495,'BPC Data'!$B:$B,Summary!$C495)</f>
        <v>0</v>
      </c>
      <c r="L495" s="92">
        <f ca="1">SUMIFS(OFFSET('BPC Data'!$F:$F,0,Summary!L$2),'BPC Data'!$E:$E,Summary!$D495,'BPC Data'!$B:$B,Summary!$C495)</f>
        <v>0</v>
      </c>
      <c r="M495" s="32"/>
      <c r="N495" s="110"/>
      <c r="O495" s="106">
        <f t="shared" si="193"/>
        <v>0</v>
      </c>
    </row>
    <row r="496" spans="1:15" s="16" customFormat="1" hidden="1" outlineLevel="1" x14ac:dyDescent="0.25">
      <c r="A496" s="16">
        <f t="shared" si="207"/>
        <v>45</v>
      </c>
      <c r="B496"/>
      <c r="C496">
        <f>$F493</f>
        <v>0</v>
      </c>
      <c r="D496" s="3" t="str">
        <f t="shared" si="195"/>
        <v>T_REVENUES - Total Tenant Revenues</v>
      </c>
      <c r="E496"/>
      <c r="F496" s="22" t="str">
        <f>_xll.EVDES(D496)</f>
        <v>Total Tenant Revenues</v>
      </c>
      <c r="G496" s="18">
        <f ca="1">SUMIFS(OFFSET('BPC Data'!$F:$F,0,Summary!G$2),'BPC Data'!$E:$E,Summary!$D496,'BPC Data'!$B:$B,Summary!$C496)</f>
        <v>0</v>
      </c>
      <c r="H496" s="92">
        <f ca="1">SUMIFS(OFFSET('BPC Data'!$F:$F,0,Summary!H$2),'BPC Data'!$E:$E,Summary!$D496,'BPC Data'!$B:$B,Summary!$C496)</f>
        <v>0</v>
      </c>
      <c r="I496" s="18">
        <f ca="1">SUMIFS(OFFSET('BPC Data'!$F:$F,0,Summary!I$2),'BPC Data'!$E:$E,Summary!$D496,'BPC Data'!$B:$B,Summary!$C496)</f>
        <v>0</v>
      </c>
      <c r="J496" s="92">
        <f ca="1">SUMIFS(OFFSET('BPC Data'!$F:$F,0,Summary!J$2),'BPC Data'!$E:$E,Summary!$D496,'BPC Data'!$B:$B,Summary!$C496)</f>
        <v>0</v>
      </c>
      <c r="K496" s="18">
        <f ca="1">SUMIFS(OFFSET('BPC Data'!$F:$F,0,Summary!K$2),'BPC Data'!$E:$E,Summary!$D496,'BPC Data'!$B:$B,Summary!$C496)</f>
        <v>0</v>
      </c>
      <c r="L496" s="92">
        <f ca="1">SUMIFS(OFFSET('BPC Data'!$F:$F,0,Summary!L$2),'BPC Data'!$E:$E,Summary!$D496,'BPC Data'!$B:$B,Summary!$C496)</f>
        <v>0</v>
      </c>
      <c r="M496" s="32"/>
      <c r="N496" s="110"/>
      <c r="O496" s="106">
        <f t="shared" si="193"/>
        <v>0</v>
      </c>
    </row>
    <row r="497" spans="1:15" s="16" customFormat="1" hidden="1" outlineLevel="1" x14ac:dyDescent="0.25">
      <c r="A497" s="16">
        <f t="shared" si="207"/>
        <v>45</v>
      </c>
      <c r="B497"/>
      <c r="C497">
        <f>$F493</f>
        <v>0</v>
      </c>
      <c r="D497" s="3" t="str">
        <f t="shared" si="195"/>
        <v>T_OPEX - Tenant Operating Expenses</v>
      </c>
      <c r="E497"/>
      <c r="F497" s="22" t="str">
        <f>_xll.EVDES(D497)</f>
        <v>Tenant Operating Expenses</v>
      </c>
      <c r="G497" s="18">
        <f ca="1">SUMIFS(OFFSET('BPC Data'!$F:$F,0,Summary!G$2),'BPC Data'!$E:$E,Summary!$D497,'BPC Data'!$B:$B,Summary!$C497)</f>
        <v>0</v>
      </c>
      <c r="H497" s="92">
        <f ca="1">SUMIFS(OFFSET('BPC Data'!$F:$F,0,Summary!H$2),'BPC Data'!$E:$E,Summary!$D497,'BPC Data'!$B:$B,Summary!$C497)</f>
        <v>0</v>
      </c>
      <c r="I497" s="18">
        <f ca="1">SUMIFS(OFFSET('BPC Data'!$F:$F,0,Summary!I$2),'BPC Data'!$E:$E,Summary!$D497,'BPC Data'!$B:$B,Summary!$C497)</f>
        <v>0</v>
      </c>
      <c r="J497" s="92">
        <f ca="1">SUMIFS(OFFSET('BPC Data'!$F:$F,0,Summary!J$2),'BPC Data'!$E:$E,Summary!$D497,'BPC Data'!$B:$B,Summary!$C497)</f>
        <v>0</v>
      </c>
      <c r="K497" s="18">
        <f ca="1">SUMIFS(OFFSET('BPC Data'!$F:$F,0,Summary!K$2),'BPC Data'!$E:$E,Summary!$D497,'BPC Data'!$B:$B,Summary!$C497)</f>
        <v>0</v>
      </c>
      <c r="L497" s="92">
        <f ca="1">SUMIFS(OFFSET('BPC Data'!$F:$F,0,Summary!L$2),'BPC Data'!$E:$E,Summary!$D497,'BPC Data'!$B:$B,Summary!$C497)</f>
        <v>0</v>
      </c>
      <c r="M497" s="32"/>
      <c r="N497" s="110"/>
      <c r="O497" s="106">
        <f t="shared" si="193"/>
        <v>0</v>
      </c>
    </row>
    <row r="498" spans="1:15" s="16" customFormat="1" hidden="1" outlineLevel="1" x14ac:dyDescent="0.25">
      <c r="A498" s="16">
        <f t="shared" si="207"/>
        <v>45</v>
      </c>
      <c r="B498"/>
      <c r="C498">
        <f>$F493</f>
        <v>0</v>
      </c>
      <c r="D498" s="3" t="str">
        <f t="shared" si="195"/>
        <v>T_BAD_DEBT - Tenant Bad Debt Expense</v>
      </c>
      <c r="E498"/>
      <c r="F498" s="22" t="str">
        <f>_xll.EVDES(D498)</f>
        <v>Tenant Bad Debt Expense</v>
      </c>
      <c r="G498" s="18">
        <f ca="1">SUMIFS(OFFSET('BPC Data'!$F:$F,0,Summary!G$2),'BPC Data'!$E:$E,Summary!$D498,'BPC Data'!$B:$B,Summary!$C498)</f>
        <v>0</v>
      </c>
      <c r="H498" s="92">
        <f ca="1">SUMIFS(OFFSET('BPC Data'!$F:$F,0,Summary!H$2),'BPC Data'!$E:$E,Summary!$D498,'BPC Data'!$B:$B,Summary!$C498)</f>
        <v>0</v>
      </c>
      <c r="I498" s="18">
        <f ca="1">SUMIFS(OFFSET('BPC Data'!$F:$F,0,Summary!I$2),'BPC Data'!$E:$E,Summary!$D498,'BPC Data'!$B:$B,Summary!$C498)</f>
        <v>0</v>
      </c>
      <c r="J498" s="92">
        <f ca="1">SUMIFS(OFFSET('BPC Data'!$F:$F,0,Summary!J$2),'BPC Data'!$E:$E,Summary!$D498,'BPC Data'!$B:$B,Summary!$C498)</f>
        <v>0</v>
      </c>
      <c r="K498" s="18">
        <f ca="1">SUMIFS(OFFSET('BPC Data'!$F:$F,0,Summary!K$2),'BPC Data'!$E:$E,Summary!$D498,'BPC Data'!$B:$B,Summary!$C498)</f>
        <v>0</v>
      </c>
      <c r="L498" s="92">
        <f ca="1">SUMIFS(OFFSET('BPC Data'!$F:$F,0,Summary!L$2),'BPC Data'!$E:$E,Summary!$D498,'BPC Data'!$B:$B,Summary!$C498)</f>
        <v>0</v>
      </c>
      <c r="M498" s="32"/>
      <c r="N498" s="110"/>
      <c r="O498" s="106">
        <f t="shared" si="193"/>
        <v>0</v>
      </c>
    </row>
    <row r="499" spans="1:15" s="16" customFormat="1" hidden="1" outlineLevel="1" x14ac:dyDescent="0.25">
      <c r="A499" s="16">
        <f t="shared" si="207"/>
        <v>45</v>
      </c>
      <c r="B499"/>
      <c r="C499">
        <f>$F493</f>
        <v>0</v>
      </c>
      <c r="D499" s="2" t="str">
        <f t="shared" si="195"/>
        <v>T_EBITDARM - EBITDARM</v>
      </c>
      <c r="E499"/>
      <c r="F499" s="22" t="str">
        <f>_xll.EVDES(D499)</f>
        <v>EBITDARM</v>
      </c>
      <c r="G499" s="18">
        <f ca="1">SUMIFS(OFFSET('BPC Data'!$F:$F,0,Summary!G$2),'BPC Data'!$E:$E,Summary!$D499,'BPC Data'!$B:$B,Summary!$C499)</f>
        <v>0</v>
      </c>
      <c r="H499" s="92">
        <f ca="1">SUMIFS(OFFSET('BPC Data'!$F:$F,0,Summary!H$2),'BPC Data'!$E:$E,Summary!$D499,'BPC Data'!$B:$B,Summary!$C499)</f>
        <v>0</v>
      </c>
      <c r="I499" s="18">
        <f ca="1">SUMIFS(OFFSET('BPC Data'!$F:$F,0,Summary!I$2),'BPC Data'!$E:$E,Summary!$D499,'BPC Data'!$B:$B,Summary!$C499)</f>
        <v>0</v>
      </c>
      <c r="J499" s="92">
        <f ca="1">SUMIFS(OFFSET('BPC Data'!$F:$F,0,Summary!J$2),'BPC Data'!$E:$E,Summary!$D499,'BPC Data'!$B:$B,Summary!$C499)</f>
        <v>0</v>
      </c>
      <c r="K499" s="18">
        <f ca="1">SUMIFS(OFFSET('BPC Data'!$F:$F,0,Summary!K$2),'BPC Data'!$E:$E,Summary!$D499,'BPC Data'!$B:$B,Summary!$C499)</f>
        <v>0</v>
      </c>
      <c r="L499" s="92">
        <f ca="1">SUMIFS(OFFSET('BPC Data'!$F:$F,0,Summary!L$2),'BPC Data'!$E:$E,Summary!$D499,'BPC Data'!$B:$B,Summary!$C499)</f>
        <v>0</v>
      </c>
      <c r="M499" s="32"/>
      <c r="N499" s="110"/>
      <c r="O499" s="106">
        <f t="shared" si="193"/>
        <v>0</v>
      </c>
    </row>
    <row r="500" spans="1:15" s="16" customFormat="1" hidden="1" outlineLevel="1" x14ac:dyDescent="0.25">
      <c r="A500" s="16">
        <f t="shared" si="207"/>
        <v>45</v>
      </c>
      <c r="B500"/>
      <c r="C500">
        <f>$F493</f>
        <v>0</v>
      </c>
      <c r="D500" s="2" t="str">
        <f t="shared" si="195"/>
        <v>T_MGMT_FEE - Tenant Management Fee - Actual</v>
      </c>
      <c r="E500"/>
      <c r="F500" s="22" t="str">
        <f>_xll.EVDES(D500)</f>
        <v>Tenant Management Fee - Actual</v>
      </c>
      <c r="G500" s="18">
        <f ca="1">SUMIFS(OFFSET('BPC Data'!$F:$F,0,Summary!G$2),'BPC Data'!$E:$E,Summary!$D500,'BPC Data'!$B:$B,Summary!$C500)</f>
        <v>0</v>
      </c>
      <c r="H500" s="92">
        <f ca="1">SUMIFS(OFFSET('BPC Data'!$F:$F,0,Summary!H$2),'BPC Data'!$E:$E,Summary!$D500,'BPC Data'!$B:$B,Summary!$C500)</f>
        <v>0</v>
      </c>
      <c r="I500" s="18">
        <f ca="1">SUMIFS(OFFSET('BPC Data'!$F:$F,0,Summary!I$2),'BPC Data'!$E:$E,Summary!$D500,'BPC Data'!$B:$B,Summary!$C500)</f>
        <v>0</v>
      </c>
      <c r="J500" s="92">
        <f ca="1">SUMIFS(OFFSET('BPC Data'!$F:$F,0,Summary!J$2),'BPC Data'!$E:$E,Summary!$D500,'BPC Data'!$B:$B,Summary!$C500)</f>
        <v>0</v>
      </c>
      <c r="K500" s="18">
        <f ca="1">SUMIFS(OFFSET('BPC Data'!$F:$F,0,Summary!K$2),'BPC Data'!$E:$E,Summary!$D500,'BPC Data'!$B:$B,Summary!$C500)</f>
        <v>0</v>
      </c>
      <c r="L500" s="92">
        <f ca="1">SUMIFS(OFFSET('BPC Data'!$F:$F,0,Summary!L$2),'BPC Data'!$E:$E,Summary!$D500,'BPC Data'!$B:$B,Summary!$C500)</f>
        <v>0</v>
      </c>
      <c r="M500" s="32"/>
      <c r="N500" s="110"/>
      <c r="O500" s="106">
        <f t="shared" si="193"/>
        <v>0</v>
      </c>
    </row>
    <row r="501" spans="1:15" s="16" customFormat="1" hidden="1" outlineLevel="1" x14ac:dyDescent="0.25">
      <c r="A501" s="16">
        <f t="shared" si="207"/>
        <v>45</v>
      </c>
      <c r="B501"/>
      <c r="C501">
        <f>$F493</f>
        <v>0</v>
      </c>
      <c r="D501" s="1" t="str">
        <f t="shared" si="195"/>
        <v>T_EBITDAR - EBITDAR</v>
      </c>
      <c r="E501"/>
      <c r="F501" s="22" t="str">
        <f>_xll.EVDES(D501)</f>
        <v>EBITDAR</v>
      </c>
      <c r="G501" s="18">
        <f ca="1">SUMIFS(OFFSET('BPC Data'!$F:$F,0,Summary!G$2),'BPC Data'!$E:$E,Summary!$D501,'BPC Data'!$B:$B,Summary!$C501)</f>
        <v>0</v>
      </c>
      <c r="H501" s="92">
        <f ca="1">SUMIFS(OFFSET('BPC Data'!$F:$F,0,Summary!H$2),'BPC Data'!$E:$E,Summary!$D501,'BPC Data'!$B:$B,Summary!$C501)</f>
        <v>0</v>
      </c>
      <c r="I501" s="18">
        <f ca="1">SUMIFS(OFFSET('BPC Data'!$F:$F,0,Summary!I$2),'BPC Data'!$E:$E,Summary!$D501,'BPC Data'!$B:$B,Summary!$C501)</f>
        <v>0</v>
      </c>
      <c r="J501" s="92">
        <f ca="1">SUMIFS(OFFSET('BPC Data'!$F:$F,0,Summary!J$2),'BPC Data'!$E:$E,Summary!$D501,'BPC Data'!$B:$B,Summary!$C501)</f>
        <v>0</v>
      </c>
      <c r="K501" s="18">
        <f ca="1">SUMIFS(OFFSET('BPC Data'!$F:$F,0,Summary!K$2),'BPC Data'!$E:$E,Summary!$D501,'BPC Data'!$B:$B,Summary!$C501)</f>
        <v>0</v>
      </c>
      <c r="L501" s="92">
        <f ca="1">SUMIFS(OFFSET('BPC Data'!$F:$F,0,Summary!L$2),'BPC Data'!$E:$E,Summary!$D501,'BPC Data'!$B:$B,Summary!$C501)</f>
        <v>0</v>
      </c>
      <c r="M501" s="32"/>
      <c r="N501" s="110"/>
      <c r="O501" s="106">
        <f t="shared" si="193"/>
        <v>0</v>
      </c>
    </row>
    <row r="502" spans="1:15" s="16" customFormat="1" hidden="1" outlineLevel="1" x14ac:dyDescent="0.25">
      <c r="A502" s="16">
        <f t="shared" si="207"/>
        <v>45</v>
      </c>
      <c r="B502"/>
      <c r="C502">
        <f>$F493</f>
        <v>0</v>
      </c>
      <c r="D502" s="1" t="str">
        <f t="shared" si="195"/>
        <v>T_RENT_EXP - Tenant Rent Expense</v>
      </c>
      <c r="E502"/>
      <c r="F502" s="22" t="str">
        <f>_xll.EVDES(D502)</f>
        <v>Tenant Rent Expense</v>
      </c>
      <c r="G502" s="18">
        <f ca="1">SUMIFS(OFFSET('BPC Data'!$F:$F,0,Summary!G$2),'BPC Data'!$E:$E,Summary!$D502,'BPC Data'!$B:$B,Summary!$C502)</f>
        <v>0</v>
      </c>
      <c r="H502" s="92">
        <f ca="1">SUMIFS(OFFSET('BPC Data'!$F:$F,0,Summary!H$2),'BPC Data'!$E:$E,Summary!$D502,'BPC Data'!$B:$B,Summary!$C502)</f>
        <v>0</v>
      </c>
      <c r="I502" s="18">
        <f ca="1">SUMIFS(OFFSET('BPC Data'!$F:$F,0,Summary!I$2),'BPC Data'!$E:$E,Summary!$D502,'BPC Data'!$B:$B,Summary!$C502)</f>
        <v>0</v>
      </c>
      <c r="J502" s="92">
        <f ca="1">SUMIFS(OFFSET('BPC Data'!$F:$F,0,Summary!J$2),'BPC Data'!$E:$E,Summary!$D502,'BPC Data'!$B:$B,Summary!$C502)</f>
        <v>0</v>
      </c>
      <c r="K502" s="18">
        <f ca="1">SUMIFS(OFFSET('BPC Data'!$F:$F,0,Summary!K$2),'BPC Data'!$E:$E,Summary!$D502,'BPC Data'!$B:$B,Summary!$C502)</f>
        <v>0</v>
      </c>
      <c r="L502" s="92">
        <f ca="1">SUMIFS(OFFSET('BPC Data'!$F:$F,0,Summary!L$2),'BPC Data'!$E:$E,Summary!$D502,'BPC Data'!$B:$B,Summary!$C502)</f>
        <v>0</v>
      </c>
      <c r="M502" s="32"/>
      <c r="N502" s="110"/>
      <c r="O502" s="106">
        <f t="shared" si="193"/>
        <v>0</v>
      </c>
    </row>
    <row r="503" spans="1:15" s="16" customFormat="1" hidden="1" outlineLevel="1" x14ac:dyDescent="0.25">
      <c r="A503" s="16">
        <f t="shared" si="207"/>
        <v>45</v>
      </c>
      <c r="B503"/>
      <c r="C503"/>
      <c r="D503" s="1" t="str">
        <f t="shared" si="195"/>
        <v>x</v>
      </c>
      <c r="E503"/>
      <c r="F503" s="22" t="s">
        <v>0</v>
      </c>
      <c r="G503" s="11" t="e">
        <f t="shared" ref="G503:H503" ca="1" si="208">G501/G502</f>
        <v>#DIV/0!</v>
      </c>
      <c r="H503" s="93" t="e">
        <f t="shared" ca="1" si="208"/>
        <v>#DIV/0!</v>
      </c>
      <c r="I503" s="11" t="e">
        <f t="shared" ref="I503:J503" ca="1" si="209">I501/I502</f>
        <v>#DIV/0!</v>
      </c>
      <c r="J503" s="93" t="e">
        <f t="shared" ca="1" si="209"/>
        <v>#DIV/0!</v>
      </c>
      <c r="K503" s="11" t="e">
        <f t="shared" ref="K503:L503" ca="1" si="210">K501/K502</f>
        <v>#DIV/0!</v>
      </c>
      <c r="L503" s="93" t="e">
        <f t="shared" ca="1" si="210"/>
        <v>#DIV/0!</v>
      </c>
      <c r="M503" s="32"/>
      <c r="N503" s="110"/>
      <c r="O503" s="106">
        <f t="shared" si="193"/>
        <v>0</v>
      </c>
    </row>
    <row r="504" spans="1:15" s="16" customFormat="1" hidden="1" outlineLevel="1" x14ac:dyDescent="0.25">
      <c r="A504" s="16">
        <f>IF(AND(D504&lt;&gt;"",C504=""),A503+1,A503)</f>
        <v>46</v>
      </c>
      <c r="B504" s="4"/>
      <c r="C504" s="4"/>
      <c r="D504" s="4" t="str">
        <f t="shared" si="195"/>
        <v>x</v>
      </c>
      <c r="E504" s="4"/>
      <c r="F504" s="21">
        <f>INDEX(PropertyList!$D:$D,MATCH(Summary!$A504,PropertyList!$C:$C,0))</f>
        <v>0</v>
      </c>
      <c r="G504" s="10"/>
      <c r="H504" s="91"/>
      <c r="I504" s="10"/>
      <c r="J504" s="91"/>
      <c r="K504" s="10"/>
      <c r="L504" s="91"/>
      <c r="M504" s="32"/>
      <c r="N504" s="110"/>
      <c r="O504" s="106">
        <f t="shared" si="193"/>
        <v>0</v>
      </c>
    </row>
    <row r="505" spans="1:15" s="16" customFormat="1" hidden="1" outlineLevel="1" x14ac:dyDescent="0.25">
      <c r="A505" s="16">
        <f>IF(AND(F505&lt;&gt;"",D505=""),A504+1,A504)</f>
        <v>46</v>
      </c>
      <c r="C505">
        <f>$F504</f>
        <v>0</v>
      </c>
      <c r="D505" s="3" t="str">
        <f t="shared" si="195"/>
        <v>PAY_PAT_DAYS - Total Payor Patient Days</v>
      </c>
      <c r="F505" s="22" t="str">
        <f>_xll.EVDES(D505)</f>
        <v>Total Payor Patient Days</v>
      </c>
      <c r="G505" s="18">
        <f ca="1">SUMIFS(OFFSET('BPC Data'!$F:$F,0,Summary!G$2),'BPC Data'!$E:$E,Summary!$D505,'BPC Data'!$B:$B,Summary!$C505)</f>
        <v>0</v>
      </c>
      <c r="H505" s="92">
        <f ca="1">SUMIFS(OFFSET('BPC Data'!$F:$F,0,Summary!H$2),'BPC Data'!$E:$E,Summary!$D505,'BPC Data'!$B:$B,Summary!$C505)</f>
        <v>0</v>
      </c>
      <c r="I505" s="18">
        <f ca="1">SUMIFS(OFFSET('BPC Data'!$F:$F,0,Summary!I$2),'BPC Data'!$E:$E,Summary!$D505,'BPC Data'!$B:$B,Summary!$C505)</f>
        <v>0</v>
      </c>
      <c r="J505" s="92">
        <f ca="1">SUMIFS(OFFSET('BPC Data'!$F:$F,0,Summary!J$2),'BPC Data'!$E:$E,Summary!$D505,'BPC Data'!$B:$B,Summary!$C505)</f>
        <v>0</v>
      </c>
      <c r="K505" s="18">
        <f ca="1">SUMIFS(OFFSET('BPC Data'!$F:$F,0,Summary!K$2),'BPC Data'!$E:$E,Summary!$D505,'BPC Data'!$B:$B,Summary!$C505)</f>
        <v>0</v>
      </c>
      <c r="L505" s="92">
        <f ca="1">SUMIFS(OFFSET('BPC Data'!$F:$F,0,Summary!L$2),'BPC Data'!$E:$E,Summary!$D505,'BPC Data'!$B:$B,Summary!$C505)</f>
        <v>0</v>
      </c>
      <c r="M505" s="32"/>
      <c r="N505" s="110"/>
      <c r="O505" s="106">
        <f t="shared" si="193"/>
        <v>0</v>
      </c>
    </row>
    <row r="506" spans="1:15" s="16" customFormat="1" hidden="1" outlineLevel="1" x14ac:dyDescent="0.25">
      <c r="A506" s="16">
        <f t="shared" ref="A506:A514" si="211">IF(AND(F506&lt;&gt;"",D506=""),A505+1,A505)</f>
        <v>46</v>
      </c>
      <c r="C506">
        <f>$F504</f>
        <v>0</v>
      </c>
      <c r="D506" s="3" t="str">
        <f t="shared" si="195"/>
        <v>A_BEDS_TOTAL - Total Available Beds</v>
      </c>
      <c r="F506" s="22" t="str">
        <f>_xll.EVDES(D506)</f>
        <v>Total Available Beds</v>
      </c>
      <c r="G506" s="18">
        <f ca="1">SUMIFS(OFFSET('BPC Data'!$F:$F,0,Summary!G$2),'BPC Data'!$E:$E,Summary!$D506,'BPC Data'!$B:$B,Summary!$C506)</f>
        <v>0</v>
      </c>
      <c r="H506" s="92">
        <f ca="1">SUMIFS(OFFSET('BPC Data'!$F:$F,0,Summary!H$2),'BPC Data'!$E:$E,Summary!$D506,'BPC Data'!$B:$B,Summary!$C506)</f>
        <v>0</v>
      </c>
      <c r="I506" s="18">
        <f ca="1">SUMIFS(OFFSET('BPC Data'!$F:$F,0,Summary!I$2),'BPC Data'!$E:$E,Summary!$D506,'BPC Data'!$B:$B,Summary!$C506)</f>
        <v>0</v>
      </c>
      <c r="J506" s="92">
        <f ca="1">SUMIFS(OFFSET('BPC Data'!$F:$F,0,Summary!J$2),'BPC Data'!$E:$E,Summary!$D506,'BPC Data'!$B:$B,Summary!$C506)</f>
        <v>0</v>
      </c>
      <c r="K506" s="18">
        <f ca="1">SUMIFS(OFFSET('BPC Data'!$F:$F,0,Summary!K$2),'BPC Data'!$E:$E,Summary!$D506,'BPC Data'!$B:$B,Summary!$C506)</f>
        <v>0</v>
      </c>
      <c r="L506" s="92">
        <f ca="1">SUMIFS(OFFSET('BPC Data'!$F:$F,0,Summary!L$2),'BPC Data'!$E:$E,Summary!$D506,'BPC Data'!$B:$B,Summary!$C506)</f>
        <v>0</v>
      </c>
      <c r="M506" s="32"/>
      <c r="N506" s="110"/>
      <c r="O506" s="106">
        <f t="shared" si="193"/>
        <v>0</v>
      </c>
    </row>
    <row r="507" spans="1:15" s="16" customFormat="1" hidden="1" outlineLevel="1" x14ac:dyDescent="0.25">
      <c r="A507" s="16">
        <f t="shared" si="211"/>
        <v>46</v>
      </c>
      <c r="B507"/>
      <c r="C507">
        <f>$F504</f>
        <v>0</v>
      </c>
      <c r="D507" s="3" t="str">
        <f t="shared" si="195"/>
        <v>T_REVENUES - Total Tenant Revenues</v>
      </c>
      <c r="E507"/>
      <c r="F507" s="22" t="str">
        <f>_xll.EVDES(D507)</f>
        <v>Total Tenant Revenues</v>
      </c>
      <c r="G507" s="18">
        <f ca="1">SUMIFS(OFFSET('BPC Data'!$F:$F,0,Summary!G$2),'BPC Data'!$E:$E,Summary!$D507,'BPC Data'!$B:$B,Summary!$C507)</f>
        <v>0</v>
      </c>
      <c r="H507" s="92">
        <f ca="1">SUMIFS(OFFSET('BPC Data'!$F:$F,0,Summary!H$2),'BPC Data'!$E:$E,Summary!$D507,'BPC Data'!$B:$B,Summary!$C507)</f>
        <v>0</v>
      </c>
      <c r="I507" s="18">
        <f ca="1">SUMIFS(OFFSET('BPC Data'!$F:$F,0,Summary!I$2),'BPC Data'!$E:$E,Summary!$D507,'BPC Data'!$B:$B,Summary!$C507)</f>
        <v>0</v>
      </c>
      <c r="J507" s="92">
        <f ca="1">SUMIFS(OFFSET('BPC Data'!$F:$F,0,Summary!J$2),'BPC Data'!$E:$E,Summary!$D507,'BPC Data'!$B:$B,Summary!$C507)</f>
        <v>0</v>
      </c>
      <c r="K507" s="18">
        <f ca="1">SUMIFS(OFFSET('BPC Data'!$F:$F,0,Summary!K$2),'BPC Data'!$E:$E,Summary!$D507,'BPC Data'!$B:$B,Summary!$C507)</f>
        <v>0</v>
      </c>
      <c r="L507" s="92">
        <f ca="1">SUMIFS(OFFSET('BPC Data'!$F:$F,0,Summary!L$2),'BPC Data'!$E:$E,Summary!$D507,'BPC Data'!$B:$B,Summary!$C507)</f>
        <v>0</v>
      </c>
      <c r="M507" s="32"/>
      <c r="N507" s="110"/>
      <c r="O507" s="106">
        <f t="shared" si="193"/>
        <v>0</v>
      </c>
    </row>
    <row r="508" spans="1:15" s="16" customFormat="1" hidden="1" outlineLevel="1" x14ac:dyDescent="0.25">
      <c r="A508" s="16">
        <f t="shared" si="211"/>
        <v>46</v>
      </c>
      <c r="B508"/>
      <c r="C508">
        <f>$F504</f>
        <v>0</v>
      </c>
      <c r="D508" s="3" t="str">
        <f t="shared" si="195"/>
        <v>T_OPEX - Tenant Operating Expenses</v>
      </c>
      <c r="E508"/>
      <c r="F508" s="22" t="str">
        <f>_xll.EVDES(D508)</f>
        <v>Tenant Operating Expenses</v>
      </c>
      <c r="G508" s="18">
        <f ca="1">SUMIFS(OFFSET('BPC Data'!$F:$F,0,Summary!G$2),'BPC Data'!$E:$E,Summary!$D508,'BPC Data'!$B:$B,Summary!$C508)</f>
        <v>0</v>
      </c>
      <c r="H508" s="92">
        <f ca="1">SUMIFS(OFFSET('BPC Data'!$F:$F,0,Summary!H$2),'BPC Data'!$E:$E,Summary!$D508,'BPC Data'!$B:$B,Summary!$C508)</f>
        <v>0</v>
      </c>
      <c r="I508" s="18">
        <f ca="1">SUMIFS(OFFSET('BPC Data'!$F:$F,0,Summary!I$2),'BPC Data'!$E:$E,Summary!$D508,'BPC Data'!$B:$B,Summary!$C508)</f>
        <v>0</v>
      </c>
      <c r="J508" s="92">
        <f ca="1">SUMIFS(OFFSET('BPC Data'!$F:$F,0,Summary!J$2),'BPC Data'!$E:$E,Summary!$D508,'BPC Data'!$B:$B,Summary!$C508)</f>
        <v>0</v>
      </c>
      <c r="K508" s="18">
        <f ca="1">SUMIFS(OFFSET('BPC Data'!$F:$F,0,Summary!K$2),'BPC Data'!$E:$E,Summary!$D508,'BPC Data'!$B:$B,Summary!$C508)</f>
        <v>0</v>
      </c>
      <c r="L508" s="92">
        <f ca="1">SUMIFS(OFFSET('BPC Data'!$F:$F,0,Summary!L$2),'BPC Data'!$E:$E,Summary!$D508,'BPC Data'!$B:$B,Summary!$C508)</f>
        <v>0</v>
      </c>
      <c r="M508" s="32"/>
      <c r="N508" s="110"/>
      <c r="O508" s="106">
        <f t="shared" si="193"/>
        <v>0</v>
      </c>
    </row>
    <row r="509" spans="1:15" s="16" customFormat="1" hidden="1" outlineLevel="1" x14ac:dyDescent="0.25">
      <c r="A509" s="16">
        <f t="shared" si="211"/>
        <v>46</v>
      </c>
      <c r="B509"/>
      <c r="C509">
        <f>$F504</f>
        <v>0</v>
      </c>
      <c r="D509" s="3" t="str">
        <f t="shared" si="195"/>
        <v>T_BAD_DEBT - Tenant Bad Debt Expense</v>
      </c>
      <c r="E509"/>
      <c r="F509" s="22" t="str">
        <f>_xll.EVDES(D509)</f>
        <v>Tenant Bad Debt Expense</v>
      </c>
      <c r="G509" s="18">
        <f ca="1">SUMIFS(OFFSET('BPC Data'!$F:$F,0,Summary!G$2),'BPC Data'!$E:$E,Summary!$D509,'BPC Data'!$B:$B,Summary!$C509)</f>
        <v>0</v>
      </c>
      <c r="H509" s="92">
        <f ca="1">SUMIFS(OFFSET('BPC Data'!$F:$F,0,Summary!H$2),'BPC Data'!$E:$E,Summary!$D509,'BPC Data'!$B:$B,Summary!$C509)</f>
        <v>0</v>
      </c>
      <c r="I509" s="18">
        <f ca="1">SUMIFS(OFFSET('BPC Data'!$F:$F,0,Summary!I$2),'BPC Data'!$E:$E,Summary!$D509,'BPC Data'!$B:$B,Summary!$C509)</f>
        <v>0</v>
      </c>
      <c r="J509" s="92">
        <f ca="1">SUMIFS(OFFSET('BPC Data'!$F:$F,0,Summary!J$2),'BPC Data'!$E:$E,Summary!$D509,'BPC Data'!$B:$B,Summary!$C509)</f>
        <v>0</v>
      </c>
      <c r="K509" s="18">
        <f ca="1">SUMIFS(OFFSET('BPC Data'!$F:$F,0,Summary!K$2),'BPC Data'!$E:$E,Summary!$D509,'BPC Data'!$B:$B,Summary!$C509)</f>
        <v>0</v>
      </c>
      <c r="L509" s="92">
        <f ca="1">SUMIFS(OFFSET('BPC Data'!$F:$F,0,Summary!L$2),'BPC Data'!$E:$E,Summary!$D509,'BPC Data'!$B:$B,Summary!$C509)</f>
        <v>0</v>
      </c>
      <c r="M509" s="32"/>
      <c r="N509" s="110"/>
      <c r="O509" s="106">
        <f t="shared" si="193"/>
        <v>0</v>
      </c>
    </row>
    <row r="510" spans="1:15" s="16" customFormat="1" hidden="1" outlineLevel="1" x14ac:dyDescent="0.25">
      <c r="A510" s="16">
        <f t="shared" si="211"/>
        <v>46</v>
      </c>
      <c r="B510"/>
      <c r="C510">
        <f>$F504</f>
        <v>0</v>
      </c>
      <c r="D510" s="2" t="str">
        <f t="shared" si="195"/>
        <v>T_EBITDARM - EBITDARM</v>
      </c>
      <c r="E510"/>
      <c r="F510" s="22" t="str">
        <f>_xll.EVDES(D510)</f>
        <v>EBITDARM</v>
      </c>
      <c r="G510" s="18">
        <f ca="1">SUMIFS(OFFSET('BPC Data'!$F:$F,0,Summary!G$2),'BPC Data'!$E:$E,Summary!$D510,'BPC Data'!$B:$B,Summary!$C510)</f>
        <v>0</v>
      </c>
      <c r="H510" s="92">
        <f ca="1">SUMIFS(OFFSET('BPC Data'!$F:$F,0,Summary!H$2),'BPC Data'!$E:$E,Summary!$D510,'BPC Data'!$B:$B,Summary!$C510)</f>
        <v>0</v>
      </c>
      <c r="I510" s="18">
        <f ca="1">SUMIFS(OFFSET('BPC Data'!$F:$F,0,Summary!I$2),'BPC Data'!$E:$E,Summary!$D510,'BPC Data'!$B:$B,Summary!$C510)</f>
        <v>0</v>
      </c>
      <c r="J510" s="92">
        <f ca="1">SUMIFS(OFFSET('BPC Data'!$F:$F,0,Summary!J$2),'BPC Data'!$E:$E,Summary!$D510,'BPC Data'!$B:$B,Summary!$C510)</f>
        <v>0</v>
      </c>
      <c r="K510" s="18">
        <f ca="1">SUMIFS(OFFSET('BPC Data'!$F:$F,0,Summary!K$2),'BPC Data'!$E:$E,Summary!$D510,'BPC Data'!$B:$B,Summary!$C510)</f>
        <v>0</v>
      </c>
      <c r="L510" s="92">
        <f ca="1">SUMIFS(OFFSET('BPC Data'!$F:$F,0,Summary!L$2),'BPC Data'!$E:$E,Summary!$D510,'BPC Data'!$B:$B,Summary!$C510)</f>
        <v>0</v>
      </c>
      <c r="M510" s="32"/>
      <c r="N510" s="110"/>
      <c r="O510" s="106">
        <f t="shared" si="193"/>
        <v>0</v>
      </c>
    </row>
    <row r="511" spans="1:15" s="16" customFormat="1" hidden="1" outlineLevel="1" x14ac:dyDescent="0.25">
      <c r="A511" s="16">
        <f t="shared" si="211"/>
        <v>46</v>
      </c>
      <c r="B511"/>
      <c r="C511">
        <f>$F504</f>
        <v>0</v>
      </c>
      <c r="D511" s="2" t="str">
        <f t="shared" si="195"/>
        <v>T_MGMT_FEE - Tenant Management Fee - Actual</v>
      </c>
      <c r="E511"/>
      <c r="F511" s="22" t="str">
        <f>_xll.EVDES(D511)</f>
        <v>Tenant Management Fee - Actual</v>
      </c>
      <c r="G511" s="18">
        <f ca="1">SUMIFS(OFFSET('BPC Data'!$F:$F,0,Summary!G$2),'BPC Data'!$E:$E,Summary!$D511,'BPC Data'!$B:$B,Summary!$C511)</f>
        <v>0</v>
      </c>
      <c r="H511" s="92">
        <f ca="1">SUMIFS(OFFSET('BPC Data'!$F:$F,0,Summary!H$2),'BPC Data'!$E:$E,Summary!$D511,'BPC Data'!$B:$B,Summary!$C511)</f>
        <v>0</v>
      </c>
      <c r="I511" s="18">
        <f ca="1">SUMIFS(OFFSET('BPC Data'!$F:$F,0,Summary!I$2),'BPC Data'!$E:$E,Summary!$D511,'BPC Data'!$B:$B,Summary!$C511)</f>
        <v>0</v>
      </c>
      <c r="J511" s="92">
        <f ca="1">SUMIFS(OFFSET('BPC Data'!$F:$F,0,Summary!J$2),'BPC Data'!$E:$E,Summary!$D511,'BPC Data'!$B:$B,Summary!$C511)</f>
        <v>0</v>
      </c>
      <c r="K511" s="18">
        <f ca="1">SUMIFS(OFFSET('BPC Data'!$F:$F,0,Summary!K$2),'BPC Data'!$E:$E,Summary!$D511,'BPC Data'!$B:$B,Summary!$C511)</f>
        <v>0</v>
      </c>
      <c r="L511" s="92">
        <f ca="1">SUMIFS(OFFSET('BPC Data'!$F:$F,0,Summary!L$2),'BPC Data'!$E:$E,Summary!$D511,'BPC Data'!$B:$B,Summary!$C511)</f>
        <v>0</v>
      </c>
      <c r="M511" s="32"/>
      <c r="N511" s="110"/>
      <c r="O511" s="106">
        <f t="shared" si="193"/>
        <v>0</v>
      </c>
    </row>
    <row r="512" spans="1:15" s="16" customFormat="1" hidden="1" outlineLevel="1" x14ac:dyDescent="0.25">
      <c r="A512" s="16">
        <f t="shared" si="211"/>
        <v>46</v>
      </c>
      <c r="B512"/>
      <c r="C512">
        <f>$F504</f>
        <v>0</v>
      </c>
      <c r="D512" s="1" t="str">
        <f t="shared" si="195"/>
        <v>T_EBITDAR - EBITDAR</v>
      </c>
      <c r="E512"/>
      <c r="F512" s="22" t="str">
        <f>_xll.EVDES(D512)</f>
        <v>EBITDAR</v>
      </c>
      <c r="G512" s="18">
        <f ca="1">SUMIFS(OFFSET('BPC Data'!$F:$F,0,Summary!G$2),'BPC Data'!$E:$E,Summary!$D512,'BPC Data'!$B:$B,Summary!$C512)</f>
        <v>0</v>
      </c>
      <c r="H512" s="92">
        <f ca="1">SUMIFS(OFFSET('BPC Data'!$F:$F,0,Summary!H$2),'BPC Data'!$E:$E,Summary!$D512,'BPC Data'!$B:$B,Summary!$C512)</f>
        <v>0</v>
      </c>
      <c r="I512" s="18">
        <f ca="1">SUMIFS(OFFSET('BPC Data'!$F:$F,0,Summary!I$2),'BPC Data'!$E:$E,Summary!$D512,'BPC Data'!$B:$B,Summary!$C512)</f>
        <v>0</v>
      </c>
      <c r="J512" s="92">
        <f ca="1">SUMIFS(OFFSET('BPC Data'!$F:$F,0,Summary!J$2),'BPC Data'!$E:$E,Summary!$D512,'BPC Data'!$B:$B,Summary!$C512)</f>
        <v>0</v>
      </c>
      <c r="K512" s="18">
        <f ca="1">SUMIFS(OFFSET('BPC Data'!$F:$F,0,Summary!K$2),'BPC Data'!$E:$E,Summary!$D512,'BPC Data'!$B:$B,Summary!$C512)</f>
        <v>0</v>
      </c>
      <c r="L512" s="92">
        <f ca="1">SUMIFS(OFFSET('BPC Data'!$F:$F,0,Summary!L$2),'BPC Data'!$E:$E,Summary!$D512,'BPC Data'!$B:$B,Summary!$C512)</f>
        <v>0</v>
      </c>
      <c r="M512" s="32"/>
      <c r="N512" s="110"/>
      <c r="O512" s="106">
        <f t="shared" si="193"/>
        <v>0</v>
      </c>
    </row>
    <row r="513" spans="1:15" s="16" customFormat="1" hidden="1" outlineLevel="1" x14ac:dyDescent="0.25">
      <c r="A513" s="16">
        <f t="shared" si="211"/>
        <v>46</v>
      </c>
      <c r="B513"/>
      <c r="C513">
        <f>$F504</f>
        <v>0</v>
      </c>
      <c r="D513" s="1" t="str">
        <f t="shared" si="195"/>
        <v>T_RENT_EXP - Tenant Rent Expense</v>
      </c>
      <c r="E513"/>
      <c r="F513" s="22" t="str">
        <f>_xll.EVDES(D513)</f>
        <v>Tenant Rent Expense</v>
      </c>
      <c r="G513" s="18">
        <f ca="1">SUMIFS(OFFSET('BPC Data'!$F:$F,0,Summary!G$2),'BPC Data'!$E:$E,Summary!$D513,'BPC Data'!$B:$B,Summary!$C513)</f>
        <v>0</v>
      </c>
      <c r="H513" s="92">
        <f ca="1">SUMIFS(OFFSET('BPC Data'!$F:$F,0,Summary!H$2),'BPC Data'!$E:$E,Summary!$D513,'BPC Data'!$B:$B,Summary!$C513)</f>
        <v>0</v>
      </c>
      <c r="I513" s="18">
        <f ca="1">SUMIFS(OFFSET('BPC Data'!$F:$F,0,Summary!I$2),'BPC Data'!$E:$E,Summary!$D513,'BPC Data'!$B:$B,Summary!$C513)</f>
        <v>0</v>
      </c>
      <c r="J513" s="92">
        <f ca="1">SUMIFS(OFFSET('BPC Data'!$F:$F,0,Summary!J$2),'BPC Data'!$E:$E,Summary!$D513,'BPC Data'!$B:$B,Summary!$C513)</f>
        <v>0</v>
      </c>
      <c r="K513" s="18">
        <f ca="1">SUMIFS(OFFSET('BPC Data'!$F:$F,0,Summary!K$2),'BPC Data'!$E:$E,Summary!$D513,'BPC Data'!$B:$B,Summary!$C513)</f>
        <v>0</v>
      </c>
      <c r="L513" s="92">
        <f ca="1">SUMIFS(OFFSET('BPC Data'!$F:$F,0,Summary!L$2),'BPC Data'!$E:$E,Summary!$D513,'BPC Data'!$B:$B,Summary!$C513)</f>
        <v>0</v>
      </c>
      <c r="M513" s="32"/>
      <c r="N513" s="110"/>
      <c r="O513" s="106">
        <f t="shared" si="193"/>
        <v>0</v>
      </c>
    </row>
    <row r="514" spans="1:15" s="16" customFormat="1" hidden="1" outlineLevel="1" x14ac:dyDescent="0.25">
      <c r="A514" s="16">
        <f t="shared" si="211"/>
        <v>46</v>
      </c>
      <c r="B514"/>
      <c r="C514"/>
      <c r="D514" s="1" t="str">
        <f t="shared" si="195"/>
        <v>x</v>
      </c>
      <c r="E514"/>
      <c r="F514" s="22" t="s">
        <v>0</v>
      </c>
      <c r="G514" s="11" t="e">
        <f t="shared" ref="G514:H514" ca="1" si="212">G512/G513</f>
        <v>#DIV/0!</v>
      </c>
      <c r="H514" s="93" t="e">
        <f t="shared" ca="1" si="212"/>
        <v>#DIV/0!</v>
      </c>
      <c r="I514" s="11" t="e">
        <f t="shared" ref="I514:J514" ca="1" si="213">I512/I513</f>
        <v>#DIV/0!</v>
      </c>
      <c r="J514" s="93" t="e">
        <f t="shared" ca="1" si="213"/>
        <v>#DIV/0!</v>
      </c>
      <c r="K514" s="11" t="e">
        <f t="shared" ref="K514:L514" ca="1" si="214">K512/K513</f>
        <v>#DIV/0!</v>
      </c>
      <c r="L514" s="93" t="e">
        <f t="shared" ca="1" si="214"/>
        <v>#DIV/0!</v>
      </c>
      <c r="M514" s="32"/>
      <c r="N514" s="110"/>
      <c r="O514" s="106">
        <f t="shared" si="193"/>
        <v>0</v>
      </c>
    </row>
    <row r="515" spans="1:15" s="16" customFormat="1" hidden="1" outlineLevel="1" x14ac:dyDescent="0.25">
      <c r="A515" s="16">
        <f>IF(AND(D515&lt;&gt;"",C515=""),A514+1,A514)</f>
        <v>47</v>
      </c>
      <c r="B515" s="4"/>
      <c r="C515" s="4"/>
      <c r="D515" s="4" t="str">
        <f t="shared" si="195"/>
        <v>x</v>
      </c>
      <c r="E515" s="4"/>
      <c r="F515" s="21">
        <f>INDEX(PropertyList!$D:$D,MATCH(Summary!$A515,PropertyList!$C:$C,0))</f>
        <v>0</v>
      </c>
      <c r="G515" s="10"/>
      <c r="H515" s="91"/>
      <c r="I515" s="10"/>
      <c r="J515" s="91"/>
      <c r="K515" s="10"/>
      <c r="L515" s="91"/>
      <c r="M515" s="32"/>
      <c r="N515" s="110"/>
      <c r="O515" s="106">
        <f t="shared" si="193"/>
        <v>0</v>
      </c>
    </row>
    <row r="516" spans="1:15" s="16" customFormat="1" hidden="1" outlineLevel="1" x14ac:dyDescent="0.25">
      <c r="A516" s="16">
        <f>IF(AND(F516&lt;&gt;"",D516=""),A515+1,A515)</f>
        <v>47</v>
      </c>
      <c r="C516">
        <f>$F515</f>
        <v>0</v>
      </c>
      <c r="D516" s="3" t="str">
        <f t="shared" si="195"/>
        <v>PAY_PAT_DAYS - Total Payor Patient Days</v>
      </c>
      <c r="F516" s="22" t="str">
        <f>_xll.EVDES(D516)</f>
        <v>Total Payor Patient Days</v>
      </c>
      <c r="G516" s="18">
        <f ca="1">SUMIFS(OFFSET('BPC Data'!$F:$F,0,Summary!G$2),'BPC Data'!$E:$E,Summary!$D516,'BPC Data'!$B:$B,Summary!$C516)</f>
        <v>0</v>
      </c>
      <c r="H516" s="92">
        <f ca="1">SUMIFS(OFFSET('BPC Data'!$F:$F,0,Summary!H$2),'BPC Data'!$E:$E,Summary!$D516,'BPC Data'!$B:$B,Summary!$C516)</f>
        <v>0</v>
      </c>
      <c r="I516" s="18">
        <f ca="1">SUMIFS(OFFSET('BPC Data'!$F:$F,0,Summary!I$2),'BPC Data'!$E:$E,Summary!$D516,'BPC Data'!$B:$B,Summary!$C516)</f>
        <v>0</v>
      </c>
      <c r="J516" s="92">
        <f ca="1">SUMIFS(OFFSET('BPC Data'!$F:$F,0,Summary!J$2),'BPC Data'!$E:$E,Summary!$D516,'BPC Data'!$B:$B,Summary!$C516)</f>
        <v>0</v>
      </c>
      <c r="K516" s="18">
        <f ca="1">SUMIFS(OFFSET('BPC Data'!$F:$F,0,Summary!K$2),'BPC Data'!$E:$E,Summary!$D516,'BPC Data'!$B:$B,Summary!$C516)</f>
        <v>0</v>
      </c>
      <c r="L516" s="92">
        <f ca="1">SUMIFS(OFFSET('BPC Data'!$F:$F,0,Summary!L$2),'BPC Data'!$E:$E,Summary!$D516,'BPC Data'!$B:$B,Summary!$C516)</f>
        <v>0</v>
      </c>
      <c r="M516" s="32"/>
      <c r="N516" s="110"/>
      <c r="O516" s="106">
        <f t="shared" si="193"/>
        <v>0</v>
      </c>
    </row>
    <row r="517" spans="1:15" s="16" customFormat="1" hidden="1" outlineLevel="1" x14ac:dyDescent="0.25">
      <c r="A517" s="16">
        <f t="shared" ref="A517:A525" si="215">IF(AND(F517&lt;&gt;"",D517=""),A516+1,A516)</f>
        <v>47</v>
      </c>
      <c r="C517">
        <f>$F515</f>
        <v>0</v>
      </c>
      <c r="D517" s="3" t="str">
        <f t="shared" si="195"/>
        <v>A_BEDS_TOTAL - Total Available Beds</v>
      </c>
      <c r="F517" s="22" t="str">
        <f>_xll.EVDES(D517)</f>
        <v>Total Available Beds</v>
      </c>
      <c r="G517" s="18">
        <f ca="1">SUMIFS(OFFSET('BPC Data'!$F:$F,0,Summary!G$2),'BPC Data'!$E:$E,Summary!$D517,'BPC Data'!$B:$B,Summary!$C517)</f>
        <v>0</v>
      </c>
      <c r="H517" s="92">
        <f ca="1">SUMIFS(OFFSET('BPC Data'!$F:$F,0,Summary!H$2),'BPC Data'!$E:$E,Summary!$D517,'BPC Data'!$B:$B,Summary!$C517)</f>
        <v>0</v>
      </c>
      <c r="I517" s="18">
        <f ca="1">SUMIFS(OFFSET('BPC Data'!$F:$F,0,Summary!I$2),'BPC Data'!$E:$E,Summary!$D517,'BPC Data'!$B:$B,Summary!$C517)</f>
        <v>0</v>
      </c>
      <c r="J517" s="92">
        <f ca="1">SUMIFS(OFFSET('BPC Data'!$F:$F,0,Summary!J$2),'BPC Data'!$E:$E,Summary!$D517,'BPC Data'!$B:$B,Summary!$C517)</f>
        <v>0</v>
      </c>
      <c r="K517" s="18">
        <f ca="1">SUMIFS(OFFSET('BPC Data'!$F:$F,0,Summary!K$2),'BPC Data'!$E:$E,Summary!$D517,'BPC Data'!$B:$B,Summary!$C517)</f>
        <v>0</v>
      </c>
      <c r="L517" s="92">
        <f ca="1">SUMIFS(OFFSET('BPC Data'!$F:$F,0,Summary!L$2),'BPC Data'!$E:$E,Summary!$D517,'BPC Data'!$B:$B,Summary!$C517)</f>
        <v>0</v>
      </c>
      <c r="M517" s="32"/>
      <c r="N517" s="110"/>
      <c r="O517" s="106">
        <f t="shared" si="193"/>
        <v>0</v>
      </c>
    </row>
    <row r="518" spans="1:15" s="16" customFormat="1" hidden="1" outlineLevel="1" x14ac:dyDescent="0.25">
      <c r="A518" s="16">
        <f t="shared" si="215"/>
        <v>47</v>
      </c>
      <c r="B518"/>
      <c r="C518">
        <f>$F515</f>
        <v>0</v>
      </c>
      <c r="D518" s="3" t="str">
        <f t="shared" si="195"/>
        <v>T_REVENUES - Total Tenant Revenues</v>
      </c>
      <c r="E518"/>
      <c r="F518" s="22" t="str">
        <f>_xll.EVDES(D518)</f>
        <v>Total Tenant Revenues</v>
      </c>
      <c r="G518" s="18">
        <f ca="1">SUMIFS(OFFSET('BPC Data'!$F:$F,0,Summary!G$2),'BPC Data'!$E:$E,Summary!$D518,'BPC Data'!$B:$B,Summary!$C518)</f>
        <v>0</v>
      </c>
      <c r="H518" s="92">
        <f ca="1">SUMIFS(OFFSET('BPC Data'!$F:$F,0,Summary!H$2),'BPC Data'!$E:$E,Summary!$D518,'BPC Data'!$B:$B,Summary!$C518)</f>
        <v>0</v>
      </c>
      <c r="I518" s="18">
        <f ca="1">SUMIFS(OFFSET('BPC Data'!$F:$F,0,Summary!I$2),'BPC Data'!$E:$E,Summary!$D518,'BPC Data'!$B:$B,Summary!$C518)</f>
        <v>0</v>
      </c>
      <c r="J518" s="92">
        <f ca="1">SUMIFS(OFFSET('BPC Data'!$F:$F,0,Summary!J$2),'BPC Data'!$E:$E,Summary!$D518,'BPC Data'!$B:$B,Summary!$C518)</f>
        <v>0</v>
      </c>
      <c r="K518" s="18">
        <f ca="1">SUMIFS(OFFSET('BPC Data'!$F:$F,0,Summary!K$2),'BPC Data'!$E:$E,Summary!$D518,'BPC Data'!$B:$B,Summary!$C518)</f>
        <v>0</v>
      </c>
      <c r="L518" s="92">
        <f ca="1">SUMIFS(OFFSET('BPC Data'!$F:$F,0,Summary!L$2),'BPC Data'!$E:$E,Summary!$D518,'BPC Data'!$B:$B,Summary!$C518)</f>
        <v>0</v>
      </c>
      <c r="M518" s="32"/>
      <c r="N518" s="110"/>
      <c r="O518" s="106">
        <f t="shared" si="193"/>
        <v>0</v>
      </c>
    </row>
    <row r="519" spans="1:15" s="16" customFormat="1" hidden="1" outlineLevel="1" x14ac:dyDescent="0.25">
      <c r="A519" s="16">
        <f t="shared" si="215"/>
        <v>47</v>
      </c>
      <c r="B519"/>
      <c r="C519">
        <f>$F515</f>
        <v>0</v>
      </c>
      <c r="D519" s="3" t="str">
        <f t="shared" si="195"/>
        <v>T_OPEX - Tenant Operating Expenses</v>
      </c>
      <c r="E519"/>
      <c r="F519" s="22" t="str">
        <f>_xll.EVDES(D519)</f>
        <v>Tenant Operating Expenses</v>
      </c>
      <c r="G519" s="18">
        <f ca="1">SUMIFS(OFFSET('BPC Data'!$F:$F,0,Summary!G$2),'BPC Data'!$E:$E,Summary!$D519,'BPC Data'!$B:$B,Summary!$C519)</f>
        <v>0</v>
      </c>
      <c r="H519" s="92">
        <f ca="1">SUMIFS(OFFSET('BPC Data'!$F:$F,0,Summary!H$2),'BPC Data'!$E:$E,Summary!$D519,'BPC Data'!$B:$B,Summary!$C519)</f>
        <v>0</v>
      </c>
      <c r="I519" s="18">
        <f ca="1">SUMIFS(OFFSET('BPC Data'!$F:$F,0,Summary!I$2),'BPC Data'!$E:$E,Summary!$D519,'BPC Data'!$B:$B,Summary!$C519)</f>
        <v>0</v>
      </c>
      <c r="J519" s="92">
        <f ca="1">SUMIFS(OFFSET('BPC Data'!$F:$F,0,Summary!J$2),'BPC Data'!$E:$E,Summary!$D519,'BPC Data'!$B:$B,Summary!$C519)</f>
        <v>0</v>
      </c>
      <c r="K519" s="18">
        <f ca="1">SUMIFS(OFFSET('BPC Data'!$F:$F,0,Summary!K$2),'BPC Data'!$E:$E,Summary!$D519,'BPC Data'!$B:$B,Summary!$C519)</f>
        <v>0</v>
      </c>
      <c r="L519" s="92">
        <f ca="1">SUMIFS(OFFSET('BPC Data'!$F:$F,0,Summary!L$2),'BPC Data'!$E:$E,Summary!$D519,'BPC Data'!$B:$B,Summary!$C519)</f>
        <v>0</v>
      </c>
      <c r="M519" s="32"/>
      <c r="N519" s="110"/>
      <c r="O519" s="106">
        <f t="shared" si="193"/>
        <v>0</v>
      </c>
    </row>
    <row r="520" spans="1:15" s="16" customFormat="1" hidden="1" outlineLevel="1" x14ac:dyDescent="0.25">
      <c r="A520" s="16">
        <f t="shared" si="215"/>
        <v>47</v>
      </c>
      <c r="B520"/>
      <c r="C520">
        <f>$F515</f>
        <v>0</v>
      </c>
      <c r="D520" s="3" t="str">
        <f t="shared" si="195"/>
        <v>T_BAD_DEBT - Tenant Bad Debt Expense</v>
      </c>
      <c r="E520"/>
      <c r="F520" s="22" t="str">
        <f>_xll.EVDES(D520)</f>
        <v>Tenant Bad Debt Expense</v>
      </c>
      <c r="G520" s="18">
        <f ca="1">SUMIFS(OFFSET('BPC Data'!$F:$F,0,Summary!G$2),'BPC Data'!$E:$E,Summary!$D520,'BPC Data'!$B:$B,Summary!$C520)</f>
        <v>0</v>
      </c>
      <c r="H520" s="92">
        <f ca="1">SUMIFS(OFFSET('BPC Data'!$F:$F,0,Summary!H$2),'BPC Data'!$E:$E,Summary!$D520,'BPC Data'!$B:$B,Summary!$C520)</f>
        <v>0</v>
      </c>
      <c r="I520" s="18">
        <f ca="1">SUMIFS(OFFSET('BPC Data'!$F:$F,0,Summary!I$2),'BPC Data'!$E:$E,Summary!$D520,'BPC Data'!$B:$B,Summary!$C520)</f>
        <v>0</v>
      </c>
      <c r="J520" s="92">
        <f ca="1">SUMIFS(OFFSET('BPC Data'!$F:$F,0,Summary!J$2),'BPC Data'!$E:$E,Summary!$D520,'BPC Data'!$B:$B,Summary!$C520)</f>
        <v>0</v>
      </c>
      <c r="K520" s="18">
        <f ca="1">SUMIFS(OFFSET('BPC Data'!$F:$F,0,Summary!K$2),'BPC Data'!$E:$E,Summary!$D520,'BPC Data'!$B:$B,Summary!$C520)</f>
        <v>0</v>
      </c>
      <c r="L520" s="92">
        <f ca="1">SUMIFS(OFFSET('BPC Data'!$F:$F,0,Summary!L$2),'BPC Data'!$E:$E,Summary!$D520,'BPC Data'!$B:$B,Summary!$C520)</f>
        <v>0</v>
      </c>
      <c r="M520" s="32"/>
      <c r="N520" s="110"/>
      <c r="O520" s="106">
        <f t="shared" si="193"/>
        <v>0</v>
      </c>
    </row>
    <row r="521" spans="1:15" s="16" customFormat="1" hidden="1" outlineLevel="1" x14ac:dyDescent="0.25">
      <c r="A521" s="16">
        <f t="shared" si="215"/>
        <v>47</v>
      </c>
      <c r="B521"/>
      <c r="C521">
        <f>$F515</f>
        <v>0</v>
      </c>
      <c r="D521" s="2" t="str">
        <f t="shared" si="195"/>
        <v>T_EBITDARM - EBITDARM</v>
      </c>
      <c r="E521"/>
      <c r="F521" s="22" t="str">
        <f>_xll.EVDES(D521)</f>
        <v>EBITDARM</v>
      </c>
      <c r="G521" s="18">
        <f ca="1">SUMIFS(OFFSET('BPC Data'!$F:$F,0,Summary!G$2),'BPC Data'!$E:$E,Summary!$D521,'BPC Data'!$B:$B,Summary!$C521)</f>
        <v>0</v>
      </c>
      <c r="H521" s="92">
        <f ca="1">SUMIFS(OFFSET('BPC Data'!$F:$F,0,Summary!H$2),'BPC Data'!$E:$E,Summary!$D521,'BPC Data'!$B:$B,Summary!$C521)</f>
        <v>0</v>
      </c>
      <c r="I521" s="18">
        <f ca="1">SUMIFS(OFFSET('BPC Data'!$F:$F,0,Summary!I$2),'BPC Data'!$E:$E,Summary!$D521,'BPC Data'!$B:$B,Summary!$C521)</f>
        <v>0</v>
      </c>
      <c r="J521" s="92">
        <f ca="1">SUMIFS(OFFSET('BPC Data'!$F:$F,0,Summary!J$2),'BPC Data'!$E:$E,Summary!$D521,'BPC Data'!$B:$B,Summary!$C521)</f>
        <v>0</v>
      </c>
      <c r="K521" s="18">
        <f ca="1">SUMIFS(OFFSET('BPC Data'!$F:$F,0,Summary!K$2),'BPC Data'!$E:$E,Summary!$D521,'BPC Data'!$B:$B,Summary!$C521)</f>
        <v>0</v>
      </c>
      <c r="L521" s="92">
        <f ca="1">SUMIFS(OFFSET('BPC Data'!$F:$F,0,Summary!L$2),'BPC Data'!$E:$E,Summary!$D521,'BPC Data'!$B:$B,Summary!$C521)</f>
        <v>0</v>
      </c>
      <c r="M521" s="32"/>
      <c r="N521" s="110"/>
      <c r="O521" s="106">
        <f t="shared" si="193"/>
        <v>0</v>
      </c>
    </row>
    <row r="522" spans="1:15" s="16" customFormat="1" hidden="1" outlineLevel="1" x14ac:dyDescent="0.25">
      <c r="A522" s="16">
        <f t="shared" si="215"/>
        <v>47</v>
      </c>
      <c r="B522"/>
      <c r="C522">
        <f>$F515</f>
        <v>0</v>
      </c>
      <c r="D522" s="2" t="str">
        <f t="shared" si="195"/>
        <v>T_MGMT_FEE - Tenant Management Fee - Actual</v>
      </c>
      <c r="E522"/>
      <c r="F522" s="22" t="str">
        <f>_xll.EVDES(D522)</f>
        <v>Tenant Management Fee - Actual</v>
      </c>
      <c r="G522" s="18">
        <f ca="1">SUMIFS(OFFSET('BPC Data'!$F:$F,0,Summary!G$2),'BPC Data'!$E:$E,Summary!$D522,'BPC Data'!$B:$B,Summary!$C522)</f>
        <v>0</v>
      </c>
      <c r="H522" s="92">
        <f ca="1">SUMIFS(OFFSET('BPC Data'!$F:$F,0,Summary!H$2),'BPC Data'!$E:$E,Summary!$D522,'BPC Data'!$B:$B,Summary!$C522)</f>
        <v>0</v>
      </c>
      <c r="I522" s="18">
        <f ca="1">SUMIFS(OFFSET('BPC Data'!$F:$F,0,Summary!I$2),'BPC Data'!$E:$E,Summary!$D522,'BPC Data'!$B:$B,Summary!$C522)</f>
        <v>0</v>
      </c>
      <c r="J522" s="92">
        <f ca="1">SUMIFS(OFFSET('BPC Data'!$F:$F,0,Summary!J$2),'BPC Data'!$E:$E,Summary!$D522,'BPC Data'!$B:$B,Summary!$C522)</f>
        <v>0</v>
      </c>
      <c r="K522" s="18">
        <f ca="1">SUMIFS(OFFSET('BPC Data'!$F:$F,0,Summary!K$2),'BPC Data'!$E:$E,Summary!$D522,'BPC Data'!$B:$B,Summary!$C522)</f>
        <v>0</v>
      </c>
      <c r="L522" s="92">
        <f ca="1">SUMIFS(OFFSET('BPC Data'!$F:$F,0,Summary!L$2),'BPC Data'!$E:$E,Summary!$D522,'BPC Data'!$B:$B,Summary!$C522)</f>
        <v>0</v>
      </c>
      <c r="M522" s="32"/>
      <c r="N522" s="110"/>
      <c r="O522" s="106">
        <f t="shared" si="193"/>
        <v>0</v>
      </c>
    </row>
    <row r="523" spans="1:15" s="16" customFormat="1" hidden="1" outlineLevel="1" x14ac:dyDescent="0.25">
      <c r="A523" s="16">
        <f t="shared" si="215"/>
        <v>47</v>
      </c>
      <c r="B523"/>
      <c r="C523">
        <f>$F515</f>
        <v>0</v>
      </c>
      <c r="D523" s="1" t="str">
        <f t="shared" si="195"/>
        <v>T_EBITDAR - EBITDAR</v>
      </c>
      <c r="E523"/>
      <c r="F523" s="22" t="str">
        <f>_xll.EVDES(D523)</f>
        <v>EBITDAR</v>
      </c>
      <c r="G523" s="18">
        <f ca="1">SUMIFS(OFFSET('BPC Data'!$F:$F,0,Summary!G$2),'BPC Data'!$E:$E,Summary!$D523,'BPC Data'!$B:$B,Summary!$C523)</f>
        <v>0</v>
      </c>
      <c r="H523" s="92">
        <f ca="1">SUMIFS(OFFSET('BPC Data'!$F:$F,0,Summary!H$2),'BPC Data'!$E:$E,Summary!$D523,'BPC Data'!$B:$B,Summary!$C523)</f>
        <v>0</v>
      </c>
      <c r="I523" s="18">
        <f ca="1">SUMIFS(OFFSET('BPC Data'!$F:$F,0,Summary!I$2),'BPC Data'!$E:$E,Summary!$D523,'BPC Data'!$B:$B,Summary!$C523)</f>
        <v>0</v>
      </c>
      <c r="J523" s="92">
        <f ca="1">SUMIFS(OFFSET('BPC Data'!$F:$F,0,Summary!J$2),'BPC Data'!$E:$E,Summary!$D523,'BPC Data'!$B:$B,Summary!$C523)</f>
        <v>0</v>
      </c>
      <c r="K523" s="18">
        <f ca="1">SUMIFS(OFFSET('BPC Data'!$F:$F,0,Summary!K$2),'BPC Data'!$E:$E,Summary!$D523,'BPC Data'!$B:$B,Summary!$C523)</f>
        <v>0</v>
      </c>
      <c r="L523" s="92">
        <f ca="1">SUMIFS(OFFSET('BPC Data'!$F:$F,0,Summary!L$2),'BPC Data'!$E:$E,Summary!$D523,'BPC Data'!$B:$B,Summary!$C523)</f>
        <v>0</v>
      </c>
      <c r="M523" s="32"/>
      <c r="N523" s="110"/>
      <c r="O523" s="106">
        <f t="shared" si="193"/>
        <v>0</v>
      </c>
    </row>
    <row r="524" spans="1:15" s="16" customFormat="1" hidden="1" outlineLevel="1" x14ac:dyDescent="0.25">
      <c r="A524" s="16">
        <f t="shared" si="215"/>
        <v>47</v>
      </c>
      <c r="B524"/>
      <c r="C524">
        <f>$F515</f>
        <v>0</v>
      </c>
      <c r="D524" s="1" t="str">
        <f t="shared" si="195"/>
        <v>T_RENT_EXP - Tenant Rent Expense</v>
      </c>
      <c r="E524"/>
      <c r="F524" s="22" t="str">
        <f>_xll.EVDES(D524)</f>
        <v>Tenant Rent Expense</v>
      </c>
      <c r="G524" s="18">
        <f ca="1">SUMIFS(OFFSET('BPC Data'!$F:$F,0,Summary!G$2),'BPC Data'!$E:$E,Summary!$D524,'BPC Data'!$B:$B,Summary!$C524)</f>
        <v>0</v>
      </c>
      <c r="H524" s="92">
        <f ca="1">SUMIFS(OFFSET('BPC Data'!$F:$F,0,Summary!H$2),'BPC Data'!$E:$E,Summary!$D524,'BPC Data'!$B:$B,Summary!$C524)</f>
        <v>0</v>
      </c>
      <c r="I524" s="18">
        <f ca="1">SUMIFS(OFFSET('BPC Data'!$F:$F,0,Summary!I$2),'BPC Data'!$E:$E,Summary!$D524,'BPC Data'!$B:$B,Summary!$C524)</f>
        <v>0</v>
      </c>
      <c r="J524" s="92">
        <f ca="1">SUMIFS(OFFSET('BPC Data'!$F:$F,0,Summary!J$2),'BPC Data'!$E:$E,Summary!$D524,'BPC Data'!$B:$B,Summary!$C524)</f>
        <v>0</v>
      </c>
      <c r="K524" s="18">
        <f ca="1">SUMIFS(OFFSET('BPC Data'!$F:$F,0,Summary!K$2),'BPC Data'!$E:$E,Summary!$D524,'BPC Data'!$B:$B,Summary!$C524)</f>
        <v>0</v>
      </c>
      <c r="L524" s="92">
        <f ca="1">SUMIFS(OFFSET('BPC Data'!$F:$F,0,Summary!L$2),'BPC Data'!$E:$E,Summary!$D524,'BPC Data'!$B:$B,Summary!$C524)</f>
        <v>0</v>
      </c>
      <c r="M524" s="32"/>
      <c r="N524" s="110"/>
      <c r="O524" s="106">
        <f t="shared" ref="O524:O558" si="216">N524-M524</f>
        <v>0</v>
      </c>
    </row>
    <row r="525" spans="1:15" s="16" customFormat="1" hidden="1" outlineLevel="1" x14ac:dyDescent="0.25">
      <c r="A525" s="16">
        <f t="shared" si="215"/>
        <v>47</v>
      </c>
      <c r="B525"/>
      <c r="C525"/>
      <c r="D525" s="1" t="str">
        <f t="shared" si="195"/>
        <v>x</v>
      </c>
      <c r="E525"/>
      <c r="F525" s="22" t="s">
        <v>0</v>
      </c>
      <c r="G525" s="11" t="e">
        <f t="shared" ref="G525:H525" ca="1" si="217">G523/G524</f>
        <v>#DIV/0!</v>
      </c>
      <c r="H525" s="93" t="e">
        <f t="shared" ca="1" si="217"/>
        <v>#DIV/0!</v>
      </c>
      <c r="I525" s="11" t="e">
        <f t="shared" ref="I525:J525" ca="1" si="218">I523/I524</f>
        <v>#DIV/0!</v>
      </c>
      <c r="J525" s="93" t="e">
        <f t="shared" ca="1" si="218"/>
        <v>#DIV/0!</v>
      </c>
      <c r="K525" s="11" t="e">
        <f t="shared" ref="K525:L525" ca="1" si="219">K523/K524</f>
        <v>#DIV/0!</v>
      </c>
      <c r="L525" s="93" t="e">
        <f t="shared" ca="1" si="219"/>
        <v>#DIV/0!</v>
      </c>
      <c r="M525" s="32"/>
      <c r="N525" s="110"/>
      <c r="O525" s="106">
        <f t="shared" si="216"/>
        <v>0</v>
      </c>
    </row>
    <row r="526" spans="1:15" s="16" customFormat="1" hidden="1" outlineLevel="1" x14ac:dyDescent="0.25">
      <c r="A526" s="16">
        <f>IF(AND(D526&lt;&gt;"",C526=""),A525+1,A525)</f>
        <v>48</v>
      </c>
      <c r="B526" s="4"/>
      <c r="C526" s="4"/>
      <c r="D526" s="4" t="str">
        <f t="shared" si="195"/>
        <v>x</v>
      </c>
      <c r="E526" s="4"/>
      <c r="F526" s="21">
        <f>INDEX(PropertyList!$D:$D,MATCH(Summary!$A526,PropertyList!$C:$C,0))</f>
        <v>0</v>
      </c>
      <c r="G526" s="10"/>
      <c r="H526" s="91"/>
      <c r="I526" s="10"/>
      <c r="J526" s="91"/>
      <c r="K526" s="10"/>
      <c r="L526" s="91"/>
      <c r="M526" s="32"/>
      <c r="N526" s="110"/>
      <c r="O526" s="106">
        <f t="shared" si="216"/>
        <v>0</v>
      </c>
    </row>
    <row r="527" spans="1:15" s="16" customFormat="1" hidden="1" outlineLevel="1" x14ac:dyDescent="0.25">
      <c r="A527" s="16">
        <f>IF(AND(F527&lt;&gt;"",D527=""),A526+1,A526)</f>
        <v>48</v>
      </c>
      <c r="C527">
        <f>$F526</f>
        <v>0</v>
      </c>
      <c r="D527" s="3" t="str">
        <f t="shared" si="195"/>
        <v>PAY_PAT_DAYS - Total Payor Patient Days</v>
      </c>
      <c r="F527" s="22" t="str">
        <f>_xll.EVDES(D527)</f>
        <v>Total Payor Patient Days</v>
      </c>
      <c r="G527" s="18">
        <f ca="1">SUMIFS(OFFSET('BPC Data'!$F:$F,0,Summary!G$2),'BPC Data'!$E:$E,Summary!$D527,'BPC Data'!$B:$B,Summary!$C527)</f>
        <v>0</v>
      </c>
      <c r="H527" s="92">
        <f ca="1">SUMIFS(OFFSET('BPC Data'!$F:$F,0,Summary!H$2),'BPC Data'!$E:$E,Summary!$D527,'BPC Data'!$B:$B,Summary!$C527)</f>
        <v>0</v>
      </c>
      <c r="I527" s="18">
        <f ca="1">SUMIFS(OFFSET('BPC Data'!$F:$F,0,Summary!I$2),'BPC Data'!$E:$E,Summary!$D527,'BPC Data'!$B:$B,Summary!$C527)</f>
        <v>0</v>
      </c>
      <c r="J527" s="92">
        <f ca="1">SUMIFS(OFFSET('BPC Data'!$F:$F,0,Summary!J$2),'BPC Data'!$E:$E,Summary!$D527,'BPC Data'!$B:$B,Summary!$C527)</f>
        <v>0</v>
      </c>
      <c r="K527" s="18">
        <f ca="1">SUMIFS(OFFSET('BPC Data'!$F:$F,0,Summary!K$2),'BPC Data'!$E:$E,Summary!$D527,'BPC Data'!$B:$B,Summary!$C527)</f>
        <v>0</v>
      </c>
      <c r="L527" s="92">
        <f ca="1">SUMIFS(OFFSET('BPC Data'!$F:$F,0,Summary!L$2),'BPC Data'!$E:$E,Summary!$D527,'BPC Data'!$B:$B,Summary!$C527)</f>
        <v>0</v>
      </c>
      <c r="M527" s="32"/>
      <c r="N527" s="110"/>
      <c r="O527" s="106">
        <f t="shared" si="216"/>
        <v>0</v>
      </c>
    </row>
    <row r="528" spans="1:15" s="16" customFormat="1" hidden="1" outlineLevel="1" x14ac:dyDescent="0.25">
      <c r="A528" s="16">
        <f t="shared" ref="A528:A536" si="220">IF(AND(F528&lt;&gt;"",D528=""),A527+1,A527)</f>
        <v>48</v>
      </c>
      <c r="C528">
        <f>$F526</f>
        <v>0</v>
      </c>
      <c r="D528" s="3" t="str">
        <f t="shared" si="195"/>
        <v>A_BEDS_TOTAL - Total Available Beds</v>
      </c>
      <c r="F528" s="22" t="str">
        <f>_xll.EVDES(D528)</f>
        <v>Total Available Beds</v>
      </c>
      <c r="G528" s="18">
        <f ca="1">SUMIFS(OFFSET('BPC Data'!$F:$F,0,Summary!G$2),'BPC Data'!$E:$E,Summary!$D528,'BPC Data'!$B:$B,Summary!$C528)</f>
        <v>0</v>
      </c>
      <c r="H528" s="92">
        <f ca="1">SUMIFS(OFFSET('BPC Data'!$F:$F,0,Summary!H$2),'BPC Data'!$E:$E,Summary!$D528,'BPC Data'!$B:$B,Summary!$C528)</f>
        <v>0</v>
      </c>
      <c r="I528" s="18">
        <f ca="1">SUMIFS(OFFSET('BPC Data'!$F:$F,0,Summary!I$2),'BPC Data'!$E:$E,Summary!$D528,'BPC Data'!$B:$B,Summary!$C528)</f>
        <v>0</v>
      </c>
      <c r="J528" s="92">
        <f ca="1">SUMIFS(OFFSET('BPC Data'!$F:$F,0,Summary!J$2),'BPC Data'!$E:$E,Summary!$D528,'BPC Data'!$B:$B,Summary!$C528)</f>
        <v>0</v>
      </c>
      <c r="K528" s="18">
        <f ca="1">SUMIFS(OFFSET('BPC Data'!$F:$F,0,Summary!K$2),'BPC Data'!$E:$E,Summary!$D528,'BPC Data'!$B:$B,Summary!$C528)</f>
        <v>0</v>
      </c>
      <c r="L528" s="92">
        <f ca="1">SUMIFS(OFFSET('BPC Data'!$F:$F,0,Summary!L$2),'BPC Data'!$E:$E,Summary!$D528,'BPC Data'!$B:$B,Summary!$C528)</f>
        <v>0</v>
      </c>
      <c r="M528" s="32"/>
      <c r="N528" s="110"/>
      <c r="O528" s="106">
        <f t="shared" si="216"/>
        <v>0</v>
      </c>
    </row>
    <row r="529" spans="1:15" s="16" customFormat="1" hidden="1" outlineLevel="1" x14ac:dyDescent="0.25">
      <c r="A529" s="16">
        <f t="shared" si="220"/>
        <v>48</v>
      </c>
      <c r="B529"/>
      <c r="C529">
        <f>$F526</f>
        <v>0</v>
      </c>
      <c r="D529" s="3" t="str">
        <f t="shared" si="195"/>
        <v>T_REVENUES - Total Tenant Revenues</v>
      </c>
      <c r="E529"/>
      <c r="F529" s="22" t="str">
        <f>_xll.EVDES(D529)</f>
        <v>Total Tenant Revenues</v>
      </c>
      <c r="G529" s="18">
        <f ca="1">SUMIFS(OFFSET('BPC Data'!$F:$F,0,Summary!G$2),'BPC Data'!$E:$E,Summary!$D529,'BPC Data'!$B:$B,Summary!$C529)</f>
        <v>0</v>
      </c>
      <c r="H529" s="92">
        <f ca="1">SUMIFS(OFFSET('BPC Data'!$F:$F,0,Summary!H$2),'BPC Data'!$E:$E,Summary!$D529,'BPC Data'!$B:$B,Summary!$C529)</f>
        <v>0</v>
      </c>
      <c r="I529" s="18">
        <f ca="1">SUMIFS(OFFSET('BPC Data'!$F:$F,0,Summary!I$2),'BPC Data'!$E:$E,Summary!$D529,'BPC Data'!$B:$B,Summary!$C529)</f>
        <v>0</v>
      </c>
      <c r="J529" s="92">
        <f ca="1">SUMIFS(OFFSET('BPC Data'!$F:$F,0,Summary!J$2),'BPC Data'!$E:$E,Summary!$D529,'BPC Data'!$B:$B,Summary!$C529)</f>
        <v>0</v>
      </c>
      <c r="K529" s="18">
        <f ca="1">SUMIFS(OFFSET('BPC Data'!$F:$F,0,Summary!K$2),'BPC Data'!$E:$E,Summary!$D529,'BPC Data'!$B:$B,Summary!$C529)</f>
        <v>0</v>
      </c>
      <c r="L529" s="92">
        <f ca="1">SUMIFS(OFFSET('BPC Data'!$F:$F,0,Summary!L$2),'BPC Data'!$E:$E,Summary!$D529,'BPC Data'!$B:$B,Summary!$C529)</f>
        <v>0</v>
      </c>
      <c r="M529" s="32"/>
      <c r="N529" s="110"/>
      <c r="O529" s="106">
        <f t="shared" si="216"/>
        <v>0</v>
      </c>
    </row>
    <row r="530" spans="1:15" s="16" customFormat="1" hidden="1" outlineLevel="1" x14ac:dyDescent="0.25">
      <c r="A530" s="16">
        <f t="shared" si="220"/>
        <v>48</v>
      </c>
      <c r="B530"/>
      <c r="C530">
        <f>$F526</f>
        <v>0</v>
      </c>
      <c r="D530" s="3" t="str">
        <f t="shared" si="195"/>
        <v>T_OPEX - Tenant Operating Expenses</v>
      </c>
      <c r="E530"/>
      <c r="F530" s="22" t="str">
        <f>_xll.EVDES(D530)</f>
        <v>Tenant Operating Expenses</v>
      </c>
      <c r="G530" s="18">
        <f ca="1">SUMIFS(OFFSET('BPC Data'!$F:$F,0,Summary!G$2),'BPC Data'!$E:$E,Summary!$D530,'BPC Data'!$B:$B,Summary!$C530)</f>
        <v>0</v>
      </c>
      <c r="H530" s="92">
        <f ca="1">SUMIFS(OFFSET('BPC Data'!$F:$F,0,Summary!H$2),'BPC Data'!$E:$E,Summary!$D530,'BPC Data'!$B:$B,Summary!$C530)</f>
        <v>0</v>
      </c>
      <c r="I530" s="18">
        <f ca="1">SUMIFS(OFFSET('BPC Data'!$F:$F,0,Summary!I$2),'BPC Data'!$E:$E,Summary!$D530,'BPC Data'!$B:$B,Summary!$C530)</f>
        <v>0</v>
      </c>
      <c r="J530" s="92">
        <f ca="1">SUMIFS(OFFSET('BPC Data'!$F:$F,0,Summary!J$2),'BPC Data'!$E:$E,Summary!$D530,'BPC Data'!$B:$B,Summary!$C530)</f>
        <v>0</v>
      </c>
      <c r="K530" s="18">
        <f ca="1">SUMIFS(OFFSET('BPC Data'!$F:$F,0,Summary!K$2),'BPC Data'!$E:$E,Summary!$D530,'BPC Data'!$B:$B,Summary!$C530)</f>
        <v>0</v>
      </c>
      <c r="L530" s="92">
        <f ca="1">SUMIFS(OFFSET('BPC Data'!$F:$F,0,Summary!L$2),'BPC Data'!$E:$E,Summary!$D530,'BPC Data'!$B:$B,Summary!$C530)</f>
        <v>0</v>
      </c>
      <c r="M530" s="32"/>
      <c r="N530" s="110"/>
      <c r="O530" s="106">
        <f t="shared" si="216"/>
        <v>0</v>
      </c>
    </row>
    <row r="531" spans="1:15" s="16" customFormat="1" hidden="1" outlineLevel="1" x14ac:dyDescent="0.25">
      <c r="A531" s="16">
        <f t="shared" si="220"/>
        <v>48</v>
      </c>
      <c r="B531"/>
      <c r="C531">
        <f>$F526</f>
        <v>0</v>
      </c>
      <c r="D531" s="3" t="str">
        <f t="shared" si="195"/>
        <v>T_BAD_DEBT - Tenant Bad Debt Expense</v>
      </c>
      <c r="E531"/>
      <c r="F531" s="22" t="str">
        <f>_xll.EVDES(D531)</f>
        <v>Tenant Bad Debt Expense</v>
      </c>
      <c r="G531" s="18">
        <f ca="1">SUMIFS(OFFSET('BPC Data'!$F:$F,0,Summary!G$2),'BPC Data'!$E:$E,Summary!$D531,'BPC Data'!$B:$B,Summary!$C531)</f>
        <v>0</v>
      </c>
      <c r="H531" s="92">
        <f ca="1">SUMIFS(OFFSET('BPC Data'!$F:$F,0,Summary!H$2),'BPC Data'!$E:$E,Summary!$D531,'BPC Data'!$B:$B,Summary!$C531)</f>
        <v>0</v>
      </c>
      <c r="I531" s="18">
        <f ca="1">SUMIFS(OFFSET('BPC Data'!$F:$F,0,Summary!I$2),'BPC Data'!$E:$E,Summary!$D531,'BPC Data'!$B:$B,Summary!$C531)</f>
        <v>0</v>
      </c>
      <c r="J531" s="92">
        <f ca="1">SUMIFS(OFFSET('BPC Data'!$F:$F,0,Summary!J$2),'BPC Data'!$E:$E,Summary!$D531,'BPC Data'!$B:$B,Summary!$C531)</f>
        <v>0</v>
      </c>
      <c r="K531" s="18">
        <f ca="1">SUMIFS(OFFSET('BPC Data'!$F:$F,0,Summary!K$2),'BPC Data'!$E:$E,Summary!$D531,'BPC Data'!$B:$B,Summary!$C531)</f>
        <v>0</v>
      </c>
      <c r="L531" s="92">
        <f ca="1">SUMIFS(OFFSET('BPC Data'!$F:$F,0,Summary!L$2),'BPC Data'!$E:$E,Summary!$D531,'BPC Data'!$B:$B,Summary!$C531)</f>
        <v>0</v>
      </c>
      <c r="M531" s="32"/>
      <c r="N531" s="110"/>
      <c r="O531" s="106">
        <f t="shared" si="216"/>
        <v>0</v>
      </c>
    </row>
    <row r="532" spans="1:15" s="16" customFormat="1" hidden="1" outlineLevel="1" x14ac:dyDescent="0.25">
      <c r="A532" s="16">
        <f t="shared" si="220"/>
        <v>48</v>
      </c>
      <c r="B532"/>
      <c r="C532">
        <f>$F526</f>
        <v>0</v>
      </c>
      <c r="D532" s="2" t="str">
        <f t="shared" si="195"/>
        <v>T_EBITDARM - EBITDARM</v>
      </c>
      <c r="E532"/>
      <c r="F532" s="22" t="str">
        <f>_xll.EVDES(D532)</f>
        <v>EBITDARM</v>
      </c>
      <c r="G532" s="18">
        <f ca="1">SUMIFS(OFFSET('BPC Data'!$F:$F,0,Summary!G$2),'BPC Data'!$E:$E,Summary!$D532,'BPC Data'!$B:$B,Summary!$C532)</f>
        <v>0</v>
      </c>
      <c r="H532" s="92">
        <f ca="1">SUMIFS(OFFSET('BPC Data'!$F:$F,0,Summary!H$2),'BPC Data'!$E:$E,Summary!$D532,'BPC Data'!$B:$B,Summary!$C532)</f>
        <v>0</v>
      </c>
      <c r="I532" s="18">
        <f ca="1">SUMIFS(OFFSET('BPC Data'!$F:$F,0,Summary!I$2),'BPC Data'!$E:$E,Summary!$D532,'BPC Data'!$B:$B,Summary!$C532)</f>
        <v>0</v>
      </c>
      <c r="J532" s="92">
        <f ca="1">SUMIFS(OFFSET('BPC Data'!$F:$F,0,Summary!J$2),'BPC Data'!$E:$E,Summary!$D532,'BPC Data'!$B:$B,Summary!$C532)</f>
        <v>0</v>
      </c>
      <c r="K532" s="18">
        <f ca="1">SUMIFS(OFFSET('BPC Data'!$F:$F,0,Summary!K$2),'BPC Data'!$E:$E,Summary!$D532,'BPC Data'!$B:$B,Summary!$C532)</f>
        <v>0</v>
      </c>
      <c r="L532" s="92">
        <f ca="1">SUMIFS(OFFSET('BPC Data'!$F:$F,0,Summary!L$2),'BPC Data'!$E:$E,Summary!$D532,'BPC Data'!$B:$B,Summary!$C532)</f>
        <v>0</v>
      </c>
      <c r="M532" s="32"/>
      <c r="N532" s="110"/>
      <c r="O532" s="106">
        <f t="shared" si="216"/>
        <v>0</v>
      </c>
    </row>
    <row r="533" spans="1:15" s="16" customFormat="1" hidden="1" outlineLevel="1" x14ac:dyDescent="0.25">
      <c r="A533" s="16">
        <f t="shared" si="220"/>
        <v>48</v>
      </c>
      <c r="B533"/>
      <c r="C533">
        <f>$F526</f>
        <v>0</v>
      </c>
      <c r="D533" s="2" t="str">
        <f t="shared" si="195"/>
        <v>T_MGMT_FEE - Tenant Management Fee - Actual</v>
      </c>
      <c r="E533"/>
      <c r="F533" s="22" t="str">
        <f>_xll.EVDES(D533)</f>
        <v>Tenant Management Fee - Actual</v>
      </c>
      <c r="G533" s="18">
        <f ca="1">SUMIFS(OFFSET('BPC Data'!$F:$F,0,Summary!G$2),'BPC Data'!$E:$E,Summary!$D533,'BPC Data'!$B:$B,Summary!$C533)</f>
        <v>0</v>
      </c>
      <c r="H533" s="92">
        <f ca="1">SUMIFS(OFFSET('BPC Data'!$F:$F,0,Summary!H$2),'BPC Data'!$E:$E,Summary!$D533,'BPC Data'!$B:$B,Summary!$C533)</f>
        <v>0</v>
      </c>
      <c r="I533" s="18">
        <f ca="1">SUMIFS(OFFSET('BPC Data'!$F:$F,0,Summary!I$2),'BPC Data'!$E:$E,Summary!$D533,'BPC Data'!$B:$B,Summary!$C533)</f>
        <v>0</v>
      </c>
      <c r="J533" s="92">
        <f ca="1">SUMIFS(OFFSET('BPC Data'!$F:$F,0,Summary!J$2),'BPC Data'!$E:$E,Summary!$D533,'BPC Data'!$B:$B,Summary!$C533)</f>
        <v>0</v>
      </c>
      <c r="K533" s="18">
        <f ca="1">SUMIFS(OFFSET('BPC Data'!$F:$F,0,Summary!K$2),'BPC Data'!$E:$E,Summary!$D533,'BPC Data'!$B:$B,Summary!$C533)</f>
        <v>0</v>
      </c>
      <c r="L533" s="92">
        <f ca="1">SUMIFS(OFFSET('BPC Data'!$F:$F,0,Summary!L$2),'BPC Data'!$E:$E,Summary!$D533,'BPC Data'!$B:$B,Summary!$C533)</f>
        <v>0</v>
      </c>
      <c r="M533" s="32"/>
      <c r="N533" s="110"/>
      <c r="O533" s="106">
        <f t="shared" si="216"/>
        <v>0</v>
      </c>
    </row>
    <row r="534" spans="1:15" s="16" customFormat="1" hidden="1" outlineLevel="1" x14ac:dyDescent="0.25">
      <c r="A534" s="16">
        <f t="shared" si="220"/>
        <v>48</v>
      </c>
      <c r="B534"/>
      <c r="C534">
        <f>$F526</f>
        <v>0</v>
      </c>
      <c r="D534" s="1" t="str">
        <f t="shared" ref="D534:D537" si="221">$D523</f>
        <v>T_EBITDAR - EBITDAR</v>
      </c>
      <c r="E534"/>
      <c r="F534" s="22" t="str">
        <f>_xll.EVDES(D534)</f>
        <v>EBITDAR</v>
      </c>
      <c r="G534" s="18">
        <f ca="1">SUMIFS(OFFSET('BPC Data'!$F:$F,0,Summary!G$2),'BPC Data'!$E:$E,Summary!$D534,'BPC Data'!$B:$B,Summary!$C534)</f>
        <v>0</v>
      </c>
      <c r="H534" s="92">
        <f ca="1">SUMIFS(OFFSET('BPC Data'!$F:$F,0,Summary!H$2),'BPC Data'!$E:$E,Summary!$D534,'BPC Data'!$B:$B,Summary!$C534)</f>
        <v>0</v>
      </c>
      <c r="I534" s="18">
        <f ca="1">SUMIFS(OFFSET('BPC Data'!$F:$F,0,Summary!I$2),'BPC Data'!$E:$E,Summary!$D534,'BPC Data'!$B:$B,Summary!$C534)</f>
        <v>0</v>
      </c>
      <c r="J534" s="92">
        <f ca="1">SUMIFS(OFFSET('BPC Data'!$F:$F,0,Summary!J$2),'BPC Data'!$E:$E,Summary!$D534,'BPC Data'!$B:$B,Summary!$C534)</f>
        <v>0</v>
      </c>
      <c r="K534" s="18">
        <f ca="1">SUMIFS(OFFSET('BPC Data'!$F:$F,0,Summary!K$2),'BPC Data'!$E:$E,Summary!$D534,'BPC Data'!$B:$B,Summary!$C534)</f>
        <v>0</v>
      </c>
      <c r="L534" s="92">
        <f ca="1">SUMIFS(OFFSET('BPC Data'!$F:$F,0,Summary!L$2),'BPC Data'!$E:$E,Summary!$D534,'BPC Data'!$B:$B,Summary!$C534)</f>
        <v>0</v>
      </c>
      <c r="M534" s="32"/>
      <c r="N534" s="110"/>
      <c r="O534" s="106">
        <f t="shared" si="216"/>
        <v>0</v>
      </c>
    </row>
    <row r="535" spans="1:15" s="16" customFormat="1" hidden="1" outlineLevel="1" x14ac:dyDescent="0.25">
      <c r="A535" s="16">
        <f t="shared" si="220"/>
        <v>48</v>
      </c>
      <c r="B535"/>
      <c r="C535">
        <f>$F526</f>
        <v>0</v>
      </c>
      <c r="D535" s="1" t="str">
        <f t="shared" si="221"/>
        <v>T_RENT_EXP - Tenant Rent Expense</v>
      </c>
      <c r="E535"/>
      <c r="F535" s="22" t="str">
        <f>_xll.EVDES(D535)</f>
        <v>Tenant Rent Expense</v>
      </c>
      <c r="G535" s="18">
        <f ca="1">SUMIFS(OFFSET('BPC Data'!$F:$F,0,Summary!G$2),'BPC Data'!$E:$E,Summary!$D535,'BPC Data'!$B:$B,Summary!$C535)</f>
        <v>0</v>
      </c>
      <c r="H535" s="92">
        <f ca="1">SUMIFS(OFFSET('BPC Data'!$F:$F,0,Summary!H$2),'BPC Data'!$E:$E,Summary!$D535,'BPC Data'!$B:$B,Summary!$C535)</f>
        <v>0</v>
      </c>
      <c r="I535" s="18">
        <f ca="1">SUMIFS(OFFSET('BPC Data'!$F:$F,0,Summary!I$2),'BPC Data'!$E:$E,Summary!$D535,'BPC Data'!$B:$B,Summary!$C535)</f>
        <v>0</v>
      </c>
      <c r="J535" s="92">
        <f ca="1">SUMIFS(OFFSET('BPC Data'!$F:$F,0,Summary!J$2),'BPC Data'!$E:$E,Summary!$D535,'BPC Data'!$B:$B,Summary!$C535)</f>
        <v>0</v>
      </c>
      <c r="K535" s="18">
        <f ca="1">SUMIFS(OFFSET('BPC Data'!$F:$F,0,Summary!K$2),'BPC Data'!$E:$E,Summary!$D535,'BPC Data'!$B:$B,Summary!$C535)</f>
        <v>0</v>
      </c>
      <c r="L535" s="92">
        <f ca="1">SUMIFS(OFFSET('BPC Data'!$F:$F,0,Summary!L$2),'BPC Data'!$E:$E,Summary!$D535,'BPC Data'!$B:$B,Summary!$C535)</f>
        <v>0</v>
      </c>
      <c r="M535" s="32"/>
      <c r="N535" s="110"/>
      <c r="O535" s="106">
        <f t="shared" si="216"/>
        <v>0</v>
      </c>
    </row>
    <row r="536" spans="1:15" s="16" customFormat="1" hidden="1" outlineLevel="1" x14ac:dyDescent="0.25">
      <c r="A536" s="16">
        <f t="shared" si="220"/>
        <v>48</v>
      </c>
      <c r="B536"/>
      <c r="C536"/>
      <c r="D536" s="1" t="str">
        <f t="shared" si="221"/>
        <v>x</v>
      </c>
      <c r="E536"/>
      <c r="F536" s="22" t="s">
        <v>0</v>
      </c>
      <c r="G536" s="11" t="e">
        <f t="shared" ref="G536:H536" ca="1" si="222">G534/G535</f>
        <v>#DIV/0!</v>
      </c>
      <c r="H536" s="93" t="e">
        <f t="shared" ca="1" si="222"/>
        <v>#DIV/0!</v>
      </c>
      <c r="I536" s="11" t="e">
        <f t="shared" ref="I536:J536" ca="1" si="223">I534/I535</f>
        <v>#DIV/0!</v>
      </c>
      <c r="J536" s="93" t="e">
        <f t="shared" ca="1" si="223"/>
        <v>#DIV/0!</v>
      </c>
      <c r="K536" s="11" t="e">
        <f t="shared" ref="K536:L536" ca="1" si="224">K534/K535</f>
        <v>#DIV/0!</v>
      </c>
      <c r="L536" s="93" t="e">
        <f t="shared" ca="1" si="224"/>
        <v>#DIV/0!</v>
      </c>
      <c r="M536" s="32"/>
      <c r="N536" s="110"/>
      <c r="O536" s="106">
        <f t="shared" si="216"/>
        <v>0</v>
      </c>
    </row>
    <row r="537" spans="1:15" s="16" customFormat="1" hidden="1" outlineLevel="1" x14ac:dyDescent="0.25">
      <c r="A537" s="16">
        <f>IF(AND(D537&lt;&gt;"",C537=""),A536+1,A536)</f>
        <v>49</v>
      </c>
      <c r="B537" s="4"/>
      <c r="C537" s="4"/>
      <c r="D537" s="4" t="str">
        <f t="shared" si="221"/>
        <v>x</v>
      </c>
      <c r="E537" s="4"/>
      <c r="F537" s="21">
        <f>INDEX(PropertyList!$D:$D,MATCH(Summary!$A537,PropertyList!$C:$C,0))</f>
        <v>0</v>
      </c>
      <c r="G537" s="10"/>
      <c r="H537" s="91"/>
      <c r="I537" s="10"/>
      <c r="J537" s="91"/>
      <c r="K537" s="10"/>
      <c r="L537" s="91"/>
      <c r="M537" s="32"/>
      <c r="N537" s="110"/>
      <c r="O537" s="106">
        <f t="shared" si="216"/>
        <v>0</v>
      </c>
    </row>
    <row r="538" spans="1:15" s="16" customFormat="1" hidden="1" outlineLevel="1" x14ac:dyDescent="0.25">
      <c r="A538" s="16">
        <f>IF(AND(F538&lt;&gt;"",D538=""),A537+1,A537)</f>
        <v>49</v>
      </c>
      <c r="C538">
        <f>$F537</f>
        <v>0</v>
      </c>
      <c r="D538" s="3" t="str">
        <f>$D527</f>
        <v>PAY_PAT_DAYS - Total Payor Patient Days</v>
      </c>
      <c r="F538" s="22" t="str">
        <f>_xll.EVDES(D538)</f>
        <v>Total Payor Patient Days</v>
      </c>
      <c r="G538" s="18">
        <f ca="1">SUMIFS(OFFSET('BPC Data'!$F:$F,0,Summary!G$2),'BPC Data'!$E:$E,Summary!$D538,'BPC Data'!$B:$B,Summary!$C538)</f>
        <v>0</v>
      </c>
      <c r="H538" s="92">
        <f ca="1">SUMIFS(OFFSET('BPC Data'!$F:$F,0,Summary!H$2),'BPC Data'!$E:$E,Summary!$D538,'BPC Data'!$B:$B,Summary!$C538)</f>
        <v>0</v>
      </c>
      <c r="I538" s="18">
        <f ca="1">SUMIFS(OFFSET('BPC Data'!$F:$F,0,Summary!I$2),'BPC Data'!$E:$E,Summary!$D538,'BPC Data'!$B:$B,Summary!$C538)</f>
        <v>0</v>
      </c>
      <c r="J538" s="92">
        <f ca="1">SUMIFS(OFFSET('BPC Data'!$F:$F,0,Summary!J$2),'BPC Data'!$E:$E,Summary!$D538,'BPC Data'!$B:$B,Summary!$C538)</f>
        <v>0</v>
      </c>
      <c r="K538" s="18">
        <f ca="1">SUMIFS(OFFSET('BPC Data'!$F:$F,0,Summary!K$2),'BPC Data'!$E:$E,Summary!$D538,'BPC Data'!$B:$B,Summary!$C538)</f>
        <v>0</v>
      </c>
      <c r="L538" s="92">
        <f ca="1">SUMIFS(OFFSET('BPC Data'!$F:$F,0,Summary!L$2),'BPC Data'!$E:$E,Summary!$D538,'BPC Data'!$B:$B,Summary!$C538)</f>
        <v>0</v>
      </c>
      <c r="M538" s="32"/>
      <c r="N538" s="110"/>
      <c r="O538" s="106">
        <f t="shared" si="216"/>
        <v>0</v>
      </c>
    </row>
    <row r="539" spans="1:15" s="16" customFormat="1" hidden="1" outlineLevel="1" x14ac:dyDescent="0.25">
      <c r="A539" s="16">
        <f t="shared" ref="A539:A547" si="225">IF(AND(F539&lt;&gt;"",D539=""),A538+1,A538)</f>
        <v>49</v>
      </c>
      <c r="C539">
        <f>$F537</f>
        <v>0</v>
      </c>
      <c r="D539" s="3" t="str">
        <f t="shared" ref="D539:D547" si="226">$D528</f>
        <v>A_BEDS_TOTAL - Total Available Beds</v>
      </c>
      <c r="F539" s="22" t="str">
        <f>_xll.EVDES(D539)</f>
        <v>Total Available Beds</v>
      </c>
      <c r="G539" s="18">
        <f ca="1">SUMIFS(OFFSET('BPC Data'!$F:$F,0,Summary!G$2),'BPC Data'!$E:$E,Summary!$D539,'BPC Data'!$B:$B,Summary!$C539)</f>
        <v>0</v>
      </c>
      <c r="H539" s="92">
        <f ca="1">SUMIFS(OFFSET('BPC Data'!$F:$F,0,Summary!H$2),'BPC Data'!$E:$E,Summary!$D539,'BPC Data'!$B:$B,Summary!$C539)</f>
        <v>0</v>
      </c>
      <c r="I539" s="18">
        <f ca="1">SUMIFS(OFFSET('BPC Data'!$F:$F,0,Summary!I$2),'BPC Data'!$E:$E,Summary!$D539,'BPC Data'!$B:$B,Summary!$C539)</f>
        <v>0</v>
      </c>
      <c r="J539" s="92">
        <f ca="1">SUMIFS(OFFSET('BPC Data'!$F:$F,0,Summary!J$2),'BPC Data'!$E:$E,Summary!$D539,'BPC Data'!$B:$B,Summary!$C539)</f>
        <v>0</v>
      </c>
      <c r="K539" s="18">
        <f ca="1">SUMIFS(OFFSET('BPC Data'!$F:$F,0,Summary!K$2),'BPC Data'!$E:$E,Summary!$D539,'BPC Data'!$B:$B,Summary!$C539)</f>
        <v>0</v>
      </c>
      <c r="L539" s="92">
        <f ca="1">SUMIFS(OFFSET('BPC Data'!$F:$F,0,Summary!L$2),'BPC Data'!$E:$E,Summary!$D539,'BPC Data'!$B:$B,Summary!$C539)</f>
        <v>0</v>
      </c>
      <c r="M539" s="32"/>
      <c r="N539" s="110"/>
      <c r="O539" s="106">
        <f t="shared" si="216"/>
        <v>0</v>
      </c>
    </row>
    <row r="540" spans="1:15" s="16" customFormat="1" hidden="1" outlineLevel="1" x14ac:dyDescent="0.25">
      <c r="A540" s="16">
        <f t="shared" si="225"/>
        <v>49</v>
      </c>
      <c r="B540"/>
      <c r="C540">
        <f>$F537</f>
        <v>0</v>
      </c>
      <c r="D540" s="3" t="str">
        <f t="shared" si="226"/>
        <v>T_REVENUES - Total Tenant Revenues</v>
      </c>
      <c r="E540"/>
      <c r="F540" s="22" t="str">
        <f>_xll.EVDES(D540)</f>
        <v>Total Tenant Revenues</v>
      </c>
      <c r="G540" s="18">
        <f ca="1">SUMIFS(OFFSET('BPC Data'!$F:$F,0,Summary!G$2),'BPC Data'!$E:$E,Summary!$D540,'BPC Data'!$B:$B,Summary!$C540)</f>
        <v>0</v>
      </c>
      <c r="H540" s="92">
        <f ca="1">SUMIFS(OFFSET('BPC Data'!$F:$F,0,Summary!H$2),'BPC Data'!$E:$E,Summary!$D540,'BPC Data'!$B:$B,Summary!$C540)</f>
        <v>0</v>
      </c>
      <c r="I540" s="18">
        <f ca="1">SUMIFS(OFFSET('BPC Data'!$F:$F,0,Summary!I$2),'BPC Data'!$E:$E,Summary!$D540,'BPC Data'!$B:$B,Summary!$C540)</f>
        <v>0</v>
      </c>
      <c r="J540" s="92">
        <f ca="1">SUMIFS(OFFSET('BPC Data'!$F:$F,0,Summary!J$2),'BPC Data'!$E:$E,Summary!$D540,'BPC Data'!$B:$B,Summary!$C540)</f>
        <v>0</v>
      </c>
      <c r="K540" s="18">
        <f ca="1">SUMIFS(OFFSET('BPC Data'!$F:$F,0,Summary!K$2),'BPC Data'!$E:$E,Summary!$D540,'BPC Data'!$B:$B,Summary!$C540)</f>
        <v>0</v>
      </c>
      <c r="L540" s="92">
        <f ca="1">SUMIFS(OFFSET('BPC Data'!$F:$F,0,Summary!L$2),'BPC Data'!$E:$E,Summary!$D540,'BPC Data'!$B:$B,Summary!$C540)</f>
        <v>0</v>
      </c>
      <c r="M540" s="32"/>
      <c r="N540" s="110"/>
      <c r="O540" s="106">
        <f t="shared" si="216"/>
        <v>0</v>
      </c>
    </row>
    <row r="541" spans="1:15" s="16" customFormat="1" hidden="1" outlineLevel="1" x14ac:dyDescent="0.25">
      <c r="A541" s="16">
        <f t="shared" si="225"/>
        <v>49</v>
      </c>
      <c r="B541"/>
      <c r="C541">
        <f>$F537</f>
        <v>0</v>
      </c>
      <c r="D541" s="3" t="str">
        <f t="shared" si="226"/>
        <v>T_OPEX - Tenant Operating Expenses</v>
      </c>
      <c r="E541"/>
      <c r="F541" s="22" t="str">
        <f>_xll.EVDES(D541)</f>
        <v>Tenant Operating Expenses</v>
      </c>
      <c r="G541" s="18">
        <f ca="1">SUMIFS(OFFSET('BPC Data'!$F:$F,0,Summary!G$2),'BPC Data'!$E:$E,Summary!$D541,'BPC Data'!$B:$B,Summary!$C541)</f>
        <v>0</v>
      </c>
      <c r="H541" s="92">
        <f ca="1">SUMIFS(OFFSET('BPC Data'!$F:$F,0,Summary!H$2),'BPC Data'!$E:$E,Summary!$D541,'BPC Data'!$B:$B,Summary!$C541)</f>
        <v>0</v>
      </c>
      <c r="I541" s="18">
        <f ca="1">SUMIFS(OFFSET('BPC Data'!$F:$F,0,Summary!I$2),'BPC Data'!$E:$E,Summary!$D541,'BPC Data'!$B:$B,Summary!$C541)</f>
        <v>0</v>
      </c>
      <c r="J541" s="92">
        <f ca="1">SUMIFS(OFFSET('BPC Data'!$F:$F,0,Summary!J$2),'BPC Data'!$E:$E,Summary!$D541,'BPC Data'!$B:$B,Summary!$C541)</f>
        <v>0</v>
      </c>
      <c r="K541" s="18">
        <f ca="1">SUMIFS(OFFSET('BPC Data'!$F:$F,0,Summary!K$2),'BPC Data'!$E:$E,Summary!$D541,'BPC Data'!$B:$B,Summary!$C541)</f>
        <v>0</v>
      </c>
      <c r="L541" s="92">
        <f ca="1">SUMIFS(OFFSET('BPC Data'!$F:$F,0,Summary!L$2),'BPC Data'!$E:$E,Summary!$D541,'BPC Data'!$B:$B,Summary!$C541)</f>
        <v>0</v>
      </c>
      <c r="M541" s="32"/>
      <c r="N541" s="110"/>
      <c r="O541" s="106">
        <f t="shared" si="216"/>
        <v>0</v>
      </c>
    </row>
    <row r="542" spans="1:15" s="16" customFormat="1" hidden="1" outlineLevel="1" x14ac:dyDescent="0.25">
      <c r="A542" s="16">
        <f t="shared" si="225"/>
        <v>49</v>
      </c>
      <c r="B542"/>
      <c r="C542">
        <f>$F537</f>
        <v>0</v>
      </c>
      <c r="D542" s="3" t="str">
        <f t="shared" si="226"/>
        <v>T_BAD_DEBT - Tenant Bad Debt Expense</v>
      </c>
      <c r="E542"/>
      <c r="F542" s="22" t="str">
        <f>_xll.EVDES(D542)</f>
        <v>Tenant Bad Debt Expense</v>
      </c>
      <c r="G542" s="18">
        <f ca="1">SUMIFS(OFFSET('BPC Data'!$F:$F,0,Summary!G$2),'BPC Data'!$E:$E,Summary!$D542,'BPC Data'!$B:$B,Summary!$C542)</f>
        <v>0</v>
      </c>
      <c r="H542" s="92">
        <f ca="1">SUMIFS(OFFSET('BPC Data'!$F:$F,0,Summary!H$2),'BPC Data'!$E:$E,Summary!$D542,'BPC Data'!$B:$B,Summary!$C542)</f>
        <v>0</v>
      </c>
      <c r="I542" s="18">
        <f ca="1">SUMIFS(OFFSET('BPC Data'!$F:$F,0,Summary!I$2),'BPC Data'!$E:$E,Summary!$D542,'BPC Data'!$B:$B,Summary!$C542)</f>
        <v>0</v>
      </c>
      <c r="J542" s="92">
        <f ca="1">SUMIFS(OFFSET('BPC Data'!$F:$F,0,Summary!J$2),'BPC Data'!$E:$E,Summary!$D542,'BPC Data'!$B:$B,Summary!$C542)</f>
        <v>0</v>
      </c>
      <c r="K542" s="18">
        <f ca="1">SUMIFS(OFFSET('BPC Data'!$F:$F,0,Summary!K$2),'BPC Data'!$E:$E,Summary!$D542,'BPC Data'!$B:$B,Summary!$C542)</f>
        <v>0</v>
      </c>
      <c r="L542" s="92">
        <f ca="1">SUMIFS(OFFSET('BPC Data'!$F:$F,0,Summary!L$2),'BPC Data'!$E:$E,Summary!$D542,'BPC Data'!$B:$B,Summary!$C542)</f>
        <v>0</v>
      </c>
      <c r="M542" s="32"/>
      <c r="N542" s="110"/>
      <c r="O542" s="106">
        <f t="shared" si="216"/>
        <v>0</v>
      </c>
    </row>
    <row r="543" spans="1:15" s="16" customFormat="1" hidden="1" outlineLevel="1" x14ac:dyDescent="0.25">
      <c r="A543" s="16">
        <f t="shared" si="225"/>
        <v>49</v>
      </c>
      <c r="B543"/>
      <c r="C543">
        <f>$F537</f>
        <v>0</v>
      </c>
      <c r="D543" s="2" t="str">
        <f t="shared" si="226"/>
        <v>T_EBITDARM - EBITDARM</v>
      </c>
      <c r="E543"/>
      <c r="F543" s="22" t="str">
        <f>_xll.EVDES(D543)</f>
        <v>EBITDARM</v>
      </c>
      <c r="G543" s="18">
        <f ca="1">SUMIFS(OFFSET('BPC Data'!$F:$F,0,Summary!G$2),'BPC Data'!$E:$E,Summary!$D543,'BPC Data'!$B:$B,Summary!$C543)</f>
        <v>0</v>
      </c>
      <c r="H543" s="92">
        <f ca="1">SUMIFS(OFFSET('BPC Data'!$F:$F,0,Summary!H$2),'BPC Data'!$E:$E,Summary!$D543,'BPC Data'!$B:$B,Summary!$C543)</f>
        <v>0</v>
      </c>
      <c r="I543" s="18">
        <f ca="1">SUMIFS(OFFSET('BPC Data'!$F:$F,0,Summary!I$2),'BPC Data'!$E:$E,Summary!$D543,'BPC Data'!$B:$B,Summary!$C543)</f>
        <v>0</v>
      </c>
      <c r="J543" s="92">
        <f ca="1">SUMIFS(OFFSET('BPC Data'!$F:$F,0,Summary!J$2),'BPC Data'!$E:$E,Summary!$D543,'BPC Data'!$B:$B,Summary!$C543)</f>
        <v>0</v>
      </c>
      <c r="K543" s="18">
        <f ca="1">SUMIFS(OFFSET('BPC Data'!$F:$F,0,Summary!K$2),'BPC Data'!$E:$E,Summary!$D543,'BPC Data'!$B:$B,Summary!$C543)</f>
        <v>0</v>
      </c>
      <c r="L543" s="92">
        <f ca="1">SUMIFS(OFFSET('BPC Data'!$F:$F,0,Summary!L$2),'BPC Data'!$E:$E,Summary!$D543,'BPC Data'!$B:$B,Summary!$C543)</f>
        <v>0</v>
      </c>
      <c r="M543" s="32"/>
      <c r="N543" s="110"/>
      <c r="O543" s="106">
        <f t="shared" si="216"/>
        <v>0</v>
      </c>
    </row>
    <row r="544" spans="1:15" s="16" customFormat="1" hidden="1" outlineLevel="1" x14ac:dyDescent="0.25">
      <c r="A544" s="16">
        <f t="shared" si="225"/>
        <v>49</v>
      </c>
      <c r="B544"/>
      <c r="C544">
        <f>$F537</f>
        <v>0</v>
      </c>
      <c r="D544" s="2" t="str">
        <f t="shared" si="226"/>
        <v>T_MGMT_FEE - Tenant Management Fee - Actual</v>
      </c>
      <c r="E544"/>
      <c r="F544" s="22" t="str">
        <f>_xll.EVDES(D544)</f>
        <v>Tenant Management Fee - Actual</v>
      </c>
      <c r="G544" s="18">
        <f ca="1">SUMIFS(OFFSET('BPC Data'!$F:$F,0,Summary!G$2),'BPC Data'!$E:$E,Summary!$D544,'BPC Data'!$B:$B,Summary!$C544)</f>
        <v>0</v>
      </c>
      <c r="H544" s="92">
        <f ca="1">SUMIFS(OFFSET('BPC Data'!$F:$F,0,Summary!H$2),'BPC Data'!$E:$E,Summary!$D544,'BPC Data'!$B:$B,Summary!$C544)</f>
        <v>0</v>
      </c>
      <c r="I544" s="18">
        <f ca="1">SUMIFS(OFFSET('BPC Data'!$F:$F,0,Summary!I$2),'BPC Data'!$E:$E,Summary!$D544,'BPC Data'!$B:$B,Summary!$C544)</f>
        <v>0</v>
      </c>
      <c r="J544" s="92">
        <f ca="1">SUMIFS(OFFSET('BPC Data'!$F:$F,0,Summary!J$2),'BPC Data'!$E:$E,Summary!$D544,'BPC Data'!$B:$B,Summary!$C544)</f>
        <v>0</v>
      </c>
      <c r="K544" s="18">
        <f ca="1">SUMIFS(OFFSET('BPC Data'!$F:$F,0,Summary!K$2),'BPC Data'!$E:$E,Summary!$D544,'BPC Data'!$B:$B,Summary!$C544)</f>
        <v>0</v>
      </c>
      <c r="L544" s="92">
        <f ca="1">SUMIFS(OFFSET('BPC Data'!$F:$F,0,Summary!L$2),'BPC Data'!$E:$E,Summary!$D544,'BPC Data'!$B:$B,Summary!$C544)</f>
        <v>0</v>
      </c>
      <c r="M544" s="32"/>
      <c r="N544" s="110"/>
      <c r="O544" s="106">
        <f t="shared" si="216"/>
        <v>0</v>
      </c>
    </row>
    <row r="545" spans="1:16" s="16" customFormat="1" hidden="1" outlineLevel="1" x14ac:dyDescent="0.25">
      <c r="A545" s="16">
        <f t="shared" si="225"/>
        <v>49</v>
      </c>
      <c r="B545"/>
      <c r="C545">
        <f>$F537</f>
        <v>0</v>
      </c>
      <c r="D545" s="1" t="str">
        <f t="shared" si="226"/>
        <v>T_EBITDAR - EBITDAR</v>
      </c>
      <c r="E545"/>
      <c r="F545" s="22" t="str">
        <f>_xll.EVDES(D545)</f>
        <v>EBITDAR</v>
      </c>
      <c r="G545" s="18">
        <f ca="1">SUMIFS(OFFSET('BPC Data'!$F:$F,0,Summary!G$2),'BPC Data'!$E:$E,Summary!$D545,'BPC Data'!$B:$B,Summary!$C545)</f>
        <v>0</v>
      </c>
      <c r="H545" s="92">
        <f ca="1">SUMIFS(OFFSET('BPC Data'!$F:$F,0,Summary!H$2),'BPC Data'!$E:$E,Summary!$D545,'BPC Data'!$B:$B,Summary!$C545)</f>
        <v>0</v>
      </c>
      <c r="I545" s="18">
        <f ca="1">SUMIFS(OFFSET('BPC Data'!$F:$F,0,Summary!I$2),'BPC Data'!$E:$E,Summary!$D545,'BPC Data'!$B:$B,Summary!$C545)</f>
        <v>0</v>
      </c>
      <c r="J545" s="92">
        <f ca="1">SUMIFS(OFFSET('BPC Data'!$F:$F,0,Summary!J$2),'BPC Data'!$E:$E,Summary!$D545,'BPC Data'!$B:$B,Summary!$C545)</f>
        <v>0</v>
      </c>
      <c r="K545" s="18">
        <f ca="1">SUMIFS(OFFSET('BPC Data'!$F:$F,0,Summary!K$2),'BPC Data'!$E:$E,Summary!$D545,'BPC Data'!$B:$B,Summary!$C545)</f>
        <v>0</v>
      </c>
      <c r="L545" s="92">
        <f ca="1">SUMIFS(OFFSET('BPC Data'!$F:$F,0,Summary!L$2),'BPC Data'!$E:$E,Summary!$D545,'BPC Data'!$B:$B,Summary!$C545)</f>
        <v>0</v>
      </c>
      <c r="M545" s="32"/>
      <c r="N545" s="110"/>
      <c r="O545" s="106">
        <f t="shared" si="216"/>
        <v>0</v>
      </c>
    </row>
    <row r="546" spans="1:16" s="16" customFormat="1" hidden="1" outlineLevel="1" x14ac:dyDescent="0.25">
      <c r="A546" s="16">
        <f t="shared" si="225"/>
        <v>49</v>
      </c>
      <c r="B546"/>
      <c r="C546">
        <f>$F537</f>
        <v>0</v>
      </c>
      <c r="D546" s="1" t="str">
        <f t="shared" si="226"/>
        <v>T_RENT_EXP - Tenant Rent Expense</v>
      </c>
      <c r="E546"/>
      <c r="F546" s="22" t="str">
        <f>_xll.EVDES(D546)</f>
        <v>Tenant Rent Expense</v>
      </c>
      <c r="G546" s="18">
        <f ca="1">SUMIFS(OFFSET('BPC Data'!$F:$F,0,Summary!G$2),'BPC Data'!$E:$E,Summary!$D546,'BPC Data'!$B:$B,Summary!$C546)</f>
        <v>0</v>
      </c>
      <c r="H546" s="92">
        <f ca="1">SUMIFS(OFFSET('BPC Data'!$F:$F,0,Summary!H$2),'BPC Data'!$E:$E,Summary!$D546,'BPC Data'!$B:$B,Summary!$C546)</f>
        <v>0</v>
      </c>
      <c r="I546" s="18">
        <f ca="1">SUMIFS(OFFSET('BPC Data'!$F:$F,0,Summary!I$2),'BPC Data'!$E:$E,Summary!$D546,'BPC Data'!$B:$B,Summary!$C546)</f>
        <v>0</v>
      </c>
      <c r="J546" s="92">
        <f ca="1">SUMIFS(OFFSET('BPC Data'!$F:$F,0,Summary!J$2),'BPC Data'!$E:$E,Summary!$D546,'BPC Data'!$B:$B,Summary!$C546)</f>
        <v>0</v>
      </c>
      <c r="K546" s="18">
        <f ca="1">SUMIFS(OFFSET('BPC Data'!$F:$F,0,Summary!K$2),'BPC Data'!$E:$E,Summary!$D546,'BPC Data'!$B:$B,Summary!$C546)</f>
        <v>0</v>
      </c>
      <c r="L546" s="92">
        <f ca="1">SUMIFS(OFFSET('BPC Data'!$F:$F,0,Summary!L$2),'BPC Data'!$E:$E,Summary!$D546,'BPC Data'!$B:$B,Summary!$C546)</f>
        <v>0</v>
      </c>
      <c r="M546" s="32"/>
      <c r="N546" s="110"/>
      <c r="O546" s="106">
        <f t="shared" si="216"/>
        <v>0</v>
      </c>
    </row>
    <row r="547" spans="1:16" s="16" customFormat="1" hidden="1" outlineLevel="1" x14ac:dyDescent="0.25">
      <c r="A547" s="16">
        <f t="shared" si="225"/>
        <v>49</v>
      </c>
      <c r="B547"/>
      <c r="C547"/>
      <c r="D547" s="1" t="str">
        <f t="shared" si="226"/>
        <v>x</v>
      </c>
      <c r="E547"/>
      <c r="F547" s="22" t="s">
        <v>0</v>
      </c>
      <c r="G547" s="11" t="e">
        <f t="shared" ref="G547:H547" ca="1" si="227">G545/G546</f>
        <v>#DIV/0!</v>
      </c>
      <c r="H547" s="93" t="e">
        <f t="shared" ca="1" si="227"/>
        <v>#DIV/0!</v>
      </c>
      <c r="I547" s="11" t="e">
        <f t="shared" ref="I547:J547" ca="1" si="228">I545/I546</f>
        <v>#DIV/0!</v>
      </c>
      <c r="J547" s="93" t="e">
        <f t="shared" ca="1" si="228"/>
        <v>#DIV/0!</v>
      </c>
      <c r="K547" s="11" t="e">
        <f t="shared" ref="K547:L547" ca="1" si="229">K545/K546</f>
        <v>#DIV/0!</v>
      </c>
      <c r="L547" s="93" t="e">
        <f t="shared" ca="1" si="229"/>
        <v>#DIV/0!</v>
      </c>
      <c r="M547" s="32"/>
      <c r="N547" s="110"/>
      <c r="O547" s="106">
        <f t="shared" si="216"/>
        <v>0</v>
      </c>
    </row>
    <row r="548" spans="1:16" s="7" customFormat="1" ht="13.5" hidden="1" customHeight="1" outlineLevel="1" x14ac:dyDescent="0.25">
      <c r="D548" s="4"/>
      <c r="F548" s="8"/>
      <c r="G548" s="17"/>
      <c r="H548" s="91"/>
      <c r="I548" s="17"/>
      <c r="J548" s="91"/>
      <c r="K548" s="17"/>
      <c r="L548" s="91"/>
      <c r="M548" s="32"/>
      <c r="N548" s="111"/>
      <c r="O548" s="106">
        <f t="shared" si="216"/>
        <v>0</v>
      </c>
    </row>
    <row r="549" spans="1:16" collapsed="1" x14ac:dyDescent="0.25">
      <c r="F549" s="21" t="str">
        <f>$F$4&amp;" Total"</f>
        <v>Health Systems - Nursing Care Total</v>
      </c>
      <c r="G549" s="12"/>
      <c r="H549" s="95"/>
      <c r="I549" s="12"/>
      <c r="J549" s="95"/>
      <c r="K549" s="12"/>
      <c r="L549" s="95"/>
      <c r="M549" s="32"/>
      <c r="O549" s="106"/>
      <c r="P549" s="6"/>
    </row>
    <row r="550" spans="1:16" x14ac:dyDescent="0.25">
      <c r="D550" s="3" t="str">
        <f>$D538</f>
        <v>PAY_PAT_DAYS - Total Payor Patient Days</v>
      </c>
      <c r="E550" s="22" t="s">
        <v>456</v>
      </c>
      <c r="F550" s="22" t="str">
        <f>_xll.EVDES(D550)</f>
        <v>Total Payor Patient Days</v>
      </c>
      <c r="G550" s="18">
        <f t="shared" ref="G550:L558" ca="1" si="230">SUMIFS(G$10:G$547,$F$10:$F$547,$F550)</f>
        <v>17189</v>
      </c>
      <c r="H550" s="92">
        <f t="shared" ca="1" si="230"/>
        <v>15583</v>
      </c>
      <c r="I550" s="18">
        <f t="shared" ca="1" si="230"/>
        <v>17067</v>
      </c>
      <c r="J550" s="92">
        <f t="shared" ca="1" si="230"/>
        <v>14749</v>
      </c>
      <c r="K550" s="18">
        <f t="shared" ca="1" si="230"/>
        <v>14972</v>
      </c>
      <c r="L550" s="92">
        <f t="shared" ca="1" si="230"/>
        <v>14461</v>
      </c>
      <c r="M550" s="32">
        <f ca="1">SUM(G550:L550)</f>
        <v>94021</v>
      </c>
      <c r="N550" s="112">
        <f>SUM(N10+N21+N32+N43+N54+N65+N76+N87+N98+N109+N120)</f>
        <v>94021</v>
      </c>
      <c r="O550" s="106">
        <f t="shared" ca="1" si="216"/>
        <v>0</v>
      </c>
    </row>
    <row r="551" spans="1:16" x14ac:dyDescent="0.25">
      <c r="D551" s="3" t="str">
        <f t="shared" ref="D551:D559" si="231">$D539</f>
        <v>A_BEDS_TOTAL - Total Available Beds</v>
      </c>
      <c r="E551" s="16"/>
      <c r="F551" s="22" t="str">
        <f>_xll.EVDES(D551)</f>
        <v>Total Available Beds</v>
      </c>
      <c r="G551" s="18">
        <f t="shared" ca="1" si="230"/>
        <v>913</v>
      </c>
      <c r="H551" s="92">
        <f t="shared" ca="1" si="230"/>
        <v>913</v>
      </c>
      <c r="I551" s="18">
        <f t="shared" ca="1" si="230"/>
        <v>913</v>
      </c>
      <c r="J551" s="92">
        <f t="shared" ca="1" si="230"/>
        <v>913</v>
      </c>
      <c r="K551" s="18">
        <f t="shared" ca="1" si="230"/>
        <v>913</v>
      </c>
      <c r="L551" s="92">
        <f t="shared" ca="1" si="230"/>
        <v>913</v>
      </c>
      <c r="M551" s="32">
        <f ca="1">SUM(L551)</f>
        <v>913</v>
      </c>
      <c r="N551" s="112"/>
      <c r="O551" s="106"/>
    </row>
    <row r="552" spans="1:16" x14ac:dyDescent="0.25">
      <c r="D552" s="3" t="str">
        <f t="shared" si="231"/>
        <v>T_REVENUES - Total Tenant Revenues</v>
      </c>
      <c r="E552" s="22" t="s">
        <v>461</v>
      </c>
      <c r="F552" s="22" t="str">
        <f>_xll.EVDES(D552)</f>
        <v>Total Tenant Revenues</v>
      </c>
      <c r="G552" s="18">
        <f t="shared" ca="1" si="230"/>
        <v>3377070.81</v>
      </c>
      <c r="H552" s="92">
        <f t="shared" ca="1" si="230"/>
        <v>3101372.8300000005</v>
      </c>
      <c r="I552" s="18">
        <f t="shared" ca="1" si="230"/>
        <v>3434903.09</v>
      </c>
      <c r="J552" s="92">
        <f t="shared" ca="1" si="230"/>
        <v>2939019.59</v>
      </c>
      <c r="K552" s="18">
        <f t="shared" ca="1" si="230"/>
        <v>3024442.6999999997</v>
      </c>
      <c r="L552" s="92">
        <f t="shared" ca="1" si="230"/>
        <v>2966696.02</v>
      </c>
      <c r="M552" s="32">
        <f t="shared" ref="M552:M558" ca="1" si="232">SUM(G552:L552)</f>
        <v>18843505.039999999</v>
      </c>
      <c r="N552" s="112" t="e">
        <f t="shared" ref="N552:N558" si="233">SUM(N12+N23+N34+N45+N56+N67+N78+N89+N100+N111+N122)</f>
        <v>#VALUE!</v>
      </c>
      <c r="O552" s="106" t="e">
        <f t="shared" ca="1" si="216"/>
        <v>#VALUE!</v>
      </c>
      <c r="P552" s="6"/>
    </row>
    <row r="553" spans="1:16" x14ac:dyDescent="0.25">
      <c r="D553" s="3" t="str">
        <f t="shared" si="231"/>
        <v>T_OPEX - Tenant Operating Expenses</v>
      </c>
      <c r="E553" t="s">
        <v>462</v>
      </c>
      <c r="F553" s="22" t="str">
        <f>_xll.EVDES(D553)</f>
        <v>Tenant Operating Expenses</v>
      </c>
      <c r="G553" s="18">
        <f t="shared" ca="1" si="230"/>
        <v>3011112.6799999997</v>
      </c>
      <c r="H553" s="92">
        <f t="shared" ca="1" si="230"/>
        <v>2764839.66</v>
      </c>
      <c r="I553" s="18">
        <f t="shared" ca="1" si="230"/>
        <v>3122813.47</v>
      </c>
      <c r="J553" s="92">
        <f t="shared" ca="1" si="230"/>
        <v>2665801.62</v>
      </c>
      <c r="K553" s="18">
        <f t="shared" ca="1" si="230"/>
        <v>2948119.3</v>
      </c>
      <c r="L553" s="92">
        <f t="shared" ca="1" si="230"/>
        <v>2697819.0599999996</v>
      </c>
      <c r="M553" s="32">
        <f t="shared" ca="1" si="232"/>
        <v>17210505.789999999</v>
      </c>
      <c r="N553" s="112">
        <f>SUM(N13+N24+N35++N46+N57+N68+N79+N90+N101+N112+N123)</f>
        <v>17210505.789999999</v>
      </c>
      <c r="O553" s="106">
        <f t="shared" ca="1" si="216"/>
        <v>0</v>
      </c>
      <c r="P553" s="6"/>
    </row>
    <row r="554" spans="1:16" x14ac:dyDescent="0.25">
      <c r="D554" s="3" t="str">
        <f t="shared" si="231"/>
        <v>T_BAD_DEBT - Tenant Bad Debt Expense</v>
      </c>
      <c r="E554" t="s">
        <v>150</v>
      </c>
      <c r="F554" s="22" t="str">
        <f>_xll.EVDES(D554)</f>
        <v>Tenant Bad Debt Expense</v>
      </c>
      <c r="G554" s="18">
        <f t="shared" ca="1" si="230"/>
        <v>91619.290000000008</v>
      </c>
      <c r="H554" s="92">
        <f t="shared" ca="1" si="230"/>
        <v>61568.29</v>
      </c>
      <c r="I554" s="18">
        <f t="shared" ca="1" si="230"/>
        <v>90650.14</v>
      </c>
      <c r="J554" s="92">
        <f t="shared" ca="1" si="230"/>
        <v>52465.79</v>
      </c>
      <c r="K554" s="18">
        <f t="shared" ca="1" si="230"/>
        <v>76519.92</v>
      </c>
      <c r="L554" s="92">
        <f t="shared" ca="1" si="230"/>
        <v>64508.79</v>
      </c>
      <c r="M554" s="32">
        <f t="shared" ca="1" si="232"/>
        <v>437332.22</v>
      </c>
      <c r="N554" s="112">
        <f>SUM(N14+N25+N36+N47+N58+N69+N80+N91+N102+N113+N124)</f>
        <v>437332.22</v>
      </c>
      <c r="O554" s="106">
        <f t="shared" ca="1" si="216"/>
        <v>0</v>
      </c>
    </row>
    <row r="555" spans="1:16" x14ac:dyDescent="0.25">
      <c r="D555" s="3" t="str">
        <f t="shared" si="231"/>
        <v>T_EBITDARM - EBITDARM</v>
      </c>
      <c r="F555" s="22" t="str">
        <f>_xll.EVDES(D555)</f>
        <v>EBITDARM</v>
      </c>
      <c r="G555" s="18">
        <f t="shared" ca="1" si="230"/>
        <v>365958.13</v>
      </c>
      <c r="H555" s="92">
        <f t="shared" ca="1" si="230"/>
        <v>336533.17000000033</v>
      </c>
      <c r="I555" s="18">
        <f t="shared" ca="1" si="230"/>
        <v>312089.62000000011</v>
      </c>
      <c r="J555" s="92">
        <f t="shared" ca="1" si="230"/>
        <v>273217.97000000015</v>
      </c>
      <c r="K555" s="18">
        <f t="shared" ca="1" si="230"/>
        <v>76323.400000000198</v>
      </c>
      <c r="L555" s="92">
        <f t="shared" ca="1" si="230"/>
        <v>268876.96000000002</v>
      </c>
      <c r="M555" s="32">
        <f t="shared" ca="1" si="232"/>
        <v>1632999.2500000007</v>
      </c>
      <c r="N555" s="112" t="e">
        <f t="shared" si="233"/>
        <v>#VALUE!</v>
      </c>
      <c r="O555" s="106" t="e">
        <f t="shared" ca="1" si="216"/>
        <v>#VALUE!</v>
      </c>
    </row>
    <row r="556" spans="1:16" x14ac:dyDescent="0.25">
      <c r="D556" s="3" t="str">
        <f t="shared" si="231"/>
        <v>T_MGMT_FEE - Tenant Management Fee - Actual</v>
      </c>
      <c r="F556" s="22" t="str">
        <f>_xll.EVDES(D556)</f>
        <v>Tenant Management Fee - Actual</v>
      </c>
      <c r="G556" s="18">
        <f t="shared" ca="1" si="230"/>
        <v>239674.43</v>
      </c>
      <c r="H556" s="92">
        <f t="shared" ca="1" si="230"/>
        <v>217896.02000000008</v>
      </c>
      <c r="I556" s="18">
        <f t="shared" ca="1" si="230"/>
        <v>240128.97999999998</v>
      </c>
      <c r="J556" s="92">
        <f t="shared" ca="1" si="230"/>
        <v>205417.48000000004</v>
      </c>
      <c r="K556" s="18">
        <f t="shared" ca="1" si="230"/>
        <v>211398.79</v>
      </c>
      <c r="L556" s="92">
        <f t="shared" ca="1" si="230"/>
        <v>206961.72999999998</v>
      </c>
      <c r="M556" s="32">
        <f t="shared" ca="1" si="232"/>
        <v>1321477.4300000002</v>
      </c>
      <c r="N556" s="112">
        <f t="shared" si="233"/>
        <v>1321477.43</v>
      </c>
      <c r="O556" s="106">
        <f t="shared" ca="1" si="216"/>
        <v>0</v>
      </c>
    </row>
    <row r="557" spans="1:16" x14ac:dyDescent="0.25">
      <c r="D557" s="3" t="str">
        <f t="shared" si="231"/>
        <v>T_EBITDAR - EBITDAR</v>
      </c>
      <c r="F557" s="22" t="str">
        <f>_xll.EVDES(D557)</f>
        <v>EBITDAR</v>
      </c>
      <c r="G557" s="18">
        <f t="shared" ca="1" si="230"/>
        <v>126283.70000000016</v>
      </c>
      <c r="H557" s="92">
        <f t="shared" ca="1" si="230"/>
        <v>118637.15000000023</v>
      </c>
      <c r="I557" s="18">
        <f t="shared" ca="1" si="230"/>
        <v>71960.640000000072</v>
      </c>
      <c r="J557" s="92">
        <f t="shared" ca="1" si="230"/>
        <v>67800.490000000093</v>
      </c>
      <c r="K557" s="18">
        <f t="shared" ca="1" si="230"/>
        <v>-135075.38999999978</v>
      </c>
      <c r="L557" s="92">
        <f t="shared" ca="1" si="230"/>
        <v>61915.229999999996</v>
      </c>
      <c r="M557" s="32">
        <f t="shared" ca="1" si="232"/>
        <v>311521.82000000076</v>
      </c>
      <c r="N557" s="112" t="e">
        <f t="shared" si="233"/>
        <v>#VALUE!</v>
      </c>
      <c r="O557" s="106" t="e">
        <f t="shared" ca="1" si="216"/>
        <v>#VALUE!</v>
      </c>
    </row>
    <row r="558" spans="1:16" x14ac:dyDescent="0.25">
      <c r="D558" s="3" t="str">
        <f t="shared" si="231"/>
        <v>T_RENT_EXP - Tenant Rent Expense</v>
      </c>
      <c r="F558" s="22" t="str">
        <f>_xll.EVDES(D558)</f>
        <v>Tenant Rent Expense</v>
      </c>
      <c r="G558" s="18">
        <f t="shared" ca="1" si="230"/>
        <v>516353.22</v>
      </c>
      <c r="H558" s="92">
        <f t="shared" ca="1" si="230"/>
        <v>513296.47999999986</v>
      </c>
      <c r="I558" s="18">
        <f t="shared" ca="1" si="230"/>
        <v>560244.80000000005</v>
      </c>
      <c r="J558" s="92">
        <f t="shared" ca="1" si="230"/>
        <v>536268.64</v>
      </c>
      <c r="K558" s="18">
        <f t="shared" ca="1" si="230"/>
        <v>536268.64</v>
      </c>
      <c r="L558" s="92">
        <f t="shared" ca="1" si="230"/>
        <v>538393.64</v>
      </c>
      <c r="M558" s="32">
        <f t="shared" ca="1" si="232"/>
        <v>3200825.4200000004</v>
      </c>
      <c r="N558" s="112">
        <f t="shared" si="233"/>
        <v>3200825.42</v>
      </c>
      <c r="O558" s="106">
        <f t="shared" ca="1" si="216"/>
        <v>0</v>
      </c>
    </row>
    <row r="559" spans="1:16" x14ac:dyDescent="0.25">
      <c r="D559" s="3" t="str">
        <f t="shared" si="231"/>
        <v>x</v>
      </c>
      <c r="F559" s="23" t="s">
        <v>0</v>
      </c>
      <c r="G559" s="13">
        <f t="shared" ref="G559:H559" ca="1" si="234">G557/G558</f>
        <v>0.24456843708653578</v>
      </c>
      <c r="H559" s="96">
        <f t="shared" ca="1" si="234"/>
        <v>0.23112792435280338</v>
      </c>
      <c r="I559" s="13">
        <f t="shared" ref="I559:J559" ca="1" si="235">I557/I558</f>
        <v>0.12844499404546025</v>
      </c>
      <c r="J559" s="96">
        <f t="shared" ca="1" si="235"/>
        <v>0.12643008548849713</v>
      </c>
      <c r="K559" s="13">
        <f t="shared" ref="K559:L559" ca="1" si="236">K557/K558</f>
        <v>-0.25188008383261007</v>
      </c>
      <c r="L559" s="96">
        <f t="shared" ca="1" si="236"/>
        <v>0.11499992830524521</v>
      </c>
      <c r="M559" s="32"/>
      <c r="N559" s="112"/>
    </row>
    <row r="560" spans="1:16" x14ac:dyDescent="0.25">
      <c r="N560" s="113"/>
    </row>
    <row r="561" spans="14:14" x14ac:dyDescent="0.25">
      <c r="N561" s="113"/>
    </row>
  </sheetData>
  <pageMargins left="0.2" right="0.2" top="0.75" bottom="0.75" header="0.3" footer="0.3"/>
  <pageSetup paperSize="119" scale="57" fitToHeight="10" orientation="landscape" r:id="rId1"/>
  <headerFooter>
    <oddFooter>&amp;C&amp;P</oddFooter>
  </headerFooter>
  <rowBreaks count="10" manualBreakCount="10">
    <brk id="63" min="5" max="11" man="1"/>
    <brk id="118" min="5" max="11" man="1"/>
    <brk id="162" min="5" max="11" man="1"/>
    <brk id="173" min="5" max="11" man="1"/>
    <brk id="228" min="5" max="11" man="1"/>
    <brk id="283" min="5" max="11" man="1"/>
    <brk id="338" min="5" max="11" man="1"/>
    <brk id="393" min="5" max="11" man="1"/>
    <brk id="448" min="5" max="11" man="1"/>
    <brk id="503" min="5" max="11" man="1"/>
  </rowBreaks>
  <customProperties>
    <customPr name="EpmWorksheetKeyString_GUID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2049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2049" r:id="rId6" name="FPMExcelClientSheetOptionstb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4C4D-BF62-4580-8349-B05356BE8F05}">
  <dimension ref="A1:L2"/>
  <sheetViews>
    <sheetView workbookViewId="0">
      <selection sqref="A1:N1"/>
    </sheetView>
  </sheetViews>
  <sheetFormatPr defaultRowHeight="15" x14ac:dyDescent="0.25"/>
  <sheetData>
    <row r="1" spans="1:12" x14ac:dyDescent="0.25">
      <c r="A1" t="s">
        <v>432</v>
      </c>
      <c r="B1" t="s">
        <v>431</v>
      </c>
      <c r="C1" t="s">
        <v>430</v>
      </c>
      <c r="D1" t="s">
        <v>428</v>
      </c>
      <c r="E1" t="s">
        <v>426</v>
      </c>
      <c r="F1" t="s">
        <v>427</v>
      </c>
      <c r="G1" t="s">
        <v>503</v>
      </c>
      <c r="H1" t="s">
        <v>406</v>
      </c>
      <c r="I1" t="s">
        <v>398</v>
      </c>
      <c r="J1" s="16" t="s">
        <v>397</v>
      </c>
      <c r="K1" s="16" t="s">
        <v>150</v>
      </c>
      <c r="L1" s="16" t="s">
        <v>492</v>
      </c>
    </row>
    <row r="2" spans="1:12" x14ac:dyDescent="0.25">
      <c r="J2" s="16"/>
      <c r="K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58"/>
  <sheetViews>
    <sheetView view="pageBreakPreview" zoomScale="60" zoomScaleNormal="56" workbookViewId="0">
      <selection activeCell="D67" sqref="D67"/>
    </sheetView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6.57031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436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29</v>
      </c>
      <c r="E6" s="74">
        <v>31</v>
      </c>
      <c r="F6" s="74">
        <v>30</v>
      </c>
      <c r="G6" s="74">
        <v>31</v>
      </c>
      <c r="H6" s="74">
        <v>30</v>
      </c>
      <c r="I6" s="74">
        <v>31</v>
      </c>
      <c r="J6" s="74">
        <v>31</v>
      </c>
      <c r="K6" s="74">
        <v>30</v>
      </c>
      <c r="L6" s="74">
        <v>31</v>
      </c>
      <c r="M6" s="74">
        <v>30</v>
      </c>
      <c r="N6" s="74">
        <v>31</v>
      </c>
      <c r="O6" s="74">
        <v>366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554.48387096774195</v>
      </c>
      <c r="D8" s="97">
        <v>537.34482758620686</v>
      </c>
      <c r="E8" s="97">
        <v>0</v>
      </c>
      <c r="F8" s="97">
        <v>0</v>
      </c>
      <c r="G8" s="97">
        <v>0</v>
      </c>
      <c r="H8" s="97">
        <v>0</v>
      </c>
      <c r="I8" s="97">
        <v>0</v>
      </c>
      <c r="J8" s="97">
        <v>0</v>
      </c>
      <c r="K8" s="97">
        <v>0</v>
      </c>
      <c r="L8" s="97">
        <v>0</v>
      </c>
      <c r="M8" s="97">
        <v>0</v>
      </c>
      <c r="N8" s="97">
        <v>0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2620</v>
      </c>
      <c r="D11" s="74">
        <v>2092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4712</v>
      </c>
    </row>
    <row r="12" spans="1:15" x14ac:dyDescent="0.25">
      <c r="A12" s="71" t="s">
        <v>42</v>
      </c>
      <c r="C12" s="74">
        <v>136</v>
      </c>
      <c r="D12" s="74">
        <v>79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215</v>
      </c>
    </row>
    <row r="13" spans="1:15" x14ac:dyDescent="0.25">
      <c r="A13" s="71" t="s">
        <v>43</v>
      </c>
      <c r="C13" s="74">
        <v>10530</v>
      </c>
      <c r="D13" s="74">
        <v>9910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20440</v>
      </c>
    </row>
    <row r="14" spans="1:15" x14ac:dyDescent="0.25">
      <c r="A14" s="71" t="s">
        <v>44</v>
      </c>
      <c r="C14" s="74">
        <v>406</v>
      </c>
      <c r="D14" s="74">
        <v>358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764</v>
      </c>
    </row>
    <row r="15" spans="1:15" x14ac:dyDescent="0.25">
      <c r="A15" s="71" t="s">
        <v>45</v>
      </c>
      <c r="C15" s="74">
        <v>10</v>
      </c>
      <c r="D15" s="74">
        <v>7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17</v>
      </c>
    </row>
    <row r="16" spans="1:15" x14ac:dyDescent="0.25">
      <c r="A16" s="71" t="s">
        <v>46</v>
      </c>
      <c r="C16" s="74">
        <v>779</v>
      </c>
      <c r="D16" s="74">
        <v>767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1546</v>
      </c>
    </row>
    <row r="17" spans="1:18" x14ac:dyDescent="0.25">
      <c r="A17" s="71" t="s">
        <v>47</v>
      </c>
      <c r="C17" s="74">
        <v>2124</v>
      </c>
      <c r="D17" s="74">
        <v>1878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4002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248</v>
      </c>
      <c r="D20" s="74">
        <v>224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472</v>
      </c>
    </row>
    <row r="21" spans="1:18" x14ac:dyDescent="0.25">
      <c r="A21" s="71" t="s">
        <v>51</v>
      </c>
      <c r="C21" s="74">
        <v>336</v>
      </c>
      <c r="D21" s="74">
        <v>268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604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17189</v>
      </c>
      <c r="D23" s="79">
        <v>15583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32772</v>
      </c>
      <c r="P23" s="86">
        <v>32772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3175528.4600000004</v>
      </c>
      <c r="D26" s="74">
        <v>2915462.8400000003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6090991.3000000007</v>
      </c>
      <c r="P26" s="86"/>
    </row>
    <row r="27" spans="1:18" x14ac:dyDescent="0.25">
      <c r="A27" s="71" t="s">
        <v>57</v>
      </c>
      <c r="C27" s="74">
        <v>188227.85</v>
      </c>
      <c r="D27" s="74">
        <v>172274.78000000003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360502.63</v>
      </c>
      <c r="P27" s="86"/>
    </row>
    <row r="28" spans="1:18" x14ac:dyDescent="0.25">
      <c r="A28" s="71" t="s">
        <v>58</v>
      </c>
      <c r="C28" s="74">
        <v>-78304.789999999994</v>
      </c>
      <c r="D28" s="74">
        <v>-47933.079999999994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-126237.87</v>
      </c>
      <c r="P28" s="86"/>
    </row>
    <row r="29" spans="1:18" ht="18.75" thickBot="1" x14ac:dyDescent="0.3">
      <c r="A29" s="71" t="s">
        <v>59</v>
      </c>
      <c r="C29" s="80">
        <v>3285451.5200000005</v>
      </c>
      <c r="D29" s="80">
        <v>3039804.54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6325256.0600000005</v>
      </c>
      <c r="P29" s="86">
        <v>6325256.0600000005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1322523.48</v>
      </c>
      <c r="D32" s="74">
        <v>1158530.1099999999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2481053.59</v>
      </c>
      <c r="P32" s="86"/>
    </row>
    <row r="33" spans="1:18" x14ac:dyDescent="0.25">
      <c r="A33" s="71" t="s">
        <v>62</v>
      </c>
      <c r="C33" s="74">
        <v>317591.12</v>
      </c>
      <c r="D33" s="74">
        <v>298070.99000000005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615662.1100000001</v>
      </c>
      <c r="P33" s="86"/>
    </row>
    <row r="34" spans="1:18" x14ac:dyDescent="0.25">
      <c r="A34" s="71" t="s">
        <v>57</v>
      </c>
      <c r="C34" s="74">
        <v>224516.38999999996</v>
      </c>
      <c r="D34" s="74">
        <v>207306.63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431823.01999999996</v>
      </c>
      <c r="P34" s="86"/>
    </row>
    <row r="35" spans="1:18" x14ac:dyDescent="0.25">
      <c r="A35" s="71" t="s">
        <v>63</v>
      </c>
      <c r="C35" s="74">
        <v>43376.61</v>
      </c>
      <c r="D35" s="74">
        <v>34976.659999999996</v>
      </c>
      <c r="E35" s="74">
        <v>0</v>
      </c>
      <c r="F35" s="74">
        <v>0</v>
      </c>
      <c r="G35" s="74">
        <v>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78353.26999999999</v>
      </c>
      <c r="P35" s="86"/>
    </row>
    <row r="36" spans="1:18" x14ac:dyDescent="0.25">
      <c r="A36" s="71" t="s">
        <v>64</v>
      </c>
      <c r="C36" s="74">
        <v>138266.71</v>
      </c>
      <c r="D36" s="74">
        <v>110880.02</v>
      </c>
      <c r="E36" s="74">
        <v>0</v>
      </c>
      <c r="F36" s="74">
        <v>0</v>
      </c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249146.72999999998</v>
      </c>
      <c r="P36" s="86"/>
    </row>
    <row r="37" spans="1:18" x14ac:dyDescent="0.25">
      <c r="A37" s="71" t="s">
        <v>65</v>
      </c>
      <c r="C37" s="74">
        <v>204263.90999999997</v>
      </c>
      <c r="D37" s="74">
        <v>241032.74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445296.64999999997</v>
      </c>
      <c r="P37" s="86"/>
    </row>
    <row r="38" spans="1:18" x14ac:dyDescent="0.25">
      <c r="A38" s="71" t="s">
        <v>66</v>
      </c>
      <c r="C38" s="74">
        <v>771541.70999999985</v>
      </c>
      <c r="D38" s="74">
        <v>733958.96999999986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1505500.6799999997</v>
      </c>
      <c r="P38" s="86"/>
    </row>
    <row r="39" spans="1:18" x14ac:dyDescent="0.25">
      <c r="A39" s="71" t="s">
        <v>67</v>
      </c>
      <c r="C39" s="74">
        <v>673476.39</v>
      </c>
      <c r="D39" s="74">
        <v>682483.66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1355960.05</v>
      </c>
      <c r="P39" s="86"/>
    </row>
    <row r="40" spans="1:18" ht="18.75" thickBot="1" x14ac:dyDescent="0.3">
      <c r="A40" s="71" t="s">
        <v>68</v>
      </c>
      <c r="C40" s="80">
        <v>3695556.3200000003</v>
      </c>
      <c r="D40" s="80">
        <v>3467239.78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7162796.0999999996</v>
      </c>
      <c r="P40" s="86">
        <v>7162796.0999999996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-410104.79999999981</v>
      </c>
      <c r="D41" s="81">
        <v>-427435.23999999976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-837540.03999999911</v>
      </c>
      <c r="P41" s="86">
        <v>-837540.03999999911</v>
      </c>
      <c r="Q41" s="86">
        <v>0</v>
      </c>
      <c r="R41" s="87"/>
    </row>
    <row r="42" spans="1:18" ht="18.75" thickTop="1" x14ac:dyDescent="0.25">
      <c r="A42" s="85" t="s">
        <v>475</v>
      </c>
      <c r="B42" s="85"/>
      <c r="C42" s="88">
        <v>0</v>
      </c>
      <c r="D42" s="88">
        <v>0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  <c r="O42" s="88">
        <v>0</v>
      </c>
      <c r="P42" s="86"/>
      <c r="Q42" s="86"/>
      <c r="R42" s="87"/>
    </row>
    <row r="43" spans="1:18" x14ac:dyDescent="0.25">
      <c r="A43" s="85" t="s">
        <v>476</v>
      </c>
      <c r="B43" s="85"/>
      <c r="C43" s="89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6"/>
      <c r="Q43" s="86"/>
      <c r="R43" s="87"/>
    </row>
    <row r="44" spans="1:18" x14ac:dyDescent="0.25">
      <c r="A44" s="85" t="s">
        <v>477</v>
      </c>
      <c r="B44" s="85"/>
      <c r="C44" s="88">
        <v>-410104.79999999981</v>
      </c>
      <c r="D44" s="88">
        <v>-427435.23999999976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8">
        <v>0</v>
      </c>
      <c r="L44" s="88">
        <v>0</v>
      </c>
      <c r="M44" s="88">
        <v>0</v>
      </c>
      <c r="N44" s="88">
        <v>0</v>
      </c>
      <c r="O44" s="88">
        <v>-837540.03999999911</v>
      </c>
      <c r="P44" s="86"/>
      <c r="Q44" s="86"/>
      <c r="R44" s="87"/>
    </row>
    <row r="45" spans="1:18" x14ac:dyDescent="0.25">
      <c r="C45" s="74"/>
      <c r="D45" s="74"/>
      <c r="E45" s="74"/>
      <c r="F45" s="74"/>
      <c r="G45" s="74"/>
      <c r="H45" s="75" t="s">
        <v>436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4"/>
      <c r="D46" s="74"/>
      <c r="E46" s="74"/>
      <c r="F46" s="74"/>
      <c r="G46" s="74"/>
      <c r="H46" s="76" t="s">
        <v>70</v>
      </c>
      <c r="I46" s="74"/>
      <c r="J46" s="74"/>
      <c r="K46" s="74"/>
      <c r="L46" s="74"/>
      <c r="M46" s="74"/>
      <c r="N46" s="74"/>
      <c r="O46" s="74"/>
    </row>
    <row r="47" spans="1:18" x14ac:dyDescent="0.25">
      <c r="B47" s="84"/>
      <c r="C47" s="74"/>
      <c r="D47" s="74"/>
      <c r="E47" s="74"/>
      <c r="F47" s="74"/>
      <c r="G47" s="74"/>
      <c r="H47" s="77">
        <v>2022</v>
      </c>
      <c r="I47" s="74"/>
      <c r="J47" s="74"/>
      <c r="K47" s="74"/>
      <c r="L47" s="74"/>
      <c r="M47" s="74"/>
      <c r="N47" s="74"/>
      <c r="O47" s="74"/>
    </row>
    <row r="48" spans="1:18" x14ac:dyDescent="0.25">
      <c r="B48" s="84"/>
      <c r="C48" s="74"/>
      <c r="D48" s="74"/>
      <c r="E48" s="74"/>
      <c r="F48" s="74"/>
      <c r="G48" s="74"/>
      <c r="H48" s="75"/>
      <c r="I48" s="74"/>
      <c r="J48" s="74"/>
      <c r="K48" s="74"/>
      <c r="L48" s="74"/>
      <c r="M48" s="74"/>
      <c r="N48" s="74"/>
      <c r="O48" s="74"/>
    </row>
    <row r="49" spans="1:15" x14ac:dyDescent="0.25">
      <c r="C49" s="78" t="s">
        <v>25</v>
      </c>
      <c r="D49" s="78" t="s">
        <v>26</v>
      </c>
      <c r="E49" s="78" t="s">
        <v>27</v>
      </c>
      <c r="F49" s="78" t="s">
        <v>28</v>
      </c>
      <c r="G49" s="78" t="s">
        <v>29</v>
      </c>
      <c r="H49" s="78" t="s">
        <v>30</v>
      </c>
      <c r="I49" s="78" t="s">
        <v>31</v>
      </c>
      <c r="J49" s="78" t="s">
        <v>32</v>
      </c>
      <c r="K49" s="78" t="s">
        <v>33</v>
      </c>
      <c r="L49" s="78" t="s">
        <v>34</v>
      </c>
      <c r="M49" s="78" t="s">
        <v>35</v>
      </c>
      <c r="N49" s="78" t="s">
        <v>36</v>
      </c>
      <c r="O49" s="78" t="s">
        <v>37</v>
      </c>
    </row>
    <row r="50" spans="1:15" x14ac:dyDescent="0.25">
      <c r="A50" s="71" t="s">
        <v>71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1:15" x14ac:dyDescent="0.25">
      <c r="A51" s="71" t="s">
        <v>72</v>
      </c>
      <c r="B51" s="82"/>
      <c r="C51" s="74">
        <v>1852381.1099999999</v>
      </c>
      <c r="D51" s="74">
        <v>1730605.78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3582986.8899999997</v>
      </c>
    </row>
    <row r="52" spans="1:15" x14ac:dyDescent="0.25">
      <c r="A52" s="71" t="s">
        <v>73</v>
      </c>
      <c r="B52" s="82"/>
      <c r="C52" s="74">
        <v>41223.590000000004</v>
      </c>
      <c r="D52" s="74">
        <v>50574.79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91798.38</v>
      </c>
    </row>
    <row r="53" spans="1:15" x14ac:dyDescent="0.25">
      <c r="A53" s="71" t="s">
        <v>74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75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76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77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78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79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80</v>
      </c>
      <c r="B59" s="82"/>
      <c r="C59" s="74">
        <v>3627</v>
      </c>
      <c r="D59" s="74">
        <v>17088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20715</v>
      </c>
    </row>
    <row r="60" spans="1:15" x14ac:dyDescent="0.25">
      <c r="A60" s="71" t="s">
        <v>81</v>
      </c>
      <c r="B60" s="82"/>
      <c r="C60" s="74">
        <v>0</v>
      </c>
      <c r="D60" s="74">
        <v>1644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1644</v>
      </c>
    </row>
    <row r="61" spans="1:15" x14ac:dyDescent="0.25">
      <c r="A61" s="71" t="s">
        <v>82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83</v>
      </c>
      <c r="B62" s="82"/>
      <c r="C62" s="74">
        <v>-134.55000000000001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-134.55000000000001</v>
      </c>
    </row>
    <row r="63" spans="1:15" x14ac:dyDescent="0.25">
      <c r="A63" s="71" t="s">
        <v>84</v>
      </c>
      <c r="B63" s="82"/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</row>
    <row r="64" spans="1:15" x14ac:dyDescent="0.25">
      <c r="A64" s="71" t="s">
        <v>85</v>
      </c>
      <c r="B64" s="82"/>
      <c r="C64" s="74">
        <v>312000</v>
      </c>
      <c r="D64" s="74">
        <v>272800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584800</v>
      </c>
    </row>
    <row r="65" spans="1:15" x14ac:dyDescent="0.25">
      <c r="A65" s="71" t="s">
        <v>86</v>
      </c>
      <c r="B65" s="82"/>
      <c r="C65" s="74">
        <v>61094.58</v>
      </c>
      <c r="D65" s="74">
        <v>41656.410000000003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102750.99</v>
      </c>
    </row>
    <row r="66" spans="1:15" x14ac:dyDescent="0.25">
      <c r="A66" s="71" t="s">
        <v>87</v>
      </c>
      <c r="B66" s="82"/>
      <c r="C66" s="74">
        <v>71202.13</v>
      </c>
      <c r="D66" s="74">
        <v>38844.97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110047.1</v>
      </c>
    </row>
    <row r="67" spans="1:15" x14ac:dyDescent="0.25">
      <c r="A67" s="71" t="s">
        <v>88</v>
      </c>
      <c r="B67" s="82"/>
      <c r="C67" s="74">
        <v>65570.850000000006</v>
      </c>
      <c r="D67" s="74">
        <v>36852.950000000004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102423.80000000002</v>
      </c>
    </row>
    <row r="68" spans="1:15" x14ac:dyDescent="0.25">
      <c r="A68" s="71" t="s">
        <v>89</v>
      </c>
      <c r="B68" s="82"/>
      <c r="C68" s="74">
        <v>27294.04</v>
      </c>
      <c r="D68" s="74">
        <v>16351.82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43645.86</v>
      </c>
    </row>
    <row r="69" spans="1:15" x14ac:dyDescent="0.25">
      <c r="A69" s="71" t="s">
        <v>90</v>
      </c>
      <c r="B69" s="82"/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5">
      <c r="A70" s="71" t="s">
        <v>91</v>
      </c>
      <c r="B70" s="82"/>
      <c r="C70" s="74">
        <v>15377.320000000003</v>
      </c>
      <c r="D70" s="74">
        <v>19974.05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35351.370000000003</v>
      </c>
    </row>
    <row r="71" spans="1:15" x14ac:dyDescent="0.25">
      <c r="A71" s="71" t="s">
        <v>92</v>
      </c>
      <c r="B71" s="82"/>
      <c r="C71" s="74">
        <v>654.66</v>
      </c>
      <c r="D71" s="74">
        <v>1003.1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1657.76</v>
      </c>
    </row>
    <row r="72" spans="1:15" x14ac:dyDescent="0.25">
      <c r="A72" s="71" t="s">
        <v>93</v>
      </c>
      <c r="B72" s="82"/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5">
      <c r="A73" s="71" t="s">
        <v>94</v>
      </c>
      <c r="B73" s="82"/>
      <c r="C73" s="74">
        <v>1895.0700000000002</v>
      </c>
      <c r="D73" s="74">
        <v>1190.97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3086.04</v>
      </c>
    </row>
    <row r="74" spans="1:15" x14ac:dyDescent="0.25">
      <c r="A74" s="71" t="s">
        <v>95</v>
      </c>
      <c r="B74" s="82"/>
      <c r="C74" s="74">
        <v>324</v>
      </c>
      <c r="D74" s="74">
        <v>843.75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1167.75</v>
      </c>
    </row>
    <row r="75" spans="1:15" x14ac:dyDescent="0.25">
      <c r="A75" s="71" t="s">
        <v>96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437</v>
      </c>
      <c r="B76" s="82"/>
      <c r="C76" s="74">
        <v>56.25</v>
      </c>
      <c r="D76" s="74">
        <v>112.5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168.75</v>
      </c>
    </row>
    <row r="77" spans="1:15" x14ac:dyDescent="0.25">
      <c r="A77" s="71" t="s">
        <v>97</v>
      </c>
      <c r="B77" s="82"/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5">
      <c r="A78" s="71" t="s">
        <v>98</v>
      </c>
      <c r="B78" s="82"/>
      <c r="C78" s="74">
        <v>45700</v>
      </c>
      <c r="D78" s="74">
        <v>45700</v>
      </c>
      <c r="E78" s="74">
        <v>0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91400</v>
      </c>
    </row>
    <row r="79" spans="1:15" x14ac:dyDescent="0.25">
      <c r="A79" s="71" t="s">
        <v>99</v>
      </c>
      <c r="B79" s="82"/>
      <c r="C79" s="74">
        <v>-182374.32</v>
      </c>
      <c r="D79" s="74">
        <v>-115174.11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-297548.43</v>
      </c>
    </row>
    <row r="80" spans="1:15" x14ac:dyDescent="0.25">
      <c r="A80" s="71" t="s">
        <v>100</v>
      </c>
      <c r="B80" s="82"/>
      <c r="C80" s="74">
        <v>-4860.3899999999994</v>
      </c>
      <c r="D80" s="74">
        <v>-783.20999999999992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-5643.5999999999995</v>
      </c>
    </row>
    <row r="81" spans="1:15" x14ac:dyDescent="0.25">
      <c r="A81" s="71" t="s">
        <v>101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475</v>
      </c>
      <c r="B82" s="82"/>
      <c r="C82" s="74">
        <v>0</v>
      </c>
      <c r="D82" s="74">
        <v>0</v>
      </c>
      <c r="E82" s="74">
        <v>0</v>
      </c>
      <c r="F82" s="74">
        <v>0</v>
      </c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</row>
    <row r="83" spans="1:15" x14ac:dyDescent="0.25">
      <c r="A83" s="71" t="s">
        <v>102</v>
      </c>
      <c r="B83" s="82"/>
      <c r="C83" s="74">
        <v>401731</v>
      </c>
      <c r="D83" s="74">
        <v>366898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768629</v>
      </c>
    </row>
    <row r="84" spans="1:15" x14ac:dyDescent="0.25">
      <c r="A84" s="71" t="s">
        <v>103</v>
      </c>
      <c r="B84" s="82"/>
      <c r="C84" s="74">
        <v>67505.64</v>
      </c>
      <c r="D84" s="74">
        <v>37672.46</v>
      </c>
      <c r="E84" s="74">
        <v>0</v>
      </c>
      <c r="F84" s="74">
        <v>0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105178.1</v>
      </c>
    </row>
    <row r="85" spans="1:15" x14ac:dyDescent="0.25">
      <c r="A85" s="71" t="s">
        <v>438</v>
      </c>
      <c r="B85" s="82"/>
      <c r="C85" s="74">
        <v>-113398.79000000001</v>
      </c>
      <c r="D85" s="74">
        <v>-98973.64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-212372.43</v>
      </c>
    </row>
    <row r="86" spans="1:15" x14ac:dyDescent="0.25">
      <c r="A86" s="71" t="s">
        <v>439</v>
      </c>
      <c r="B86" s="82"/>
      <c r="C86" s="74">
        <v>4955.83</v>
      </c>
      <c r="D86" s="74">
        <v>8049.6900000000005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13005.52</v>
      </c>
    </row>
    <row r="87" spans="1:15" x14ac:dyDescent="0.25">
      <c r="A87" s="71" t="s">
        <v>104</v>
      </c>
      <c r="B87" s="82"/>
      <c r="C87" s="74">
        <v>44670</v>
      </c>
      <c r="D87" s="74">
        <v>54060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98730</v>
      </c>
    </row>
    <row r="88" spans="1:15" x14ac:dyDescent="0.25">
      <c r="A88" s="71" t="s">
        <v>105</v>
      </c>
      <c r="B88" s="82"/>
      <c r="C88" s="74">
        <v>204.98999999999998</v>
      </c>
      <c r="D88" s="74">
        <v>66.239999999999995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271.22999999999996</v>
      </c>
    </row>
    <row r="89" spans="1:15" x14ac:dyDescent="0.25">
      <c r="A89" s="71" t="s">
        <v>440</v>
      </c>
      <c r="B89" s="82"/>
      <c r="C89" s="74">
        <v>135.43</v>
      </c>
      <c r="D89" s="74">
        <v>311.52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446.95</v>
      </c>
    </row>
    <row r="90" spans="1:15" x14ac:dyDescent="0.25">
      <c r="A90" s="71" t="s">
        <v>441</v>
      </c>
      <c r="B90" s="82"/>
      <c r="C90" s="74">
        <v>0</v>
      </c>
      <c r="D90" s="74">
        <v>432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432</v>
      </c>
    </row>
    <row r="91" spans="1:15" x14ac:dyDescent="0.25">
      <c r="A91" s="71" t="s">
        <v>106</v>
      </c>
      <c r="B91" s="82"/>
      <c r="C91" s="74">
        <v>19840</v>
      </c>
      <c r="D91" s="74">
        <v>17920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37760</v>
      </c>
    </row>
    <row r="92" spans="1:15" x14ac:dyDescent="0.25">
      <c r="A92" s="71" t="s">
        <v>107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108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109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110</v>
      </c>
      <c r="B95" s="82"/>
      <c r="C95" s="74">
        <v>600</v>
      </c>
      <c r="D95" s="74">
        <v>-1039.18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-439.18000000000006</v>
      </c>
    </row>
    <row r="96" spans="1:15" x14ac:dyDescent="0.25">
      <c r="A96" s="71" t="s">
        <v>111</v>
      </c>
      <c r="B96" s="82"/>
      <c r="C96" s="74">
        <v>372328.82999999996</v>
      </c>
      <c r="D96" s="74">
        <v>318702.73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691031.55999999994</v>
      </c>
    </row>
    <row r="97" spans="1:16" x14ac:dyDescent="0.25">
      <c r="A97" s="71" t="s">
        <v>112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113</v>
      </c>
      <c r="B98" s="82"/>
      <c r="C98" s="74">
        <v>2439.94</v>
      </c>
      <c r="D98" s="74">
        <v>1561.76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4001.7</v>
      </c>
    </row>
    <row r="99" spans="1:16" x14ac:dyDescent="0.25">
      <c r="A99" s="71" t="s">
        <v>114</v>
      </c>
      <c r="B99" s="82"/>
      <c r="C99" s="74">
        <v>-524.25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-524.25</v>
      </c>
    </row>
    <row r="100" spans="1:16" x14ac:dyDescent="0.25">
      <c r="A100" s="71" t="s">
        <v>115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116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117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118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119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120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121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122</v>
      </c>
      <c r="B107" s="82"/>
      <c r="C107" s="74">
        <v>63171.37</v>
      </c>
      <c r="D107" s="74">
        <v>50922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114093.37</v>
      </c>
    </row>
    <row r="108" spans="1:16" x14ac:dyDescent="0.25">
      <c r="A108" s="71" t="s">
        <v>123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124</v>
      </c>
      <c r="B109" s="82"/>
      <c r="C109" s="74">
        <v>0</v>
      </c>
      <c r="D109" s="74">
        <v>0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</row>
    <row r="110" spans="1:16" x14ac:dyDescent="0.25">
      <c r="A110" s="71" t="s">
        <v>125</v>
      </c>
      <c r="B110" s="82"/>
      <c r="C110" s="74">
        <v>287.08</v>
      </c>
      <c r="D110" s="74">
        <v>143.54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430.62</v>
      </c>
    </row>
    <row r="111" spans="1:16" x14ac:dyDescent="0.25">
      <c r="A111" s="71" t="s">
        <v>126</v>
      </c>
      <c r="B111" s="82"/>
      <c r="C111" s="74">
        <v>550.04999999999995</v>
      </c>
      <c r="D111" s="74">
        <v>-550.04999999999995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</row>
    <row r="112" spans="1:16" x14ac:dyDescent="0.25">
      <c r="A112" s="71" t="s">
        <v>127</v>
      </c>
      <c r="B112" s="82"/>
      <c r="C112" s="83">
        <v>3175528.4600000004</v>
      </c>
      <c r="D112" s="83">
        <v>2915462.8400000003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3">
        <v>6090991.3000000007</v>
      </c>
      <c r="P112" s="86">
        <v>0</v>
      </c>
    </row>
    <row r="113" spans="1:15" x14ac:dyDescent="0.25">
      <c r="A113" s="71" t="s">
        <v>54</v>
      </c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128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5" x14ac:dyDescent="0.25">
      <c r="A115" s="71" t="s">
        <v>129</v>
      </c>
      <c r="B115" s="74"/>
      <c r="C115" s="74">
        <v>47900.83</v>
      </c>
      <c r="D115" s="74">
        <v>41593.61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89494.44</v>
      </c>
    </row>
    <row r="116" spans="1:15" x14ac:dyDescent="0.25">
      <c r="A116" s="71" t="s">
        <v>130</v>
      </c>
      <c r="B116" s="74"/>
      <c r="C116" s="74">
        <v>37679.599999999999</v>
      </c>
      <c r="D116" s="74">
        <v>41407.509999999995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79087.109999999986</v>
      </c>
    </row>
    <row r="117" spans="1:15" x14ac:dyDescent="0.25">
      <c r="A117" s="71" t="s">
        <v>131</v>
      </c>
      <c r="B117" s="74"/>
      <c r="C117" s="74">
        <v>2461.8100000000004</v>
      </c>
      <c r="D117" s="74">
        <v>3705.4399999999996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6167.25</v>
      </c>
    </row>
    <row r="118" spans="1:15" x14ac:dyDescent="0.25">
      <c r="A118" s="71" t="s">
        <v>442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132</v>
      </c>
      <c r="B119" s="74"/>
      <c r="C119" s="74">
        <v>0</v>
      </c>
      <c r="D119" s="74">
        <v>525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525</v>
      </c>
    </row>
    <row r="120" spans="1:15" x14ac:dyDescent="0.25">
      <c r="A120" s="71" t="s">
        <v>133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134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443</v>
      </c>
      <c r="B122" s="74"/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</row>
    <row r="123" spans="1:15" x14ac:dyDescent="0.25">
      <c r="A123" s="71" t="s">
        <v>135</v>
      </c>
      <c r="B123" s="74"/>
      <c r="C123" s="74">
        <v>-38530.11</v>
      </c>
      <c r="D123" s="74">
        <v>-39313.539999999994</v>
      </c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-77843.649999999994</v>
      </c>
    </row>
    <row r="124" spans="1:15" x14ac:dyDescent="0.25">
      <c r="A124" s="71" t="s">
        <v>136</v>
      </c>
      <c r="B124" s="74"/>
      <c r="C124" s="74">
        <v>-582.19000000000005</v>
      </c>
      <c r="D124" s="74">
        <v>-3474.6899999999996</v>
      </c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-4056.8799999999997</v>
      </c>
    </row>
    <row r="125" spans="1:15" x14ac:dyDescent="0.25">
      <c r="A125" s="71" t="s">
        <v>137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138</v>
      </c>
      <c r="B126" s="74"/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5">
      <c r="A127" s="71" t="s">
        <v>444</v>
      </c>
      <c r="B127" s="74"/>
      <c r="C127" s="74">
        <v>27631.17</v>
      </c>
      <c r="D127" s="74">
        <v>31282.09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58913.259999999995</v>
      </c>
    </row>
    <row r="128" spans="1:15" x14ac:dyDescent="0.25">
      <c r="A128" s="71" t="s">
        <v>445</v>
      </c>
      <c r="B128" s="74"/>
      <c r="C128" s="74">
        <v>21552.880000000001</v>
      </c>
      <c r="D128" s="74">
        <v>23880.97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45433.850000000006</v>
      </c>
    </row>
    <row r="129" spans="1:16" x14ac:dyDescent="0.25">
      <c r="A129" s="71" t="s">
        <v>446</v>
      </c>
      <c r="B129" s="74"/>
      <c r="C129" s="74">
        <v>3356.24</v>
      </c>
      <c r="D129" s="74">
        <v>4294.93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7651.17</v>
      </c>
    </row>
    <row r="130" spans="1:16" x14ac:dyDescent="0.25">
      <c r="A130" s="71" t="s">
        <v>447</v>
      </c>
      <c r="B130" s="74"/>
      <c r="C130" s="74">
        <v>-22572.38</v>
      </c>
      <c r="D130" s="74">
        <v>-23223.910000000003</v>
      </c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-45796.290000000008</v>
      </c>
    </row>
    <row r="131" spans="1:16" x14ac:dyDescent="0.25">
      <c r="A131" s="71" t="s">
        <v>139</v>
      </c>
      <c r="B131" s="74"/>
      <c r="C131" s="74">
        <v>50916.15</v>
      </c>
      <c r="D131" s="74">
        <v>39210.910000000003</v>
      </c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90127.06</v>
      </c>
    </row>
    <row r="132" spans="1:16" x14ac:dyDescent="0.25">
      <c r="A132" s="71" t="s">
        <v>140</v>
      </c>
      <c r="B132" s="74"/>
      <c r="C132" s="74">
        <v>49446.34</v>
      </c>
      <c r="D132" s="74">
        <v>41385.9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90832.239999999991</v>
      </c>
    </row>
    <row r="133" spans="1:16" x14ac:dyDescent="0.25">
      <c r="A133" s="71" t="s">
        <v>141</v>
      </c>
      <c r="B133" s="74"/>
      <c r="C133" s="74">
        <v>8967.5099999999984</v>
      </c>
      <c r="D133" s="74">
        <v>11000.56</v>
      </c>
      <c r="E133" s="74">
        <v>0</v>
      </c>
      <c r="F133" s="74">
        <v>0</v>
      </c>
      <c r="G133" s="74">
        <v>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19968.07</v>
      </c>
    </row>
    <row r="134" spans="1:16" x14ac:dyDescent="0.25">
      <c r="A134" s="71" t="s">
        <v>142</v>
      </c>
      <c r="C134" s="83">
        <v>188227.85</v>
      </c>
      <c r="D134" s="83">
        <v>172274.78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0</v>
      </c>
      <c r="L134" s="83">
        <v>0</v>
      </c>
      <c r="M134" s="83">
        <v>0</v>
      </c>
      <c r="N134" s="83">
        <v>0</v>
      </c>
      <c r="O134" s="83">
        <v>360502.62999999995</v>
      </c>
      <c r="P134" s="86">
        <v>0</v>
      </c>
    </row>
    <row r="135" spans="1:16" x14ac:dyDescent="0.25">
      <c r="A135" s="71" t="s">
        <v>54</v>
      </c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143</v>
      </c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</row>
    <row r="137" spans="1:16" x14ac:dyDescent="0.25">
      <c r="A137" s="71" t="s">
        <v>144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145</v>
      </c>
      <c r="B138" s="74"/>
      <c r="C138" s="74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</row>
    <row r="139" spans="1:16" x14ac:dyDescent="0.25">
      <c r="A139" s="71" t="s">
        <v>146</v>
      </c>
      <c r="B139" s="74"/>
      <c r="C139" s="74">
        <v>2642</v>
      </c>
      <c r="D139" s="74">
        <v>2487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5129</v>
      </c>
    </row>
    <row r="140" spans="1:16" x14ac:dyDescent="0.25">
      <c r="A140" s="71" t="s">
        <v>147</v>
      </c>
      <c r="B140" s="74"/>
      <c r="C140" s="74">
        <v>0.22</v>
      </c>
      <c r="D140" s="74">
        <v>15.43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15.65</v>
      </c>
    </row>
    <row r="141" spans="1:16" x14ac:dyDescent="0.25">
      <c r="A141" s="71" t="s">
        <v>148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149</v>
      </c>
      <c r="B142" s="74"/>
      <c r="C142" s="74">
        <v>59.2</v>
      </c>
      <c r="D142" s="74">
        <v>75.2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134.4</v>
      </c>
    </row>
    <row r="143" spans="1:16" x14ac:dyDescent="0.25">
      <c r="A143" s="71" t="s">
        <v>150</v>
      </c>
      <c r="B143" s="74"/>
      <c r="C143" s="74">
        <v>-36711.289999999994</v>
      </c>
      <c r="D143" s="74">
        <v>-36711.289999999994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-73422.579999999987</v>
      </c>
    </row>
    <row r="144" spans="1:16" x14ac:dyDescent="0.25">
      <c r="A144" s="71" t="s">
        <v>151</v>
      </c>
      <c r="B144" s="74"/>
      <c r="C144" s="74">
        <v>-54908</v>
      </c>
      <c r="D144" s="74">
        <v>-24857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-79765</v>
      </c>
    </row>
    <row r="145" spans="1:16" x14ac:dyDescent="0.25">
      <c r="A145" s="71" t="s">
        <v>476</v>
      </c>
      <c r="B145" s="74"/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6" x14ac:dyDescent="0.25">
      <c r="A146" s="71" t="s">
        <v>152</v>
      </c>
      <c r="B146" s="74"/>
      <c r="C146" s="74">
        <v>10613.079999999998</v>
      </c>
      <c r="D146" s="74">
        <v>11057.58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21670.659999999996</v>
      </c>
    </row>
    <row r="147" spans="1:16" x14ac:dyDescent="0.25">
      <c r="A147" s="71" t="s">
        <v>153</v>
      </c>
      <c r="B147" s="74"/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x14ac:dyDescent="0.25">
      <c r="A148" s="71" t="s">
        <v>476</v>
      </c>
      <c r="B148" s="74"/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</row>
    <row r="149" spans="1:16" x14ac:dyDescent="0.25">
      <c r="A149" s="71" t="s">
        <v>154</v>
      </c>
      <c r="C149" s="83">
        <v>-78304.789999999994</v>
      </c>
      <c r="D149" s="83">
        <v>-47933.079999999994</v>
      </c>
      <c r="E149" s="83">
        <v>0</v>
      </c>
      <c r="F149" s="83">
        <v>0</v>
      </c>
      <c r="G149" s="83">
        <v>0</v>
      </c>
      <c r="H149" s="83">
        <v>0</v>
      </c>
      <c r="I149" s="83">
        <v>0</v>
      </c>
      <c r="J149" s="83">
        <v>0</v>
      </c>
      <c r="K149" s="83">
        <v>0</v>
      </c>
      <c r="L149" s="83">
        <v>0</v>
      </c>
      <c r="M149" s="83">
        <v>0</v>
      </c>
      <c r="N149" s="83">
        <v>0</v>
      </c>
      <c r="O149" s="83">
        <v>-126237.86999999997</v>
      </c>
      <c r="P149" s="86">
        <v>0</v>
      </c>
    </row>
    <row r="150" spans="1:16" x14ac:dyDescent="0.25">
      <c r="A150" s="71" t="s">
        <v>54</v>
      </c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</row>
    <row r="151" spans="1:16" ht="18.75" thickBot="1" x14ac:dyDescent="0.3">
      <c r="A151" s="85" t="s">
        <v>59</v>
      </c>
      <c r="B151" s="85"/>
      <c r="C151" s="81">
        <v>3285451.5200000005</v>
      </c>
      <c r="D151" s="81">
        <v>3039804.5400000005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6325256.0600000005</v>
      </c>
      <c r="P151" s="87">
        <v>0</v>
      </c>
    </row>
    <row r="152" spans="1:16" ht="18.75" thickTop="1" x14ac:dyDescent="0.25">
      <c r="C152" s="74"/>
      <c r="D152" s="74"/>
      <c r="E152" s="74"/>
      <c r="F152" s="74"/>
      <c r="G152" s="74"/>
      <c r="H152" s="75" t="s">
        <v>436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4"/>
      <c r="D153" s="74"/>
      <c r="E153" s="74"/>
      <c r="F153" s="74"/>
      <c r="G153" s="74"/>
      <c r="H153" s="76" t="s">
        <v>155</v>
      </c>
      <c r="I153" s="74"/>
      <c r="J153" s="74"/>
      <c r="K153" s="74"/>
      <c r="L153" s="74"/>
      <c r="M153" s="74"/>
      <c r="N153" s="74"/>
      <c r="O153" s="74"/>
    </row>
    <row r="154" spans="1:16" x14ac:dyDescent="0.25">
      <c r="B154" s="84"/>
      <c r="C154" s="74"/>
      <c r="D154" s="74"/>
      <c r="E154" s="74"/>
      <c r="F154" s="74"/>
      <c r="G154" s="74"/>
      <c r="H154" s="77">
        <v>2022</v>
      </c>
      <c r="I154" s="74"/>
      <c r="J154" s="74"/>
      <c r="K154" s="74"/>
      <c r="L154" s="74"/>
      <c r="M154" s="74"/>
      <c r="N154" s="74"/>
      <c r="O154" s="74"/>
    </row>
    <row r="155" spans="1:16" x14ac:dyDescent="0.25">
      <c r="B155" s="84"/>
      <c r="C155" s="74"/>
      <c r="D155" s="74"/>
      <c r="E155" s="74"/>
      <c r="F155" s="74"/>
      <c r="G155" s="74"/>
      <c r="H155" s="75"/>
      <c r="I155" s="74"/>
      <c r="J155" s="74"/>
      <c r="K155" s="74"/>
      <c r="L155" s="74"/>
      <c r="M155" s="74"/>
      <c r="N155" s="74"/>
      <c r="O155" s="74"/>
    </row>
    <row r="156" spans="1:16" x14ac:dyDescent="0.25">
      <c r="C156" s="78" t="s">
        <v>25</v>
      </c>
      <c r="D156" s="78" t="s">
        <v>26</v>
      </c>
      <c r="E156" s="78" t="s">
        <v>27</v>
      </c>
      <c r="F156" s="78" t="s">
        <v>28</v>
      </c>
      <c r="G156" s="78" t="s">
        <v>29</v>
      </c>
      <c r="H156" s="78" t="s">
        <v>30</v>
      </c>
      <c r="I156" s="78" t="s">
        <v>31</v>
      </c>
      <c r="J156" s="78" t="s">
        <v>32</v>
      </c>
      <c r="K156" s="78" t="s">
        <v>33</v>
      </c>
      <c r="L156" s="78" t="s">
        <v>34</v>
      </c>
      <c r="M156" s="78" t="s">
        <v>35</v>
      </c>
      <c r="N156" s="78" t="s">
        <v>36</v>
      </c>
      <c r="O156" s="78" t="s">
        <v>37</v>
      </c>
    </row>
    <row r="157" spans="1:16" x14ac:dyDescent="0.25">
      <c r="A157" s="71" t="s">
        <v>156</v>
      </c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</row>
    <row r="158" spans="1:16" x14ac:dyDescent="0.25">
      <c r="A158" s="71" t="s">
        <v>157</v>
      </c>
      <c r="B158" s="74"/>
      <c r="C158" s="74">
        <v>13700</v>
      </c>
      <c r="D158" s="74">
        <v>15200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28900</v>
      </c>
    </row>
    <row r="159" spans="1:16" x14ac:dyDescent="0.25">
      <c r="A159" s="71" t="s">
        <v>158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159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160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161</v>
      </c>
      <c r="B162" s="74"/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</row>
    <row r="163" spans="1:15" x14ac:dyDescent="0.25">
      <c r="A163" s="71" t="s">
        <v>162</v>
      </c>
      <c r="B163" s="74"/>
      <c r="C163" s="74">
        <v>4356.5</v>
      </c>
      <c r="D163" s="74">
        <v>4324.5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8681</v>
      </c>
    </row>
    <row r="164" spans="1:15" x14ac:dyDescent="0.25">
      <c r="A164" s="71" t="s">
        <v>163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164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165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166</v>
      </c>
      <c r="B167" s="74"/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</row>
    <row r="168" spans="1:15" x14ac:dyDescent="0.25">
      <c r="A168" s="71" t="s">
        <v>167</v>
      </c>
      <c r="B168" s="74"/>
      <c r="C168" s="74">
        <v>26805.059999999998</v>
      </c>
      <c r="D168" s="74">
        <v>24122.93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50927.99</v>
      </c>
    </row>
    <row r="169" spans="1:15" x14ac:dyDescent="0.25">
      <c r="A169" s="71" t="s">
        <v>168</v>
      </c>
      <c r="B169" s="74"/>
      <c r="C169" s="74">
        <v>1286.82</v>
      </c>
      <c r="D169" s="74">
        <v>1926.23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3213.05</v>
      </c>
    </row>
    <row r="170" spans="1:15" x14ac:dyDescent="0.25">
      <c r="A170" s="71" t="s">
        <v>169</v>
      </c>
      <c r="B170" s="74"/>
      <c r="C170" s="74">
        <v>930.40999999999985</v>
      </c>
      <c r="D170" s="74">
        <v>28.319999999999936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958.72999999999979</v>
      </c>
    </row>
    <row r="171" spans="1:15" x14ac:dyDescent="0.25">
      <c r="A171" s="71" t="s">
        <v>170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171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172</v>
      </c>
      <c r="B173" s="74"/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</row>
    <row r="174" spans="1:15" x14ac:dyDescent="0.25">
      <c r="A174" s="71" t="s">
        <v>173</v>
      </c>
      <c r="B174" s="74"/>
      <c r="C174" s="74">
        <v>585.13</v>
      </c>
      <c r="D174" s="74">
        <v>651.20000000000005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1236.33</v>
      </c>
    </row>
    <row r="175" spans="1:15" x14ac:dyDescent="0.25">
      <c r="A175" s="71" t="s">
        <v>174</v>
      </c>
      <c r="B175" s="74"/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5">
      <c r="A176" s="71" t="s">
        <v>175</v>
      </c>
      <c r="B176" s="74"/>
      <c r="C176" s="74">
        <v>517.20000000000005</v>
      </c>
      <c r="D176" s="74">
        <v>128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645.20000000000005</v>
      </c>
    </row>
    <row r="177" spans="1:15" x14ac:dyDescent="0.25">
      <c r="A177" s="71" t="s">
        <v>176</v>
      </c>
      <c r="B177" s="74"/>
      <c r="C177" s="74">
        <v>368.1</v>
      </c>
      <c r="D177" s="74">
        <v>3096.22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3464.3199999999997</v>
      </c>
    </row>
    <row r="178" spans="1:15" x14ac:dyDescent="0.25">
      <c r="A178" s="71" t="s">
        <v>177</v>
      </c>
      <c r="B178" s="74"/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</row>
    <row r="179" spans="1:15" x14ac:dyDescent="0.25">
      <c r="A179" s="71" t="s">
        <v>178</v>
      </c>
      <c r="B179" s="74"/>
      <c r="C179" s="74">
        <v>28313.24</v>
      </c>
      <c r="D179" s="74">
        <v>25566.420000000002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53879.66</v>
      </c>
    </row>
    <row r="180" spans="1:15" x14ac:dyDescent="0.25">
      <c r="A180" s="71" t="s">
        <v>179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180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181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182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183</v>
      </c>
      <c r="B184" s="74"/>
      <c r="C184" s="74">
        <v>380.32</v>
      </c>
      <c r="D184" s="74">
        <v>484.63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864.95</v>
      </c>
    </row>
    <row r="185" spans="1:15" x14ac:dyDescent="0.25">
      <c r="A185" s="71" t="s">
        <v>184</v>
      </c>
      <c r="B185" s="74"/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5">
      <c r="A186" s="71" t="s">
        <v>185</v>
      </c>
      <c r="B186" s="74"/>
      <c r="C186" s="74">
        <v>467.53999999999996</v>
      </c>
      <c r="D186" s="74">
        <v>707.57999999999993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1175.1199999999999</v>
      </c>
    </row>
    <row r="187" spans="1:15" x14ac:dyDescent="0.25">
      <c r="A187" s="71" t="s">
        <v>186</v>
      </c>
      <c r="B187" s="74"/>
      <c r="C187" s="74">
        <v>568.68000000000006</v>
      </c>
      <c r="D187" s="74">
        <v>742.15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1310.83</v>
      </c>
    </row>
    <row r="188" spans="1:15" x14ac:dyDescent="0.25">
      <c r="A188" s="71" t="s">
        <v>187</v>
      </c>
      <c r="B188" s="74"/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</row>
    <row r="189" spans="1:15" x14ac:dyDescent="0.25">
      <c r="A189" s="71" t="s">
        <v>188</v>
      </c>
      <c r="B189" s="74"/>
      <c r="C189" s="74">
        <v>59487.82</v>
      </c>
      <c r="D189" s="74">
        <v>61206.95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120694.76999999999</v>
      </c>
    </row>
    <row r="190" spans="1:15" x14ac:dyDescent="0.25">
      <c r="A190" s="71" t="s">
        <v>189</v>
      </c>
      <c r="B190" s="74"/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5">
      <c r="A191" s="71" t="s">
        <v>190</v>
      </c>
      <c r="B191" s="74"/>
      <c r="C191" s="74">
        <v>29844.17</v>
      </c>
      <c r="D191" s="74">
        <v>33615.130000000005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63459.3</v>
      </c>
    </row>
    <row r="192" spans="1:15" x14ac:dyDescent="0.25">
      <c r="A192" s="71" t="s">
        <v>191</v>
      </c>
      <c r="B192" s="74"/>
      <c r="C192" s="74">
        <v>357.26</v>
      </c>
      <c r="D192" s="74">
        <v>1279.77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1637.03</v>
      </c>
    </row>
    <row r="193" spans="1:15" x14ac:dyDescent="0.25">
      <c r="A193" s="71" t="s">
        <v>192</v>
      </c>
      <c r="B193" s="74"/>
      <c r="C193" s="74">
        <v>130568.62</v>
      </c>
      <c r="D193" s="74">
        <v>128784.63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259353.25</v>
      </c>
    </row>
    <row r="194" spans="1:15" x14ac:dyDescent="0.25">
      <c r="A194" s="71" t="s">
        <v>448</v>
      </c>
      <c r="B194" s="74"/>
      <c r="C194" s="74">
        <v>15767.07</v>
      </c>
      <c r="D194" s="74">
        <v>11428.45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27195.52</v>
      </c>
    </row>
    <row r="195" spans="1:15" x14ac:dyDescent="0.25">
      <c r="A195" s="71" t="s">
        <v>193</v>
      </c>
      <c r="B195" s="74"/>
      <c r="C195" s="74">
        <v>196659.87000000005</v>
      </c>
      <c r="D195" s="74">
        <v>175098.02999999997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371757.9</v>
      </c>
    </row>
    <row r="196" spans="1:15" x14ac:dyDescent="0.25">
      <c r="A196" s="71" t="s">
        <v>449</v>
      </c>
      <c r="B196" s="74"/>
      <c r="C196" s="74">
        <v>40330.39</v>
      </c>
      <c r="D196" s="74">
        <v>26759.339999999997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67089.73</v>
      </c>
    </row>
    <row r="197" spans="1:15" x14ac:dyDescent="0.25">
      <c r="A197" s="71" t="s">
        <v>194</v>
      </c>
      <c r="B197" s="74"/>
      <c r="C197" s="74">
        <v>345569.38</v>
      </c>
      <c r="D197" s="74">
        <v>303612.76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649182.14</v>
      </c>
    </row>
    <row r="198" spans="1:15" x14ac:dyDescent="0.25">
      <c r="A198" s="71" t="s">
        <v>195</v>
      </c>
      <c r="B198" s="74"/>
      <c r="C198" s="74">
        <v>11085.22</v>
      </c>
      <c r="D198" s="74">
        <v>8365.01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19450.23</v>
      </c>
    </row>
    <row r="199" spans="1:15" x14ac:dyDescent="0.25">
      <c r="A199" s="71" t="s">
        <v>196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450</v>
      </c>
      <c r="B200" s="74"/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</row>
    <row r="201" spans="1:15" x14ac:dyDescent="0.25">
      <c r="A201" s="71" t="s">
        <v>197</v>
      </c>
      <c r="B201" s="74"/>
      <c r="C201" s="74">
        <v>106964.95999999998</v>
      </c>
      <c r="D201" s="74">
        <v>95315.92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202280.87999999998</v>
      </c>
    </row>
    <row r="202" spans="1:15" x14ac:dyDescent="0.25">
      <c r="A202" s="71" t="s">
        <v>451</v>
      </c>
      <c r="B202" s="74"/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5">
      <c r="A203" s="71" t="s">
        <v>198</v>
      </c>
      <c r="B203" s="74"/>
      <c r="C203" s="74">
        <v>27364.92</v>
      </c>
      <c r="D203" s="74">
        <v>22439.43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49804.35</v>
      </c>
    </row>
    <row r="204" spans="1:15" x14ac:dyDescent="0.25">
      <c r="A204" s="71" t="s">
        <v>199</v>
      </c>
      <c r="B204" s="74"/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</row>
    <row r="205" spans="1:15" x14ac:dyDescent="0.25">
      <c r="A205" s="71" t="s">
        <v>200</v>
      </c>
      <c r="B205" s="74"/>
      <c r="C205" s="74">
        <v>38290.989999999991</v>
      </c>
      <c r="D205" s="74">
        <v>23639.609999999993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61930.599999999984</v>
      </c>
    </row>
    <row r="206" spans="1:15" x14ac:dyDescent="0.25">
      <c r="A206" s="71" t="s">
        <v>201</v>
      </c>
      <c r="B206" s="74"/>
      <c r="C206" s="74">
        <v>14770.769999999999</v>
      </c>
      <c r="D206" s="74">
        <v>5994.38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20765.149999999998</v>
      </c>
    </row>
    <row r="207" spans="1:15" x14ac:dyDescent="0.25">
      <c r="A207" s="71" t="s">
        <v>202</v>
      </c>
      <c r="B207" s="74"/>
      <c r="C207" s="74">
        <v>2470.15</v>
      </c>
      <c r="D207" s="74">
        <v>2494.64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4964.79</v>
      </c>
    </row>
    <row r="208" spans="1:15" x14ac:dyDescent="0.25">
      <c r="A208" s="71" t="s">
        <v>203</v>
      </c>
      <c r="B208" s="74"/>
      <c r="C208" s="74">
        <v>5506.24</v>
      </c>
      <c r="D208" s="74">
        <v>4283.0300000000007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9789.27</v>
      </c>
    </row>
    <row r="209" spans="1:15" x14ac:dyDescent="0.25">
      <c r="A209" s="71" t="s">
        <v>204</v>
      </c>
      <c r="B209" s="74"/>
      <c r="C209" s="74">
        <v>272.27999999999997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272.27999999999997</v>
      </c>
    </row>
    <row r="210" spans="1:15" x14ac:dyDescent="0.25">
      <c r="A210" s="71" t="s">
        <v>205</v>
      </c>
      <c r="B210" s="74"/>
      <c r="C210" s="74">
        <v>14121.710000000001</v>
      </c>
      <c r="D210" s="74">
        <v>12420.380000000001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26542.090000000004</v>
      </c>
    </row>
    <row r="211" spans="1:15" x14ac:dyDescent="0.25">
      <c r="A211" s="71" t="s">
        <v>206</v>
      </c>
      <c r="B211" s="74"/>
      <c r="C211" s="74">
        <v>1069.75</v>
      </c>
      <c r="D211" s="74">
        <v>3694.4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4764.1499999999996</v>
      </c>
    </row>
    <row r="212" spans="1:15" x14ac:dyDescent="0.25">
      <c r="A212" s="71" t="s">
        <v>207</v>
      </c>
      <c r="B212" s="74"/>
      <c r="C212" s="74">
        <v>110621.70999999999</v>
      </c>
      <c r="D212" s="74">
        <v>85089.69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195711.4</v>
      </c>
    </row>
    <row r="213" spans="1:15" x14ac:dyDescent="0.25">
      <c r="A213" s="71" t="s">
        <v>208</v>
      </c>
      <c r="B213" s="74"/>
      <c r="C213" s="74">
        <v>13970.39</v>
      </c>
      <c r="D213" s="74">
        <v>10856.009999999998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24826.399999999998</v>
      </c>
    </row>
    <row r="214" spans="1:15" x14ac:dyDescent="0.25">
      <c r="A214" s="71" t="s">
        <v>209</v>
      </c>
      <c r="B214" s="74"/>
      <c r="C214" s="74">
        <v>1070.03</v>
      </c>
      <c r="D214" s="74">
        <v>353.14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1423.17</v>
      </c>
    </row>
    <row r="215" spans="1:15" x14ac:dyDescent="0.25">
      <c r="A215" s="71" t="s">
        <v>210</v>
      </c>
      <c r="B215" s="74"/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</row>
    <row r="216" spans="1:15" x14ac:dyDescent="0.25">
      <c r="A216" s="71" t="s">
        <v>211</v>
      </c>
      <c r="B216" s="74"/>
      <c r="C216" s="74">
        <v>14418.239999999998</v>
      </c>
      <c r="D216" s="74">
        <v>15497.31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29915.549999999996</v>
      </c>
    </row>
    <row r="217" spans="1:15" x14ac:dyDescent="0.25">
      <c r="A217" s="71" t="s">
        <v>212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213</v>
      </c>
      <c r="B218" s="74"/>
      <c r="C218" s="74">
        <v>306.42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306.42</v>
      </c>
    </row>
    <row r="219" spans="1:15" x14ac:dyDescent="0.25">
      <c r="A219" s="71" t="s">
        <v>214</v>
      </c>
      <c r="B219" s="74"/>
      <c r="C219" s="74">
        <v>0</v>
      </c>
      <c r="D219" s="74">
        <v>307.47000000000003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307.47000000000003</v>
      </c>
    </row>
    <row r="220" spans="1:15" x14ac:dyDescent="0.25">
      <c r="A220" s="71" t="s">
        <v>215</v>
      </c>
      <c r="B220" s="74"/>
      <c r="C220" s="74">
        <v>0</v>
      </c>
      <c r="D220" s="74">
        <v>216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216</v>
      </c>
    </row>
    <row r="221" spans="1:15" x14ac:dyDescent="0.25">
      <c r="A221" s="71" t="s">
        <v>216</v>
      </c>
      <c r="B221" s="74"/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</row>
    <row r="222" spans="1:15" x14ac:dyDescent="0.25">
      <c r="A222" s="71" t="s">
        <v>217</v>
      </c>
      <c r="B222" s="74"/>
      <c r="C222" s="74">
        <v>4976.4899999999989</v>
      </c>
      <c r="D222" s="74">
        <v>11238.65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16215.14</v>
      </c>
    </row>
    <row r="223" spans="1:15" x14ac:dyDescent="0.25">
      <c r="A223" s="71" t="s">
        <v>218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219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220</v>
      </c>
      <c r="B225" s="74"/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0</v>
      </c>
    </row>
    <row r="226" spans="1:15" x14ac:dyDescent="0.25">
      <c r="A226" s="71" t="s">
        <v>221</v>
      </c>
      <c r="B226" s="74"/>
      <c r="C226" s="74">
        <v>25436.789999999997</v>
      </c>
      <c r="D226" s="74">
        <v>9588.7799999999988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35025.569999999992</v>
      </c>
    </row>
    <row r="227" spans="1:15" x14ac:dyDescent="0.25">
      <c r="A227" s="71" t="s">
        <v>222</v>
      </c>
      <c r="B227" s="74"/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</row>
    <row r="228" spans="1:15" x14ac:dyDescent="0.25">
      <c r="A228" s="71" t="s">
        <v>223</v>
      </c>
      <c r="B228" s="74"/>
      <c r="C228" s="74">
        <v>28573.439999999999</v>
      </c>
      <c r="D228" s="74">
        <v>21553.4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50126.84</v>
      </c>
    </row>
    <row r="229" spans="1:15" x14ac:dyDescent="0.25">
      <c r="A229" s="71" t="s">
        <v>224</v>
      </c>
      <c r="B229" s="74"/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5">
      <c r="A230" s="71" t="s">
        <v>225</v>
      </c>
      <c r="B230" s="74"/>
      <c r="C230" s="74">
        <v>4369.3999999999996</v>
      </c>
      <c r="D230" s="74">
        <v>6419.62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10789.02</v>
      </c>
    </row>
    <row r="231" spans="1:15" x14ac:dyDescent="0.25">
      <c r="A231" s="71" t="s">
        <v>226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227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228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229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230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231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232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233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234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235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236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237</v>
      </c>
      <c r="B242" s="74"/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</row>
    <row r="243" spans="1:16" x14ac:dyDescent="0.25">
      <c r="A243" s="71" t="s">
        <v>238</v>
      </c>
      <c r="B243" s="74"/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0</v>
      </c>
      <c r="M243" s="74">
        <v>0</v>
      </c>
      <c r="N243" s="74">
        <v>0</v>
      </c>
      <c r="O243" s="74">
        <v>0</v>
      </c>
    </row>
    <row r="244" spans="1:16" x14ac:dyDescent="0.25">
      <c r="A244" s="71" t="s">
        <v>239</v>
      </c>
      <c r="B244" s="74"/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0</v>
      </c>
    </row>
    <row r="245" spans="1:16" x14ac:dyDescent="0.25">
      <c r="A245" s="71" t="s">
        <v>240</v>
      </c>
      <c r="C245" s="83">
        <v>1322523.4799999995</v>
      </c>
      <c r="D245" s="83">
        <v>1158530.1100000001</v>
      </c>
      <c r="E245" s="83">
        <v>0</v>
      </c>
      <c r="F245" s="83">
        <v>0</v>
      </c>
      <c r="G245" s="83">
        <v>0</v>
      </c>
      <c r="H245" s="83">
        <v>0</v>
      </c>
      <c r="I245" s="83">
        <v>0</v>
      </c>
      <c r="J245" s="83">
        <v>0</v>
      </c>
      <c r="K245" s="83">
        <v>0</v>
      </c>
      <c r="L245" s="83">
        <v>0</v>
      </c>
      <c r="M245" s="83">
        <v>0</v>
      </c>
      <c r="N245" s="83">
        <v>0</v>
      </c>
      <c r="O245" s="83">
        <v>2481053.59</v>
      </c>
      <c r="P245" s="86">
        <v>0</v>
      </c>
    </row>
    <row r="246" spans="1:16" x14ac:dyDescent="0.25"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</row>
    <row r="247" spans="1:16" x14ac:dyDescent="0.25">
      <c r="A247" s="71" t="s">
        <v>241</v>
      </c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</row>
    <row r="248" spans="1:16" x14ac:dyDescent="0.25">
      <c r="A248" s="71" t="s">
        <v>242</v>
      </c>
      <c r="B248" s="74"/>
      <c r="C248" s="74">
        <v>156239.70000000001</v>
      </c>
      <c r="D248" s="74">
        <v>145012.70000000001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301252.40000000002</v>
      </c>
    </row>
    <row r="249" spans="1:16" x14ac:dyDescent="0.25">
      <c r="A249" s="71" t="s">
        <v>243</v>
      </c>
      <c r="B249" s="74"/>
      <c r="C249" s="74">
        <v>9065.130000000001</v>
      </c>
      <c r="D249" s="74">
        <v>6134.7200000000012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15199.850000000002</v>
      </c>
    </row>
    <row r="250" spans="1:16" x14ac:dyDescent="0.25">
      <c r="A250" s="71" t="s">
        <v>244</v>
      </c>
      <c r="B250" s="74"/>
      <c r="C250" s="74">
        <v>7664.0699999999988</v>
      </c>
      <c r="D250" s="74">
        <v>10108.209999999999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17772.28</v>
      </c>
    </row>
    <row r="251" spans="1:16" x14ac:dyDescent="0.25">
      <c r="A251" s="71" t="s">
        <v>245</v>
      </c>
      <c r="B251" s="74"/>
      <c r="C251" s="74">
        <v>11068.039999999997</v>
      </c>
      <c r="D251" s="74">
        <v>9578.74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20646.78</v>
      </c>
    </row>
    <row r="252" spans="1:16" x14ac:dyDescent="0.25">
      <c r="A252" s="71" t="s">
        <v>246</v>
      </c>
      <c r="B252" s="74"/>
      <c r="C252" s="74">
        <v>121630.15</v>
      </c>
      <c r="D252" s="74">
        <v>119225.93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240856.08</v>
      </c>
    </row>
    <row r="253" spans="1:16" x14ac:dyDescent="0.25">
      <c r="A253" s="71" t="s">
        <v>247</v>
      </c>
      <c r="B253" s="74"/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</row>
    <row r="254" spans="1:16" x14ac:dyDescent="0.25">
      <c r="A254" s="71" t="s">
        <v>248</v>
      </c>
      <c r="B254" s="74"/>
      <c r="C254" s="74">
        <v>4755.3099999999995</v>
      </c>
      <c r="D254" s="74">
        <v>3673.2799999999997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8428.59</v>
      </c>
    </row>
    <row r="255" spans="1:16" x14ac:dyDescent="0.25">
      <c r="A255" s="71" t="s">
        <v>249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250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251</v>
      </c>
      <c r="B257" s="74"/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6" x14ac:dyDescent="0.25">
      <c r="A258" s="71" t="s">
        <v>252</v>
      </c>
      <c r="B258" s="74"/>
      <c r="C258" s="74">
        <v>1704.87</v>
      </c>
      <c r="D258" s="74">
        <v>1340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3044.87</v>
      </c>
    </row>
    <row r="259" spans="1:16" x14ac:dyDescent="0.25">
      <c r="A259" s="71" t="s">
        <v>253</v>
      </c>
      <c r="B259" s="74"/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6" x14ac:dyDescent="0.25">
      <c r="A260" s="71" t="s">
        <v>254</v>
      </c>
      <c r="B260" s="74"/>
      <c r="C260" s="74">
        <v>4509.58</v>
      </c>
      <c r="D260" s="74">
        <v>1172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5681.58</v>
      </c>
    </row>
    <row r="261" spans="1:16" x14ac:dyDescent="0.25">
      <c r="A261" s="71" t="s">
        <v>255</v>
      </c>
      <c r="B261" s="74"/>
      <c r="C261" s="74">
        <v>954.27</v>
      </c>
      <c r="D261" s="74">
        <v>1825.41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2779.6800000000003</v>
      </c>
    </row>
    <row r="262" spans="1:16" x14ac:dyDescent="0.25">
      <c r="A262" s="71" t="s">
        <v>256</v>
      </c>
      <c r="B262" s="74"/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</row>
    <row r="263" spans="1:16" x14ac:dyDescent="0.25">
      <c r="A263" s="71" t="s">
        <v>257</v>
      </c>
      <c r="C263" s="83">
        <v>317591.12000000005</v>
      </c>
      <c r="D263" s="83">
        <v>298070.99</v>
      </c>
      <c r="E263" s="83">
        <v>0</v>
      </c>
      <c r="F263" s="83">
        <v>0</v>
      </c>
      <c r="G263" s="83">
        <v>0</v>
      </c>
      <c r="H263" s="83">
        <v>0</v>
      </c>
      <c r="I263" s="83">
        <v>0</v>
      </c>
      <c r="J263" s="83">
        <v>0</v>
      </c>
      <c r="K263" s="83">
        <v>0</v>
      </c>
      <c r="L263" s="83">
        <v>0</v>
      </c>
      <c r="M263" s="83">
        <v>0</v>
      </c>
      <c r="N263" s="83">
        <v>0</v>
      </c>
      <c r="O263" s="83">
        <v>615662.11</v>
      </c>
      <c r="P263" s="86">
        <v>0</v>
      </c>
    </row>
    <row r="264" spans="1:16" x14ac:dyDescent="0.25"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</row>
    <row r="265" spans="1:16" x14ac:dyDescent="0.25">
      <c r="A265" s="71" t="s">
        <v>128</v>
      </c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</row>
    <row r="266" spans="1:16" x14ac:dyDescent="0.25">
      <c r="A266" s="71" t="s">
        <v>258</v>
      </c>
      <c r="B266" s="74"/>
      <c r="C266" s="74">
        <v>32612</v>
      </c>
      <c r="D266" s="74">
        <v>32296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64908</v>
      </c>
    </row>
    <row r="267" spans="1:16" x14ac:dyDescent="0.25">
      <c r="A267" s="71" t="s">
        <v>259</v>
      </c>
      <c r="B267" s="74"/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</row>
    <row r="268" spans="1:16" x14ac:dyDescent="0.25">
      <c r="A268" s="71" t="s">
        <v>260</v>
      </c>
      <c r="B268" s="74"/>
      <c r="C268" s="74">
        <v>32041.119999999999</v>
      </c>
      <c r="D268" s="74">
        <v>23336.55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55377.67</v>
      </c>
    </row>
    <row r="269" spans="1:16" x14ac:dyDescent="0.25">
      <c r="A269" s="71" t="s">
        <v>261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262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263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264</v>
      </c>
      <c r="B272" s="74"/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</row>
    <row r="273" spans="1:15" x14ac:dyDescent="0.25">
      <c r="A273" s="71" t="s">
        <v>265</v>
      </c>
      <c r="B273" s="74"/>
      <c r="C273" s="74">
        <v>25434.519999999997</v>
      </c>
      <c r="D273" s="74">
        <v>32379.300000000003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57813.82</v>
      </c>
    </row>
    <row r="274" spans="1:15" x14ac:dyDescent="0.25">
      <c r="A274" s="71" t="s">
        <v>266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267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268</v>
      </c>
      <c r="B276" s="74"/>
      <c r="C276" s="74">
        <v>265.55</v>
      </c>
      <c r="D276" s="74">
        <v>305.11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570.66000000000008</v>
      </c>
    </row>
    <row r="277" spans="1:15" x14ac:dyDescent="0.25">
      <c r="A277" s="71" t="s">
        <v>269</v>
      </c>
      <c r="B277" s="74"/>
      <c r="C277" s="74">
        <v>13372.769999999999</v>
      </c>
      <c r="D277" s="74">
        <v>11816.73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25189.5</v>
      </c>
    </row>
    <row r="278" spans="1:15" x14ac:dyDescent="0.25">
      <c r="A278" s="71" t="s">
        <v>270</v>
      </c>
      <c r="B278" s="74"/>
      <c r="C278" s="74">
        <v>579.02</v>
      </c>
      <c r="D278" s="74">
        <v>968.62999999999988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1547.6499999999999</v>
      </c>
    </row>
    <row r="279" spans="1:15" x14ac:dyDescent="0.25">
      <c r="A279" s="71" t="s">
        <v>271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5">
      <c r="A280" s="71" t="s">
        <v>272</v>
      </c>
      <c r="B280" s="74"/>
      <c r="C280" s="74">
        <v>8223.8700000000008</v>
      </c>
      <c r="D280" s="74">
        <v>7353.7599999999993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15577.630000000001</v>
      </c>
    </row>
    <row r="281" spans="1:15" x14ac:dyDescent="0.25">
      <c r="A281" s="71" t="s">
        <v>273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274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275</v>
      </c>
      <c r="B283" s="74"/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</row>
    <row r="284" spans="1:15" x14ac:dyDescent="0.25">
      <c r="A284" s="71" t="s">
        <v>276</v>
      </c>
      <c r="B284" s="74"/>
      <c r="C284" s="74">
        <v>1902.47</v>
      </c>
      <c r="D284" s="74">
        <v>6351.99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8254.4599999999991</v>
      </c>
    </row>
    <row r="285" spans="1:15" x14ac:dyDescent="0.25">
      <c r="A285" s="71" t="s">
        <v>277</v>
      </c>
      <c r="B285" s="74"/>
      <c r="C285" s="74">
        <v>1436.26</v>
      </c>
      <c r="D285" s="74">
        <v>1202.55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2638.81</v>
      </c>
    </row>
    <row r="286" spans="1:15" x14ac:dyDescent="0.25">
      <c r="A286" s="71" t="s">
        <v>278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279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280</v>
      </c>
      <c r="B288" s="74"/>
      <c r="C288" s="74">
        <v>712.61</v>
      </c>
      <c r="D288" s="74">
        <v>760.5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1473.1100000000001</v>
      </c>
    </row>
    <row r="289" spans="1:15" x14ac:dyDescent="0.25">
      <c r="A289" s="71" t="s">
        <v>281</v>
      </c>
      <c r="B289" s="74"/>
      <c r="C289" s="74">
        <v>1285.5</v>
      </c>
      <c r="D289" s="74">
        <v>796.5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2082</v>
      </c>
    </row>
    <row r="290" spans="1:15" x14ac:dyDescent="0.25">
      <c r="A290" s="71" t="s">
        <v>282</v>
      </c>
      <c r="B290" s="74"/>
      <c r="C290" s="74">
        <v>9823.2099999999991</v>
      </c>
      <c r="D290" s="74">
        <v>8015.36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17838.57</v>
      </c>
    </row>
    <row r="291" spans="1:15" x14ac:dyDescent="0.25">
      <c r="A291" s="71" t="s">
        <v>283</v>
      </c>
      <c r="B291" s="74"/>
      <c r="C291" s="74">
        <v>513.87</v>
      </c>
      <c r="D291" s="74">
        <v>1652.65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2166.52</v>
      </c>
    </row>
    <row r="292" spans="1:15" x14ac:dyDescent="0.25">
      <c r="A292" s="71" t="s">
        <v>284</v>
      </c>
      <c r="B292" s="74"/>
      <c r="C292" s="74">
        <v>21237.699999999997</v>
      </c>
      <c r="D292" s="74">
        <v>14767.499999999996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36005.199999999997</v>
      </c>
    </row>
    <row r="293" spans="1:15" x14ac:dyDescent="0.25">
      <c r="A293" s="71" t="s">
        <v>285</v>
      </c>
      <c r="B293" s="74"/>
      <c r="C293" s="74">
        <v>1490.0000000000002</v>
      </c>
      <c r="D293" s="74">
        <v>1578.88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3068.88</v>
      </c>
    </row>
    <row r="294" spans="1:15" x14ac:dyDescent="0.25">
      <c r="A294" s="71" t="s">
        <v>286</v>
      </c>
      <c r="B294" s="74"/>
      <c r="C294" s="74">
        <v>15885.23</v>
      </c>
      <c r="D294" s="74">
        <v>13745.869999999999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29631.1</v>
      </c>
    </row>
    <row r="295" spans="1:15" x14ac:dyDescent="0.25">
      <c r="A295" s="71" t="s">
        <v>287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288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289</v>
      </c>
      <c r="B297" s="74"/>
      <c r="C297" s="74">
        <v>300.31</v>
      </c>
      <c r="D297" s="74">
        <v>40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340.31</v>
      </c>
    </row>
    <row r="298" spans="1:15" x14ac:dyDescent="0.25">
      <c r="A298" s="71" t="s">
        <v>290</v>
      </c>
      <c r="B298" s="74"/>
      <c r="C298" s="74">
        <v>0</v>
      </c>
      <c r="D298" s="74">
        <v>1139.3800000000001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1139.3800000000001</v>
      </c>
    </row>
    <row r="299" spans="1:15" x14ac:dyDescent="0.25">
      <c r="A299" s="71" t="s">
        <v>291</v>
      </c>
      <c r="B299" s="74"/>
      <c r="C299" s="74">
        <v>202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202</v>
      </c>
    </row>
    <row r="300" spans="1:15" x14ac:dyDescent="0.25">
      <c r="A300" s="71" t="s">
        <v>292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293</v>
      </c>
      <c r="B301" s="74"/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5">
      <c r="A302" s="71" t="s">
        <v>294</v>
      </c>
      <c r="B302" s="74"/>
      <c r="C302" s="74">
        <v>11207.02</v>
      </c>
      <c r="D302" s="74">
        <v>5387.2899999999991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16594.309999999998</v>
      </c>
    </row>
    <row r="303" spans="1:15" x14ac:dyDescent="0.25">
      <c r="A303" s="71" t="s">
        <v>295</v>
      </c>
      <c r="B303" s="74"/>
      <c r="C303" s="74">
        <v>2748.92</v>
      </c>
      <c r="D303" s="74">
        <v>2212.08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4961</v>
      </c>
    </row>
    <row r="304" spans="1:15" x14ac:dyDescent="0.25">
      <c r="A304" s="71" t="s">
        <v>296</v>
      </c>
      <c r="B304" s="74"/>
      <c r="C304" s="74">
        <v>11658.73</v>
      </c>
      <c r="D304" s="74">
        <v>4342.0700000000006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16000.8</v>
      </c>
    </row>
    <row r="305" spans="1:15" x14ac:dyDescent="0.25">
      <c r="A305" s="71" t="s">
        <v>452</v>
      </c>
      <c r="B305" s="74"/>
      <c r="C305" s="74">
        <v>15328.77</v>
      </c>
      <c r="D305" s="74">
        <v>17647.729999999996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32976.5</v>
      </c>
    </row>
    <row r="306" spans="1:15" x14ac:dyDescent="0.25">
      <c r="A306" s="71" t="s">
        <v>453</v>
      </c>
      <c r="B306" s="74"/>
      <c r="C306" s="74">
        <v>1358.45</v>
      </c>
      <c r="D306" s="74">
        <v>2213.92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3572.37</v>
      </c>
    </row>
    <row r="307" spans="1:15" x14ac:dyDescent="0.25">
      <c r="A307" s="71" t="s">
        <v>454</v>
      </c>
      <c r="B307" s="74"/>
      <c r="C307" s="74">
        <v>14511.679999999998</v>
      </c>
      <c r="D307" s="74">
        <v>16996.28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31507.96</v>
      </c>
    </row>
    <row r="308" spans="1:15" x14ac:dyDescent="0.25">
      <c r="A308" s="71" t="s">
        <v>297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5" x14ac:dyDescent="0.25">
      <c r="A309" s="71" t="s">
        <v>298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5" x14ac:dyDescent="0.25">
      <c r="A310" s="71" t="s">
        <v>299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5" x14ac:dyDescent="0.25">
      <c r="A311" s="71" t="s">
        <v>300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5" x14ac:dyDescent="0.25">
      <c r="A312" s="71" t="s">
        <v>301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5" x14ac:dyDescent="0.25">
      <c r="A313" s="71" t="s">
        <v>302</v>
      </c>
      <c r="B313" s="74"/>
      <c r="C313" s="74">
        <v>384.81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384.81</v>
      </c>
    </row>
    <row r="314" spans="1:15" x14ac:dyDescent="0.25">
      <c r="A314" s="71" t="s">
        <v>303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5" x14ac:dyDescent="0.25">
      <c r="A315" s="71" t="s">
        <v>304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5" x14ac:dyDescent="0.25">
      <c r="A316" s="71" t="s">
        <v>305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5" x14ac:dyDescent="0.25">
      <c r="A317" s="71" t="s">
        <v>306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5" x14ac:dyDescent="0.25">
      <c r="A318" s="71" t="s">
        <v>307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5" x14ac:dyDescent="0.25">
      <c r="A319" s="71" t="s">
        <v>308</v>
      </c>
      <c r="B319" s="74"/>
      <c r="C319" s="74">
        <v>0</v>
      </c>
      <c r="D319" s="74">
        <v>0</v>
      </c>
      <c r="E319" s="74">
        <v>0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4">
        <v>0</v>
      </c>
      <c r="L319" s="74">
        <v>0</v>
      </c>
      <c r="M319" s="74">
        <v>0</v>
      </c>
      <c r="N319" s="74">
        <v>0</v>
      </c>
      <c r="O319" s="74">
        <v>0</v>
      </c>
    </row>
    <row r="320" spans="1:15" x14ac:dyDescent="0.25">
      <c r="A320" s="71" t="s">
        <v>309</v>
      </c>
      <c r="B320" s="74"/>
      <c r="C320" s="74">
        <v>0</v>
      </c>
      <c r="D320" s="74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</row>
    <row r="321" spans="1:16" x14ac:dyDescent="0.25">
      <c r="A321" s="71" t="s">
        <v>310</v>
      </c>
      <c r="B321" s="74"/>
      <c r="C321" s="74">
        <v>0</v>
      </c>
      <c r="D321" s="74">
        <v>0</v>
      </c>
      <c r="E321" s="74">
        <v>0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0</v>
      </c>
    </row>
    <row r="322" spans="1:16" x14ac:dyDescent="0.25">
      <c r="A322" s="71" t="s">
        <v>142</v>
      </c>
      <c r="C322" s="83">
        <v>224516.38999999998</v>
      </c>
      <c r="D322" s="83">
        <v>207306.63</v>
      </c>
      <c r="E322" s="83">
        <v>0</v>
      </c>
      <c r="F322" s="83">
        <v>0</v>
      </c>
      <c r="G322" s="83">
        <v>0</v>
      </c>
      <c r="H322" s="83">
        <v>0</v>
      </c>
      <c r="I322" s="83">
        <v>0</v>
      </c>
      <c r="J322" s="83">
        <v>0</v>
      </c>
      <c r="K322" s="83">
        <v>0</v>
      </c>
      <c r="L322" s="83">
        <v>0</v>
      </c>
      <c r="M322" s="83">
        <v>0</v>
      </c>
      <c r="N322" s="83">
        <v>0</v>
      </c>
      <c r="O322" s="83">
        <v>431823.01999999996</v>
      </c>
      <c r="P322" s="86">
        <v>0</v>
      </c>
    </row>
    <row r="323" spans="1:16" x14ac:dyDescent="0.25"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</row>
    <row r="324" spans="1:16" x14ac:dyDescent="0.25">
      <c r="A324" s="71" t="s">
        <v>311</v>
      </c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</row>
    <row r="325" spans="1:16" x14ac:dyDescent="0.25">
      <c r="A325" s="71" t="s">
        <v>312</v>
      </c>
      <c r="B325" s="74"/>
      <c r="C325" s="74">
        <v>27247.120000000003</v>
      </c>
      <c r="D325" s="74">
        <v>23303.99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50551.11</v>
      </c>
    </row>
    <row r="326" spans="1:16" x14ac:dyDescent="0.25">
      <c r="A326" s="71" t="s">
        <v>313</v>
      </c>
      <c r="B326" s="74"/>
      <c r="C326" s="74">
        <v>444.34</v>
      </c>
      <c r="D326" s="74">
        <v>582.36</v>
      </c>
      <c r="E326" s="74">
        <v>0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1026.7</v>
      </c>
    </row>
    <row r="327" spans="1:16" x14ac:dyDescent="0.25">
      <c r="A327" s="71" t="s">
        <v>314</v>
      </c>
      <c r="B327" s="74"/>
      <c r="C327" s="74">
        <v>6222.2499999999991</v>
      </c>
      <c r="D327" s="74">
        <v>3087.37</v>
      </c>
      <c r="E327" s="74">
        <v>0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9309.619999999999</v>
      </c>
    </row>
    <row r="328" spans="1:16" x14ac:dyDescent="0.25">
      <c r="A328" s="71" t="s">
        <v>315</v>
      </c>
      <c r="B328" s="74"/>
      <c r="C328" s="74">
        <v>3875.8199999999997</v>
      </c>
      <c r="D328" s="74">
        <v>1946.5600000000002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5822.38</v>
      </c>
    </row>
    <row r="329" spans="1:16" x14ac:dyDescent="0.25">
      <c r="A329" s="71" t="s">
        <v>316</v>
      </c>
      <c r="B329" s="74"/>
      <c r="C329" s="74">
        <v>4045.0399999999995</v>
      </c>
      <c r="D329" s="74">
        <v>4827.42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8872.4599999999991</v>
      </c>
    </row>
    <row r="330" spans="1:16" x14ac:dyDescent="0.25">
      <c r="A330" s="71" t="s">
        <v>317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318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319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320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321</v>
      </c>
      <c r="B334" s="74"/>
      <c r="C334" s="74">
        <v>170.10000000000002</v>
      </c>
      <c r="D334" s="74">
        <v>388.8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558.90000000000009</v>
      </c>
    </row>
    <row r="335" spans="1:16" x14ac:dyDescent="0.25">
      <c r="A335" s="71" t="s">
        <v>322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6" x14ac:dyDescent="0.25">
      <c r="A336" s="71" t="s">
        <v>323</v>
      </c>
      <c r="B336" s="74"/>
      <c r="C336" s="74">
        <v>1080.93</v>
      </c>
      <c r="D336" s="74">
        <v>530.15</v>
      </c>
      <c r="E336" s="74">
        <v>0</v>
      </c>
      <c r="F336" s="74">
        <v>0</v>
      </c>
      <c r="G336" s="74">
        <v>0</v>
      </c>
      <c r="H336" s="74">
        <v>0</v>
      </c>
      <c r="I336" s="74">
        <v>0</v>
      </c>
      <c r="J336" s="74">
        <v>0</v>
      </c>
      <c r="K336" s="74">
        <v>0</v>
      </c>
      <c r="L336" s="74">
        <v>0</v>
      </c>
      <c r="M336" s="74">
        <v>0</v>
      </c>
      <c r="N336" s="74">
        <v>0</v>
      </c>
      <c r="O336" s="74">
        <v>1611.08</v>
      </c>
    </row>
    <row r="337" spans="1:16" x14ac:dyDescent="0.25">
      <c r="A337" s="71" t="s">
        <v>324</v>
      </c>
      <c r="B337" s="74"/>
      <c r="C337" s="74">
        <v>291.01</v>
      </c>
      <c r="D337" s="74">
        <v>310.00999999999993</v>
      </c>
      <c r="E337" s="74">
        <v>0</v>
      </c>
      <c r="F337" s="74">
        <v>0</v>
      </c>
      <c r="G337" s="74">
        <v>0</v>
      </c>
      <c r="H337" s="74">
        <v>0</v>
      </c>
      <c r="I337" s="74">
        <v>0</v>
      </c>
      <c r="J337" s="74">
        <v>0</v>
      </c>
      <c r="K337" s="74">
        <v>0</v>
      </c>
      <c r="L337" s="74">
        <v>0</v>
      </c>
      <c r="M337" s="74">
        <v>0</v>
      </c>
      <c r="N337" s="74">
        <v>0</v>
      </c>
      <c r="O337" s="74">
        <v>601.02</v>
      </c>
    </row>
    <row r="338" spans="1:16" x14ac:dyDescent="0.25">
      <c r="A338" s="71" t="s">
        <v>325</v>
      </c>
      <c r="B338" s="74"/>
      <c r="C338" s="74">
        <v>0</v>
      </c>
      <c r="D338" s="74">
        <v>0</v>
      </c>
      <c r="E338" s="74">
        <v>0</v>
      </c>
      <c r="F338" s="74">
        <v>0</v>
      </c>
      <c r="G338" s="74">
        <v>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0</v>
      </c>
    </row>
    <row r="339" spans="1:16" x14ac:dyDescent="0.25">
      <c r="A339" s="71" t="s">
        <v>326</v>
      </c>
      <c r="C339" s="83">
        <v>43376.61</v>
      </c>
      <c r="D339" s="83">
        <v>34976.660000000011</v>
      </c>
      <c r="E339" s="83">
        <v>0</v>
      </c>
      <c r="F339" s="83">
        <v>0</v>
      </c>
      <c r="G339" s="83">
        <v>0</v>
      </c>
      <c r="H339" s="83">
        <v>0</v>
      </c>
      <c r="I339" s="83">
        <v>0</v>
      </c>
      <c r="J339" s="83">
        <v>0</v>
      </c>
      <c r="K339" s="83">
        <v>0</v>
      </c>
      <c r="L339" s="83">
        <v>0</v>
      </c>
      <c r="M339" s="83">
        <v>0</v>
      </c>
      <c r="N339" s="83">
        <v>0</v>
      </c>
      <c r="O339" s="83">
        <v>78353.26999999999</v>
      </c>
      <c r="P339" s="86">
        <v>0</v>
      </c>
    </row>
    <row r="340" spans="1:16" x14ac:dyDescent="0.25"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</row>
    <row r="341" spans="1:16" x14ac:dyDescent="0.25">
      <c r="A341" s="71" t="s">
        <v>327</v>
      </c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</row>
    <row r="342" spans="1:16" x14ac:dyDescent="0.25">
      <c r="A342" s="71" t="s">
        <v>328</v>
      </c>
      <c r="B342" s="74"/>
      <c r="C342" s="74">
        <v>104112.28</v>
      </c>
      <c r="D342" s="74">
        <v>91998.86</v>
      </c>
      <c r="E342" s="74">
        <v>0</v>
      </c>
      <c r="F342" s="74">
        <v>0</v>
      </c>
      <c r="G342" s="74">
        <v>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196111.14</v>
      </c>
    </row>
    <row r="343" spans="1:16" x14ac:dyDescent="0.25">
      <c r="A343" s="71" t="s">
        <v>329</v>
      </c>
      <c r="B343" s="74"/>
      <c r="C343" s="74">
        <v>13423.06</v>
      </c>
      <c r="D343" s="74">
        <v>8183.4399999999987</v>
      </c>
      <c r="E343" s="74">
        <v>0</v>
      </c>
      <c r="F343" s="74">
        <v>0</v>
      </c>
      <c r="G343" s="74">
        <v>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21606.5</v>
      </c>
    </row>
    <row r="344" spans="1:16" x14ac:dyDescent="0.25">
      <c r="A344" s="71" t="s">
        <v>330</v>
      </c>
      <c r="B344" s="74"/>
      <c r="C344" s="74">
        <v>5962</v>
      </c>
      <c r="D344" s="74">
        <v>2919.84</v>
      </c>
      <c r="E344" s="74">
        <v>0</v>
      </c>
      <c r="F344" s="74">
        <v>0</v>
      </c>
      <c r="G344" s="74">
        <v>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8881.84</v>
      </c>
    </row>
    <row r="345" spans="1:16" x14ac:dyDescent="0.25">
      <c r="A345" s="71" t="s">
        <v>331</v>
      </c>
      <c r="B345" s="74"/>
      <c r="C345" s="74">
        <v>5623.4299999999994</v>
      </c>
      <c r="D345" s="74">
        <v>3801.54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9424.9699999999993</v>
      </c>
    </row>
    <row r="346" spans="1:16" x14ac:dyDescent="0.25">
      <c r="A346" s="71" t="s">
        <v>332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333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334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335</v>
      </c>
      <c r="B349" s="74"/>
      <c r="C349" s="74">
        <v>0</v>
      </c>
      <c r="D349" s="74">
        <v>0</v>
      </c>
      <c r="E349" s="74">
        <v>0</v>
      </c>
      <c r="F349" s="74">
        <v>0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6" x14ac:dyDescent="0.25">
      <c r="A350" s="71" t="s">
        <v>336</v>
      </c>
      <c r="B350" s="74"/>
      <c r="C350" s="74">
        <v>2756.03</v>
      </c>
      <c r="D350" s="74">
        <v>1026.4000000000001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3782.4300000000003</v>
      </c>
    </row>
    <row r="351" spans="1:16" x14ac:dyDescent="0.25">
      <c r="A351" s="71" t="s">
        <v>337</v>
      </c>
      <c r="B351" s="74"/>
      <c r="C351" s="74">
        <v>0</v>
      </c>
      <c r="D351" s="74">
        <v>0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</row>
    <row r="352" spans="1:16" x14ac:dyDescent="0.25">
      <c r="A352" s="71" t="s">
        <v>338</v>
      </c>
      <c r="B352" s="74"/>
      <c r="C352" s="74">
        <v>4268.4799999999996</v>
      </c>
      <c r="D352" s="74">
        <v>1772.9199999999998</v>
      </c>
      <c r="E352" s="74">
        <v>0</v>
      </c>
      <c r="F352" s="74">
        <v>0</v>
      </c>
      <c r="G352" s="74">
        <v>0</v>
      </c>
      <c r="H352" s="74">
        <v>0</v>
      </c>
      <c r="I352" s="74">
        <v>0</v>
      </c>
      <c r="J352" s="74">
        <v>0</v>
      </c>
      <c r="K352" s="74">
        <v>0</v>
      </c>
      <c r="L352" s="74">
        <v>0</v>
      </c>
      <c r="M352" s="74">
        <v>0</v>
      </c>
      <c r="N352" s="74">
        <v>0</v>
      </c>
      <c r="O352" s="74">
        <v>6041.4</v>
      </c>
    </row>
    <row r="353" spans="1:16" x14ac:dyDescent="0.25">
      <c r="A353" s="71" t="s">
        <v>339</v>
      </c>
      <c r="B353" s="74"/>
      <c r="C353" s="74">
        <v>2121.4299999999998</v>
      </c>
      <c r="D353" s="74">
        <v>1177.02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3298.45</v>
      </c>
    </row>
    <row r="354" spans="1:16" x14ac:dyDescent="0.25">
      <c r="A354" s="71" t="s">
        <v>340</v>
      </c>
      <c r="B354" s="74"/>
      <c r="C354" s="74">
        <v>0</v>
      </c>
      <c r="D354" s="74">
        <v>0</v>
      </c>
      <c r="E354" s="74">
        <v>0</v>
      </c>
      <c r="F354" s="74">
        <v>0</v>
      </c>
      <c r="G354" s="74">
        <v>0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0</v>
      </c>
    </row>
    <row r="355" spans="1:16" x14ac:dyDescent="0.25">
      <c r="A355" s="71" t="s">
        <v>341</v>
      </c>
      <c r="C355" s="83">
        <v>138266.71</v>
      </c>
      <c r="D355" s="83">
        <v>110880.01999999999</v>
      </c>
      <c r="E355" s="83">
        <v>0</v>
      </c>
      <c r="F355" s="83">
        <v>0</v>
      </c>
      <c r="G355" s="83">
        <v>0</v>
      </c>
      <c r="H355" s="83">
        <v>0</v>
      </c>
      <c r="I355" s="83">
        <v>0</v>
      </c>
      <c r="J355" s="83">
        <v>0</v>
      </c>
      <c r="K355" s="83">
        <v>0</v>
      </c>
      <c r="L355" s="83">
        <v>0</v>
      </c>
      <c r="M355" s="83">
        <v>0</v>
      </c>
      <c r="N355" s="83">
        <v>0</v>
      </c>
      <c r="O355" s="83">
        <v>249146.73</v>
      </c>
      <c r="P355" s="86">
        <v>0</v>
      </c>
    </row>
    <row r="356" spans="1:16" x14ac:dyDescent="0.25">
      <c r="A356" s="71" t="s">
        <v>54</v>
      </c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54</v>
      </c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342</v>
      </c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</row>
    <row r="359" spans="1:16" x14ac:dyDescent="0.25">
      <c r="A359" s="71" t="s">
        <v>343</v>
      </c>
      <c r="B359" s="74"/>
      <c r="C359" s="74">
        <v>30290.280000000002</v>
      </c>
      <c r="D359" s="74">
        <v>29657.93</v>
      </c>
      <c r="E359" s="74">
        <v>0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59948.210000000006</v>
      </c>
    </row>
    <row r="360" spans="1:16" x14ac:dyDescent="0.25">
      <c r="A360" s="71" t="s">
        <v>344</v>
      </c>
      <c r="B360" s="74"/>
      <c r="C360" s="74">
        <v>4560.0499999999993</v>
      </c>
      <c r="D360" s="74">
        <v>4342.08</v>
      </c>
      <c r="E360" s="74">
        <v>0</v>
      </c>
      <c r="F360" s="74">
        <v>0</v>
      </c>
      <c r="G360" s="74">
        <v>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8902.1299999999992</v>
      </c>
    </row>
    <row r="361" spans="1:16" x14ac:dyDescent="0.25">
      <c r="A361" s="71" t="s">
        <v>345</v>
      </c>
      <c r="B361" s="74"/>
      <c r="C361" s="74">
        <v>10841.760000000002</v>
      </c>
      <c r="D361" s="74">
        <v>13474.38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24316.14</v>
      </c>
    </row>
    <row r="362" spans="1:16" x14ac:dyDescent="0.25">
      <c r="A362" s="71" t="s">
        <v>346</v>
      </c>
      <c r="B362" s="74"/>
      <c r="C362" s="74">
        <v>0</v>
      </c>
      <c r="D362" s="74">
        <v>0</v>
      </c>
      <c r="E362" s="74">
        <v>0</v>
      </c>
      <c r="F362" s="74">
        <v>0</v>
      </c>
      <c r="G362" s="74">
        <v>0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0</v>
      </c>
    </row>
    <row r="363" spans="1:16" x14ac:dyDescent="0.25">
      <c r="A363" s="71" t="s">
        <v>347</v>
      </c>
      <c r="B363" s="74"/>
      <c r="C363" s="74">
        <v>3908.7200000000003</v>
      </c>
      <c r="D363" s="74">
        <v>1219.44</v>
      </c>
      <c r="E363" s="74">
        <v>0</v>
      </c>
      <c r="F363" s="74">
        <v>0</v>
      </c>
      <c r="G363" s="74">
        <v>0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5128.16</v>
      </c>
    </row>
    <row r="364" spans="1:16" x14ac:dyDescent="0.25">
      <c r="A364" s="71" t="s">
        <v>348</v>
      </c>
      <c r="B364" s="74"/>
      <c r="C364" s="74">
        <v>5080.1600000000008</v>
      </c>
      <c r="D364" s="74">
        <v>13422.869999999999</v>
      </c>
      <c r="E364" s="74">
        <v>0</v>
      </c>
      <c r="F364" s="74">
        <v>0</v>
      </c>
      <c r="G364" s="74">
        <v>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18503.03</v>
      </c>
    </row>
    <row r="365" spans="1:16" x14ac:dyDescent="0.25">
      <c r="A365" s="71" t="s">
        <v>349</v>
      </c>
      <c r="B365" s="74"/>
      <c r="C365" s="74">
        <v>11680.75</v>
      </c>
      <c r="D365" s="74">
        <v>11453.349999999999</v>
      </c>
      <c r="E365" s="74">
        <v>0</v>
      </c>
      <c r="F365" s="74">
        <v>0</v>
      </c>
      <c r="G365" s="74">
        <v>0</v>
      </c>
      <c r="H365" s="74">
        <v>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23134.1</v>
      </c>
    </row>
    <row r="366" spans="1:16" x14ac:dyDescent="0.25">
      <c r="A366" s="71" t="s">
        <v>350</v>
      </c>
      <c r="B366" s="74"/>
      <c r="C366" s="74">
        <v>7501.17</v>
      </c>
      <c r="D366" s="74">
        <v>20455.75</v>
      </c>
      <c r="E366" s="74">
        <v>0</v>
      </c>
      <c r="F366" s="74">
        <v>0</v>
      </c>
      <c r="G366" s="74">
        <v>0</v>
      </c>
      <c r="H366" s="74">
        <v>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27956.92</v>
      </c>
    </row>
    <row r="367" spans="1:16" x14ac:dyDescent="0.25">
      <c r="A367" s="71" t="s">
        <v>351</v>
      </c>
      <c r="B367" s="74"/>
      <c r="C367" s="74">
        <v>33759.909999999996</v>
      </c>
      <c r="D367" s="74">
        <v>48917.62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82677.53</v>
      </c>
    </row>
    <row r="368" spans="1:16" x14ac:dyDescent="0.25">
      <c r="A368" s="71" t="s">
        <v>352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353</v>
      </c>
      <c r="B369" s="74"/>
      <c r="C369" s="74">
        <v>-16.3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-16.3</v>
      </c>
    </row>
    <row r="370" spans="1:16" x14ac:dyDescent="0.25">
      <c r="A370" s="71" t="s">
        <v>354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355</v>
      </c>
      <c r="B371" s="74"/>
      <c r="C371" s="74">
        <v>1166</v>
      </c>
      <c r="D371" s="74">
        <v>429.68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1595.68</v>
      </c>
    </row>
    <row r="372" spans="1:16" x14ac:dyDescent="0.25">
      <c r="A372" s="71" t="s">
        <v>356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357</v>
      </c>
      <c r="B373" s="74"/>
      <c r="C373" s="74">
        <v>504.5</v>
      </c>
      <c r="D373" s="74">
        <v>0</v>
      </c>
      <c r="E373" s="74">
        <v>0</v>
      </c>
      <c r="F373" s="74">
        <v>0</v>
      </c>
      <c r="G373" s="74">
        <v>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504.5</v>
      </c>
    </row>
    <row r="374" spans="1:16" x14ac:dyDescent="0.25">
      <c r="A374" s="71" t="s">
        <v>358</v>
      </c>
      <c r="B374" s="74"/>
      <c r="C374" s="74">
        <v>987.8599999999999</v>
      </c>
      <c r="D374" s="74">
        <v>779.18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1767.04</v>
      </c>
    </row>
    <row r="375" spans="1:16" x14ac:dyDescent="0.25">
      <c r="A375" s="71" t="s">
        <v>359</v>
      </c>
      <c r="B375" s="74"/>
      <c r="C375" s="74">
        <v>792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792</v>
      </c>
    </row>
    <row r="376" spans="1:16" x14ac:dyDescent="0.25">
      <c r="A376" s="71" t="s">
        <v>360</v>
      </c>
      <c r="B376" s="74"/>
      <c r="C376" s="74">
        <v>0</v>
      </c>
      <c r="D376" s="74">
        <v>0</v>
      </c>
      <c r="E376" s="74">
        <v>0</v>
      </c>
      <c r="F376" s="74">
        <v>0</v>
      </c>
      <c r="G376" s="74">
        <v>0</v>
      </c>
      <c r="H376" s="74">
        <v>0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0</v>
      </c>
    </row>
    <row r="377" spans="1:16" x14ac:dyDescent="0.25">
      <c r="A377" s="71" t="s">
        <v>361</v>
      </c>
      <c r="B377" s="74"/>
      <c r="C377" s="74">
        <v>41075.040000000001</v>
      </c>
      <c r="D377" s="74">
        <v>46213.69</v>
      </c>
      <c r="E377" s="74">
        <v>0</v>
      </c>
      <c r="F377" s="74">
        <v>0</v>
      </c>
      <c r="G377" s="74">
        <v>0</v>
      </c>
      <c r="H377" s="74">
        <v>0</v>
      </c>
      <c r="I377" s="74">
        <v>0</v>
      </c>
      <c r="J377" s="74">
        <v>0</v>
      </c>
      <c r="K377" s="74">
        <v>0</v>
      </c>
      <c r="L377" s="74">
        <v>0</v>
      </c>
      <c r="M377" s="74">
        <v>0</v>
      </c>
      <c r="N377" s="74">
        <v>0</v>
      </c>
      <c r="O377" s="74">
        <v>87288.73000000001</v>
      </c>
    </row>
    <row r="378" spans="1:16" x14ac:dyDescent="0.25">
      <c r="A378" s="71" t="s">
        <v>362</v>
      </c>
      <c r="B378" s="74"/>
      <c r="C378" s="74">
        <v>28185.379999999997</v>
      </c>
      <c r="D378" s="74">
        <v>25588.02</v>
      </c>
      <c r="E378" s="74">
        <v>0</v>
      </c>
      <c r="F378" s="74">
        <v>0</v>
      </c>
      <c r="G378" s="74">
        <v>0</v>
      </c>
      <c r="H378" s="74">
        <v>0</v>
      </c>
      <c r="I378" s="74">
        <v>0</v>
      </c>
      <c r="J378" s="74">
        <v>0</v>
      </c>
      <c r="K378" s="74">
        <v>0</v>
      </c>
      <c r="L378" s="74">
        <v>0</v>
      </c>
      <c r="M378" s="74">
        <v>0</v>
      </c>
      <c r="N378" s="74">
        <v>0</v>
      </c>
      <c r="O378" s="74">
        <v>53773.399999999994</v>
      </c>
    </row>
    <row r="379" spans="1:16" x14ac:dyDescent="0.25">
      <c r="A379" s="71" t="s">
        <v>363</v>
      </c>
      <c r="B379" s="74"/>
      <c r="C379" s="74">
        <v>23946.63</v>
      </c>
      <c r="D379" s="74">
        <v>25078.75</v>
      </c>
      <c r="E379" s="74">
        <v>0</v>
      </c>
      <c r="F379" s="74">
        <v>0</v>
      </c>
      <c r="G379" s="74">
        <v>0</v>
      </c>
      <c r="H379" s="74">
        <v>0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49025.380000000005</v>
      </c>
    </row>
    <row r="380" spans="1:16" x14ac:dyDescent="0.25">
      <c r="A380" s="71" t="s">
        <v>364</v>
      </c>
      <c r="C380" s="83">
        <v>204263.91</v>
      </c>
      <c r="D380" s="83">
        <v>241032.73999999996</v>
      </c>
      <c r="E380" s="83">
        <v>0</v>
      </c>
      <c r="F380" s="83">
        <v>0</v>
      </c>
      <c r="G380" s="83">
        <v>0</v>
      </c>
      <c r="H380" s="83">
        <v>0</v>
      </c>
      <c r="I380" s="83">
        <v>0</v>
      </c>
      <c r="J380" s="83">
        <v>0</v>
      </c>
      <c r="K380" s="83">
        <v>0</v>
      </c>
      <c r="L380" s="83">
        <v>0</v>
      </c>
      <c r="M380" s="83">
        <v>0</v>
      </c>
      <c r="N380" s="83">
        <v>0</v>
      </c>
      <c r="O380" s="83">
        <v>445296.65</v>
      </c>
      <c r="P380" s="86">
        <v>0</v>
      </c>
    </row>
    <row r="381" spans="1:16" x14ac:dyDescent="0.25"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</row>
    <row r="382" spans="1:16" x14ac:dyDescent="0.25">
      <c r="A382" s="71" t="s">
        <v>365</v>
      </c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</row>
    <row r="383" spans="1:16" x14ac:dyDescent="0.25">
      <c r="A383" s="71" t="s">
        <v>366</v>
      </c>
      <c r="B383" s="74"/>
      <c r="C383" s="74">
        <v>71317.84</v>
      </c>
      <c r="D383" s="74">
        <v>72370.06</v>
      </c>
      <c r="E383" s="74">
        <v>0</v>
      </c>
      <c r="F383" s="74">
        <v>0</v>
      </c>
      <c r="G383" s="74">
        <v>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143687.9</v>
      </c>
    </row>
    <row r="384" spans="1:16" x14ac:dyDescent="0.25">
      <c r="A384" s="71" t="s">
        <v>367</v>
      </c>
      <c r="B384" s="74"/>
      <c r="C384" s="74">
        <v>32221.799999999996</v>
      </c>
      <c r="D384" s="74">
        <v>31584.449999999997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63806.249999999993</v>
      </c>
    </row>
    <row r="385" spans="1:15" x14ac:dyDescent="0.25">
      <c r="A385" s="71" t="s">
        <v>368</v>
      </c>
      <c r="B385" s="74"/>
      <c r="C385" s="74">
        <v>9765.6899999999987</v>
      </c>
      <c r="D385" s="74">
        <v>9158.9699999999993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18924.659999999996</v>
      </c>
    </row>
    <row r="386" spans="1:15" x14ac:dyDescent="0.25">
      <c r="A386" s="71" t="s">
        <v>369</v>
      </c>
      <c r="B386" s="74"/>
      <c r="C386" s="74">
        <v>317.54000000000002</v>
      </c>
      <c r="D386" s="74">
        <v>478.83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796.37</v>
      </c>
    </row>
    <row r="387" spans="1:15" x14ac:dyDescent="0.25">
      <c r="A387" s="71" t="s">
        <v>370</v>
      </c>
      <c r="B387" s="74"/>
      <c r="C387" s="74">
        <v>5752.84</v>
      </c>
      <c r="D387" s="74">
        <v>5037.84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10790.68</v>
      </c>
    </row>
    <row r="388" spans="1:15" x14ac:dyDescent="0.25">
      <c r="A388" s="71" t="s">
        <v>371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372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373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374</v>
      </c>
      <c r="B391" s="74"/>
      <c r="C391" s="74">
        <v>1638</v>
      </c>
      <c r="D391" s="74">
        <v>-270</v>
      </c>
      <c r="E391" s="74">
        <v>0</v>
      </c>
      <c r="F391" s="74">
        <v>0</v>
      </c>
      <c r="G391" s="74">
        <v>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1368</v>
      </c>
    </row>
    <row r="392" spans="1:15" x14ac:dyDescent="0.25">
      <c r="A392" s="71" t="s">
        <v>375</v>
      </c>
      <c r="B392" s="74"/>
      <c r="C392" s="74">
        <v>934</v>
      </c>
      <c r="D392" s="74">
        <v>934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1868</v>
      </c>
    </row>
    <row r="393" spans="1:15" x14ac:dyDescent="0.25">
      <c r="A393" s="71" t="s">
        <v>376</v>
      </c>
      <c r="B393" s="74"/>
      <c r="C393" s="74">
        <v>0</v>
      </c>
      <c r="D393" s="74">
        <v>0</v>
      </c>
      <c r="E393" s="74">
        <v>0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5">
      <c r="A394" s="71" t="s">
        <v>377</v>
      </c>
      <c r="B394" s="74"/>
      <c r="C394" s="74">
        <v>1789.1000000000001</v>
      </c>
      <c r="D394" s="74">
        <v>1672.7199999999998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3461.8199999999997</v>
      </c>
    </row>
    <row r="395" spans="1:15" x14ac:dyDescent="0.25">
      <c r="A395" s="71" t="s">
        <v>378</v>
      </c>
      <c r="B395" s="74"/>
      <c r="C395" s="74">
        <v>0</v>
      </c>
      <c r="D395" s="74">
        <v>0</v>
      </c>
      <c r="E395" s="74">
        <v>0</v>
      </c>
      <c r="F395" s="74">
        <v>0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5">
      <c r="A396" s="71" t="s">
        <v>379</v>
      </c>
      <c r="B396" s="74"/>
      <c r="C396" s="74">
        <v>1782.32</v>
      </c>
      <c r="D396" s="74">
        <v>737.04</v>
      </c>
      <c r="E396" s="74">
        <v>0</v>
      </c>
      <c r="F396" s="74">
        <v>0</v>
      </c>
      <c r="G396" s="74">
        <v>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2519.3599999999997</v>
      </c>
    </row>
    <row r="397" spans="1:15" x14ac:dyDescent="0.25">
      <c r="A397" s="71" t="s">
        <v>380</v>
      </c>
      <c r="B397" s="74"/>
      <c r="C397" s="74">
        <v>4078.13</v>
      </c>
      <c r="D397" s="74">
        <v>1180.3699999999999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5258.5</v>
      </c>
    </row>
    <row r="398" spans="1:15" x14ac:dyDescent="0.25">
      <c r="A398" s="71" t="s">
        <v>381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382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383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384</v>
      </c>
      <c r="B401" s="74"/>
      <c r="C401" s="74">
        <v>8178.54</v>
      </c>
      <c r="D401" s="74">
        <v>15399.279999999999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23577.82</v>
      </c>
    </row>
    <row r="402" spans="1:15" x14ac:dyDescent="0.25">
      <c r="A402" s="71" t="s">
        <v>385</v>
      </c>
      <c r="B402" s="74"/>
      <c r="C402" s="74">
        <v>0</v>
      </c>
      <c r="D402" s="74">
        <v>0</v>
      </c>
      <c r="E402" s="74">
        <v>0</v>
      </c>
      <c r="F402" s="74">
        <v>0</v>
      </c>
      <c r="G402" s="74">
        <v>0</v>
      </c>
      <c r="H402" s="74">
        <v>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0</v>
      </c>
    </row>
    <row r="403" spans="1:15" x14ac:dyDescent="0.25">
      <c r="A403" s="71" t="s">
        <v>386</v>
      </c>
      <c r="B403" s="74"/>
      <c r="C403" s="74">
        <v>660</v>
      </c>
      <c r="D403" s="74">
        <v>660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1320</v>
      </c>
    </row>
    <row r="404" spans="1:15" x14ac:dyDescent="0.25">
      <c r="A404" s="71" t="s">
        <v>387</v>
      </c>
      <c r="B404" s="74"/>
      <c r="C404" s="74">
        <v>1237.75</v>
      </c>
      <c r="D404" s="74">
        <v>1237.75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2475.5</v>
      </c>
    </row>
    <row r="405" spans="1:15" x14ac:dyDescent="0.25">
      <c r="A405" s="71" t="s">
        <v>388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389</v>
      </c>
      <c r="B406" s="74"/>
      <c r="C406" s="74">
        <v>0</v>
      </c>
      <c r="D406" s="74">
        <v>0</v>
      </c>
      <c r="E406" s="74">
        <v>0</v>
      </c>
      <c r="F406" s="74">
        <v>0</v>
      </c>
      <c r="G406" s="74">
        <v>0</v>
      </c>
      <c r="H406" s="74">
        <v>0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</row>
    <row r="407" spans="1:15" x14ac:dyDescent="0.25">
      <c r="A407" s="71" t="s">
        <v>390</v>
      </c>
      <c r="B407" s="74"/>
      <c r="C407" s="74">
        <v>5005</v>
      </c>
      <c r="D407" s="74">
        <v>5005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10010</v>
      </c>
    </row>
    <row r="408" spans="1:15" x14ac:dyDescent="0.25">
      <c r="A408" s="71" t="s">
        <v>391</v>
      </c>
      <c r="B408" s="74"/>
      <c r="C408" s="74">
        <v>870</v>
      </c>
      <c r="D408" s="74">
        <v>201.63</v>
      </c>
      <c r="E408" s="74">
        <v>0</v>
      </c>
      <c r="F408" s="74">
        <v>0</v>
      </c>
      <c r="G408" s="74">
        <v>0</v>
      </c>
      <c r="H408" s="74">
        <v>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1071.6300000000001</v>
      </c>
    </row>
    <row r="409" spans="1:15" x14ac:dyDescent="0.25">
      <c r="A409" s="71" t="s">
        <v>392</v>
      </c>
      <c r="B409" s="74"/>
      <c r="C409" s="74">
        <v>2676.21</v>
      </c>
      <c r="D409" s="74">
        <v>3060.8899999999994</v>
      </c>
      <c r="E409" s="74">
        <v>0</v>
      </c>
      <c r="F409" s="74">
        <v>0</v>
      </c>
      <c r="G409" s="74">
        <v>0</v>
      </c>
      <c r="H409" s="74">
        <v>0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5737.0999999999995</v>
      </c>
    </row>
    <row r="410" spans="1:15" x14ac:dyDescent="0.25">
      <c r="A410" s="71" t="s">
        <v>393</v>
      </c>
      <c r="B410" s="74"/>
      <c r="C410" s="74">
        <v>5129.05</v>
      </c>
      <c r="D410" s="74">
        <v>7292.35</v>
      </c>
      <c r="E410" s="74">
        <v>0</v>
      </c>
      <c r="F410" s="74">
        <v>0</v>
      </c>
      <c r="G410" s="74">
        <v>0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12421.400000000001</v>
      </c>
    </row>
    <row r="411" spans="1:15" x14ac:dyDescent="0.25">
      <c r="A411" s="71" t="s">
        <v>394</v>
      </c>
      <c r="B411" s="74"/>
      <c r="C411" s="74">
        <v>1388.52</v>
      </c>
      <c r="D411" s="74">
        <v>2101.29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3489.81</v>
      </c>
    </row>
    <row r="412" spans="1:15" x14ac:dyDescent="0.25">
      <c r="A412" s="71" t="s">
        <v>395</v>
      </c>
      <c r="B412" s="74"/>
      <c r="C412" s="74">
        <v>0</v>
      </c>
      <c r="D412" s="74">
        <v>0</v>
      </c>
      <c r="E412" s="74">
        <v>0</v>
      </c>
      <c r="F412" s="74">
        <v>0</v>
      </c>
      <c r="G412" s="74">
        <v>0</v>
      </c>
      <c r="H412" s="74">
        <v>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</row>
    <row r="413" spans="1:15" x14ac:dyDescent="0.25">
      <c r="A413" s="71" t="s">
        <v>396</v>
      </c>
      <c r="B413" s="74"/>
      <c r="C413" s="74">
        <v>1662.86</v>
      </c>
      <c r="D413" s="74">
        <v>1829.2900000000002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3492.15</v>
      </c>
    </row>
    <row r="414" spans="1:15" x14ac:dyDescent="0.25">
      <c r="A414" s="71" t="s">
        <v>397</v>
      </c>
      <c r="B414" s="74"/>
      <c r="C414" s="74">
        <v>2527.4300000000003</v>
      </c>
      <c r="D414" s="74">
        <v>3370.34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5897.77</v>
      </c>
    </row>
    <row r="415" spans="1:15" x14ac:dyDescent="0.25">
      <c r="A415" s="71" t="s">
        <v>398</v>
      </c>
      <c r="B415" s="74"/>
      <c r="C415" s="74">
        <v>0</v>
      </c>
      <c r="D415" s="74">
        <v>0</v>
      </c>
      <c r="E415" s="74">
        <v>0</v>
      </c>
      <c r="F415" s="74">
        <v>0</v>
      </c>
      <c r="G415" s="74">
        <v>0</v>
      </c>
      <c r="H415" s="74">
        <v>0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0</v>
      </c>
    </row>
    <row r="416" spans="1:15" x14ac:dyDescent="0.25">
      <c r="A416" s="71" t="s">
        <v>399</v>
      </c>
      <c r="B416" s="74"/>
      <c r="C416" s="74">
        <v>11185.54</v>
      </c>
      <c r="D416" s="74">
        <v>11694.01</v>
      </c>
      <c r="E416" s="74">
        <v>0</v>
      </c>
      <c r="F416" s="74">
        <v>0</v>
      </c>
      <c r="G416" s="74">
        <v>0</v>
      </c>
      <c r="H416" s="74">
        <v>0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22879.550000000003</v>
      </c>
    </row>
    <row r="417" spans="1:15" x14ac:dyDescent="0.25">
      <c r="A417" s="71" t="s">
        <v>400</v>
      </c>
      <c r="B417" s="74"/>
      <c r="C417" s="74">
        <v>8181.6</v>
      </c>
      <c r="D417" s="74">
        <v>8181.6</v>
      </c>
      <c r="E417" s="74">
        <v>0</v>
      </c>
      <c r="F417" s="74">
        <v>0</v>
      </c>
      <c r="G417" s="74">
        <v>0</v>
      </c>
      <c r="H417" s="74">
        <v>0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16363.2</v>
      </c>
    </row>
    <row r="418" spans="1:15" x14ac:dyDescent="0.25">
      <c r="A418" s="71" t="s">
        <v>401</v>
      </c>
      <c r="B418" s="74"/>
      <c r="C418" s="74">
        <v>1726.6799999999998</v>
      </c>
      <c r="D418" s="74">
        <v>1726.6799999999998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3453.3599999999997</v>
      </c>
    </row>
    <row r="419" spans="1:15" x14ac:dyDescent="0.25">
      <c r="A419" s="71" t="s">
        <v>402</v>
      </c>
      <c r="B419" s="74"/>
      <c r="C419" s="74">
        <v>0</v>
      </c>
      <c r="D419" s="74">
        <v>0</v>
      </c>
      <c r="E419" s="74">
        <v>0</v>
      </c>
      <c r="F419" s="74">
        <v>0</v>
      </c>
      <c r="G419" s="74">
        <v>0</v>
      </c>
      <c r="H419" s="74">
        <v>0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0</v>
      </c>
    </row>
    <row r="420" spans="1:15" x14ac:dyDescent="0.25">
      <c r="A420" s="71" t="s">
        <v>403</v>
      </c>
      <c r="B420" s="74"/>
      <c r="C420" s="74">
        <v>49685.39</v>
      </c>
      <c r="D420" s="74">
        <v>44551.270000000004</v>
      </c>
      <c r="E420" s="74">
        <v>0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94236.66</v>
      </c>
    </row>
    <row r="421" spans="1:15" x14ac:dyDescent="0.25">
      <c r="A421" s="71" t="s">
        <v>404</v>
      </c>
      <c r="B421" s="74"/>
      <c r="C421" s="74">
        <v>2039.0199999999998</v>
      </c>
      <c r="D421" s="74">
        <v>2090.88</v>
      </c>
      <c r="E421" s="74">
        <v>0</v>
      </c>
      <c r="F421" s="74">
        <v>0</v>
      </c>
      <c r="G421" s="74">
        <v>0</v>
      </c>
      <c r="H421" s="74">
        <v>0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4129.8999999999996</v>
      </c>
    </row>
    <row r="422" spans="1:15" x14ac:dyDescent="0.25">
      <c r="A422" s="71" t="s">
        <v>405</v>
      </c>
      <c r="B422" s="74"/>
      <c r="C422" s="74">
        <v>8153.5</v>
      </c>
      <c r="D422" s="74">
        <v>13181.3</v>
      </c>
      <c r="E422" s="74">
        <v>0</v>
      </c>
      <c r="F422" s="74">
        <v>0</v>
      </c>
      <c r="G422" s="74">
        <v>0</v>
      </c>
      <c r="H422" s="74">
        <v>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21334.799999999999</v>
      </c>
    </row>
    <row r="423" spans="1:15" x14ac:dyDescent="0.25">
      <c r="A423" s="71" t="s">
        <v>406</v>
      </c>
      <c r="B423" s="74"/>
      <c r="C423" s="74">
        <v>155254.97999999998</v>
      </c>
      <c r="D423" s="74">
        <v>141254.57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296509.55</v>
      </c>
    </row>
    <row r="424" spans="1:15" x14ac:dyDescent="0.25">
      <c r="A424" s="71" t="s">
        <v>407</v>
      </c>
      <c r="B424" s="74"/>
      <c r="C424" s="74">
        <v>273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273</v>
      </c>
    </row>
    <row r="425" spans="1:15" x14ac:dyDescent="0.25">
      <c r="A425" s="71" t="s">
        <v>408</v>
      </c>
      <c r="B425" s="74"/>
      <c r="C425" s="74">
        <v>9750</v>
      </c>
      <c r="D425" s="74">
        <v>0</v>
      </c>
      <c r="E425" s="74">
        <v>0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9750</v>
      </c>
    </row>
    <row r="426" spans="1:15" x14ac:dyDescent="0.25">
      <c r="A426" s="71" t="s">
        <v>409</v>
      </c>
      <c r="B426" s="74"/>
      <c r="C426" s="74">
        <v>1401</v>
      </c>
      <c r="D426" s="74">
        <v>30</v>
      </c>
      <c r="E426" s="74">
        <v>0</v>
      </c>
      <c r="F426" s="74">
        <v>0</v>
      </c>
      <c r="G426" s="74">
        <v>0</v>
      </c>
      <c r="H426" s="74">
        <v>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1431</v>
      </c>
    </row>
    <row r="427" spans="1:15" x14ac:dyDescent="0.25">
      <c r="A427" s="71" t="s">
        <v>410</v>
      </c>
      <c r="B427" s="74"/>
      <c r="C427" s="74">
        <v>124860.45999999999</v>
      </c>
      <c r="D427" s="74">
        <v>109019.06999999999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233879.52999999997</v>
      </c>
    </row>
    <row r="428" spans="1:15" x14ac:dyDescent="0.25">
      <c r="A428" s="71" t="s">
        <v>411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412</v>
      </c>
      <c r="B429" s="74"/>
      <c r="C429" s="74">
        <v>336.94000000000005</v>
      </c>
      <c r="D429" s="74">
        <v>78.199999999999989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415.14000000000004</v>
      </c>
    </row>
    <row r="430" spans="1:15" x14ac:dyDescent="0.25">
      <c r="A430" s="71" t="s">
        <v>413</v>
      </c>
      <c r="B430" s="74"/>
      <c r="C430" s="74">
        <v>0</v>
      </c>
      <c r="D430" s="74">
        <v>0</v>
      </c>
      <c r="E430" s="74">
        <v>0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5">
      <c r="A431" s="71" t="s">
        <v>414</v>
      </c>
      <c r="B431" s="74"/>
      <c r="C431" s="74">
        <v>-237.5</v>
      </c>
      <c r="D431" s="74">
        <v>715.22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477.72</v>
      </c>
    </row>
    <row r="432" spans="1:15" x14ac:dyDescent="0.25">
      <c r="A432" s="71" t="s">
        <v>415</v>
      </c>
      <c r="B432" s="74"/>
      <c r="C432" s="74">
        <v>0</v>
      </c>
      <c r="D432" s="74">
        <v>0</v>
      </c>
      <c r="E432" s="74">
        <v>0</v>
      </c>
      <c r="F432" s="74">
        <v>0</v>
      </c>
      <c r="G432" s="74">
        <v>0</v>
      </c>
      <c r="H432" s="74">
        <v>0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</row>
    <row r="433" spans="1:16" x14ac:dyDescent="0.25">
      <c r="A433" s="71" t="s">
        <v>455</v>
      </c>
      <c r="B433" s="74"/>
      <c r="C433" s="74">
        <v>10157.17</v>
      </c>
      <c r="D433" s="74">
        <v>11453.910000000002</v>
      </c>
      <c r="E433" s="74">
        <v>0</v>
      </c>
      <c r="F433" s="74">
        <v>0</v>
      </c>
      <c r="G433" s="74">
        <v>0</v>
      </c>
      <c r="H433" s="74">
        <v>0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21611.08</v>
      </c>
    </row>
    <row r="434" spans="1:16" x14ac:dyDescent="0.25">
      <c r="A434" s="71" t="s">
        <v>416</v>
      </c>
      <c r="B434" s="74"/>
      <c r="C434" s="74">
        <v>208500</v>
      </c>
      <c r="D434" s="74">
        <v>208500</v>
      </c>
      <c r="E434" s="74">
        <v>0</v>
      </c>
      <c r="F434" s="74">
        <v>0</v>
      </c>
      <c r="G434" s="74">
        <v>0</v>
      </c>
      <c r="H434" s="74">
        <v>0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417000</v>
      </c>
    </row>
    <row r="435" spans="1:16" x14ac:dyDescent="0.25">
      <c r="A435" s="71" t="s">
        <v>417</v>
      </c>
      <c r="B435" s="74"/>
      <c r="C435" s="74">
        <v>16099.27</v>
      </c>
      <c r="D435" s="74">
        <v>14647.51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30746.78</v>
      </c>
    </row>
    <row r="436" spans="1:16" x14ac:dyDescent="0.25">
      <c r="A436" s="71" t="s">
        <v>418</v>
      </c>
      <c r="B436" s="74"/>
      <c r="C436" s="74">
        <v>0</v>
      </c>
      <c r="D436" s="74">
        <v>0</v>
      </c>
      <c r="E436" s="74">
        <v>0</v>
      </c>
      <c r="F436" s="74">
        <v>0</v>
      </c>
      <c r="G436" s="74">
        <v>0</v>
      </c>
      <c r="H436" s="74">
        <v>0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</row>
    <row r="437" spans="1:16" x14ac:dyDescent="0.25">
      <c r="A437" s="71" t="s">
        <v>419</v>
      </c>
      <c r="B437" s="74"/>
      <c r="C437" s="74">
        <v>5242.04</v>
      </c>
      <c r="D437" s="74">
        <v>3614.8199999999997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8856.86</v>
      </c>
    </row>
    <row r="438" spans="1:16" x14ac:dyDescent="0.25">
      <c r="A438" s="71" t="s">
        <v>420</v>
      </c>
      <c r="B438" s="74"/>
      <c r="C438" s="74">
        <v>0</v>
      </c>
      <c r="D438" s="74">
        <v>0</v>
      </c>
      <c r="E438" s="74">
        <v>0</v>
      </c>
      <c r="F438" s="74">
        <v>0</v>
      </c>
      <c r="G438" s="74">
        <v>0</v>
      </c>
      <c r="H438" s="74">
        <v>0</v>
      </c>
      <c r="I438" s="74">
        <v>0</v>
      </c>
      <c r="J438" s="74">
        <v>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</row>
    <row r="439" spans="1:16" x14ac:dyDescent="0.25">
      <c r="A439" s="71" t="s">
        <v>421</v>
      </c>
      <c r="B439" s="74"/>
      <c r="C439" s="74">
        <v>0</v>
      </c>
      <c r="D439" s="74">
        <v>0</v>
      </c>
      <c r="E439" s="74">
        <v>0</v>
      </c>
      <c r="F439" s="74">
        <v>0</v>
      </c>
      <c r="G439" s="74">
        <v>0</v>
      </c>
      <c r="H439" s="74">
        <v>0</v>
      </c>
      <c r="I439" s="74">
        <v>0</v>
      </c>
      <c r="J439" s="74">
        <v>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</row>
    <row r="440" spans="1:16" x14ac:dyDescent="0.25">
      <c r="A440" s="71" t="s">
        <v>422</v>
      </c>
      <c r="B440" s="74"/>
      <c r="C440" s="74">
        <v>0</v>
      </c>
      <c r="D440" s="74">
        <v>177.83</v>
      </c>
      <c r="E440" s="74">
        <v>0</v>
      </c>
      <c r="F440" s="74">
        <v>0</v>
      </c>
      <c r="G440" s="74">
        <v>0</v>
      </c>
      <c r="H440" s="74">
        <v>0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177.83</v>
      </c>
    </row>
    <row r="441" spans="1:16" x14ac:dyDescent="0.25">
      <c r="A441" s="71" t="s">
        <v>423</v>
      </c>
      <c r="C441" s="83">
        <v>771541.71</v>
      </c>
      <c r="D441" s="83">
        <v>733958.97</v>
      </c>
      <c r="E441" s="83">
        <v>0</v>
      </c>
      <c r="F441" s="83">
        <v>0</v>
      </c>
      <c r="G441" s="83">
        <v>0</v>
      </c>
      <c r="H441" s="83">
        <v>0</v>
      </c>
      <c r="I441" s="83">
        <v>0</v>
      </c>
      <c r="J441" s="83">
        <v>0</v>
      </c>
      <c r="K441" s="83">
        <v>0</v>
      </c>
      <c r="L441" s="83">
        <v>0</v>
      </c>
      <c r="M441" s="83">
        <v>0</v>
      </c>
      <c r="N441" s="83">
        <v>0</v>
      </c>
      <c r="O441" s="83">
        <v>1505500.6800000002</v>
      </c>
      <c r="P441" s="86">
        <v>0</v>
      </c>
    </row>
    <row r="442" spans="1:16" x14ac:dyDescent="0.25"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</row>
    <row r="443" spans="1:16" x14ac:dyDescent="0.25">
      <c r="A443" s="71" t="s">
        <v>424</v>
      </c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</row>
    <row r="444" spans="1:16" x14ac:dyDescent="0.25">
      <c r="A444" s="71" t="s">
        <v>425</v>
      </c>
      <c r="B444" s="74"/>
      <c r="C444" s="74">
        <v>84419.450000000012</v>
      </c>
      <c r="D444" s="74">
        <v>76641.450000000012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161060.90000000002</v>
      </c>
    </row>
    <row r="445" spans="1:16" x14ac:dyDescent="0.25">
      <c r="A445" s="71" t="s">
        <v>426</v>
      </c>
      <c r="B445" s="74"/>
      <c r="C445" s="74">
        <v>0</v>
      </c>
      <c r="D445" s="74">
        <v>10624.46</v>
      </c>
      <c r="E445" s="74">
        <v>0</v>
      </c>
      <c r="F445" s="74">
        <v>0</v>
      </c>
      <c r="G445" s="74">
        <v>0</v>
      </c>
      <c r="H445" s="74">
        <v>0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10624.46</v>
      </c>
    </row>
    <row r="446" spans="1:16" x14ac:dyDescent="0.25">
      <c r="A446" s="71" t="s">
        <v>427</v>
      </c>
      <c r="B446" s="74"/>
      <c r="C446" s="74">
        <v>17507.850000000002</v>
      </c>
      <c r="D446" s="74">
        <v>18781.11</v>
      </c>
      <c r="E446" s="74">
        <v>0</v>
      </c>
      <c r="F446" s="74">
        <v>0</v>
      </c>
      <c r="G446" s="74">
        <v>0</v>
      </c>
      <c r="H446" s="74">
        <v>0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36288.960000000006</v>
      </c>
    </row>
    <row r="447" spans="1:16" x14ac:dyDescent="0.25">
      <c r="A447" s="71" t="s">
        <v>428</v>
      </c>
      <c r="B447" s="74"/>
      <c r="C447" s="74">
        <v>516353.22</v>
      </c>
      <c r="D447" s="74">
        <v>513296.47999999986</v>
      </c>
      <c r="E447" s="74">
        <v>0</v>
      </c>
      <c r="F447" s="74">
        <v>0</v>
      </c>
      <c r="G447" s="74">
        <v>0</v>
      </c>
      <c r="H447" s="74">
        <v>0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1029649.6999999998</v>
      </c>
    </row>
    <row r="448" spans="1:16" x14ac:dyDescent="0.25">
      <c r="A448" s="71" t="s">
        <v>429</v>
      </c>
      <c r="B448" s="74"/>
      <c r="C448" s="74">
        <v>32977.200000000004</v>
      </c>
      <c r="D448" s="74">
        <v>41784.310000000005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74761.510000000009</v>
      </c>
    </row>
    <row r="449" spans="1:16" x14ac:dyDescent="0.25">
      <c r="A449" s="71" t="s">
        <v>430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431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432</v>
      </c>
      <c r="B451" s="74"/>
      <c r="C451" s="74">
        <v>0</v>
      </c>
      <c r="D451" s="74">
        <v>0</v>
      </c>
      <c r="E451" s="74">
        <v>0</v>
      </c>
      <c r="F451" s="74">
        <v>0</v>
      </c>
      <c r="G451" s="74">
        <v>0</v>
      </c>
      <c r="H451" s="74">
        <v>0</v>
      </c>
      <c r="I451" s="74">
        <v>0</v>
      </c>
      <c r="J451" s="74">
        <v>0</v>
      </c>
      <c r="K451" s="74">
        <v>0</v>
      </c>
      <c r="L451" s="74">
        <v>0</v>
      </c>
      <c r="M451" s="74">
        <v>0</v>
      </c>
      <c r="N451" s="74">
        <v>0</v>
      </c>
      <c r="O451" s="74">
        <v>0</v>
      </c>
    </row>
    <row r="452" spans="1:16" x14ac:dyDescent="0.25">
      <c r="A452" s="71" t="s">
        <v>433</v>
      </c>
      <c r="B452" s="74"/>
      <c r="C452" s="74">
        <v>21729</v>
      </c>
      <c r="D452" s="74">
        <v>20725</v>
      </c>
      <c r="E452" s="74">
        <v>0</v>
      </c>
      <c r="F452" s="74">
        <v>0</v>
      </c>
      <c r="G452" s="74">
        <v>0</v>
      </c>
      <c r="H452" s="74">
        <v>0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42454</v>
      </c>
    </row>
    <row r="453" spans="1:16" x14ac:dyDescent="0.25">
      <c r="A453" s="71" t="s">
        <v>434</v>
      </c>
      <c r="B453" s="74"/>
      <c r="C453" s="74">
        <v>489.67000000000007</v>
      </c>
      <c r="D453" s="74">
        <v>630.85</v>
      </c>
      <c r="E453" s="74">
        <v>0</v>
      </c>
      <c r="F453" s="74">
        <v>0</v>
      </c>
      <c r="G453" s="74">
        <v>0</v>
      </c>
      <c r="H453" s="74">
        <v>0</v>
      </c>
      <c r="I453" s="74">
        <v>0</v>
      </c>
      <c r="J453" s="74">
        <v>0</v>
      </c>
      <c r="K453" s="74">
        <v>0</v>
      </c>
      <c r="L453" s="74">
        <v>0</v>
      </c>
      <c r="M453" s="74">
        <v>0</v>
      </c>
      <c r="N453" s="74">
        <v>0</v>
      </c>
      <c r="O453" s="74">
        <v>1120.52</v>
      </c>
    </row>
    <row r="454" spans="1:16" x14ac:dyDescent="0.25">
      <c r="A454" s="71" t="s">
        <v>435</v>
      </c>
      <c r="C454" s="83">
        <v>673476.39</v>
      </c>
      <c r="D454" s="83">
        <v>682483.65999999992</v>
      </c>
      <c r="E454" s="83">
        <v>0</v>
      </c>
      <c r="F454" s="83">
        <v>0</v>
      </c>
      <c r="G454" s="83">
        <v>0</v>
      </c>
      <c r="H454" s="83">
        <v>0</v>
      </c>
      <c r="I454" s="83">
        <v>0</v>
      </c>
      <c r="J454" s="83">
        <v>0</v>
      </c>
      <c r="K454" s="83">
        <v>0</v>
      </c>
      <c r="L454" s="83">
        <v>0</v>
      </c>
      <c r="M454" s="83">
        <v>0</v>
      </c>
      <c r="N454" s="83">
        <v>0</v>
      </c>
      <c r="O454" s="83">
        <v>1355960.0499999998</v>
      </c>
      <c r="P454" s="86">
        <v>0</v>
      </c>
    </row>
    <row r="455" spans="1:16" x14ac:dyDescent="0.25">
      <c r="A455" s="71" t="s">
        <v>54</v>
      </c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</row>
    <row r="456" spans="1:16" ht="18.75" thickBot="1" x14ac:dyDescent="0.3">
      <c r="A456" s="85" t="s">
        <v>68</v>
      </c>
      <c r="B456" s="85"/>
      <c r="C456" s="81">
        <v>3695556.3199999994</v>
      </c>
      <c r="D456" s="81">
        <v>3467239.7800000003</v>
      </c>
      <c r="E456" s="81">
        <v>0</v>
      </c>
      <c r="F456" s="81">
        <v>0</v>
      </c>
      <c r="G456" s="81">
        <v>0</v>
      </c>
      <c r="H456" s="81">
        <v>0</v>
      </c>
      <c r="I456" s="81">
        <v>0</v>
      </c>
      <c r="J456" s="81">
        <v>0</v>
      </c>
      <c r="K456" s="81">
        <v>0</v>
      </c>
      <c r="L456" s="81">
        <v>0</v>
      </c>
      <c r="M456" s="81">
        <v>0</v>
      </c>
      <c r="N456" s="81">
        <v>0</v>
      </c>
      <c r="O456" s="81">
        <v>7162796.0999999996</v>
      </c>
      <c r="P456" s="87">
        <v>0</v>
      </c>
    </row>
    <row r="457" spans="1:16" ht="18.75" thickTop="1" x14ac:dyDescent="0.25">
      <c r="C457" s="73">
        <v>3695556.3200000003</v>
      </c>
      <c r="D457" s="73">
        <v>3467239.78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7162796.0999999996</v>
      </c>
    </row>
    <row r="458" spans="1:16" x14ac:dyDescent="0.25">
      <c r="C458" s="87">
        <v>0</v>
      </c>
      <c r="D458" s="87">
        <v>0</v>
      </c>
      <c r="E458" s="87">
        <v>0</v>
      </c>
      <c r="F458" s="87">
        <v>0</v>
      </c>
      <c r="G458" s="87">
        <v>0</v>
      </c>
      <c r="H458" s="87">
        <v>0</v>
      </c>
      <c r="I458" s="87">
        <v>0</v>
      </c>
      <c r="J458" s="87">
        <v>0</v>
      </c>
      <c r="K458" s="87">
        <v>0</v>
      </c>
      <c r="L458" s="87">
        <v>0</v>
      </c>
      <c r="M458" s="87">
        <v>0</v>
      </c>
      <c r="N458" s="87">
        <v>0</v>
      </c>
      <c r="O458" s="87">
        <v>0</v>
      </c>
    </row>
  </sheetData>
  <printOptions horizontalCentered="1"/>
  <pageMargins left="0" right="0" top="0" bottom="0" header="0" footer="0"/>
  <pageSetup scale="32" orientation="landscape" r:id="rId1"/>
  <rowBreaks count="4" manualBreakCount="4">
    <brk id="54" max="14" man="1"/>
    <brk id="161" max="14" man="1"/>
    <brk id="273" max="14" man="1"/>
    <brk id="367" max="14" man="1"/>
  </rowBreaks>
  <drawing r:id="rId2"/>
  <legacyDrawing r:id="rId3"/>
  <controls>
    <mc:AlternateContent xmlns:mc="http://schemas.openxmlformats.org/markup-compatibility/2006">
      <mc:Choice Requires="x14">
        <control shapeId="4097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4097" r:id="rId4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5"/>
  <sheetViews>
    <sheetView view="pageBreakPreview" topLeftCell="A79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5703125" style="71" bestFit="1" customWidth="1"/>
    <col min="17" max="17" width="9" style="71" bestFit="1" customWidth="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513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61.258064516129032</v>
      </c>
      <c r="D8" s="97">
        <v>63.178571428571431</v>
      </c>
      <c r="E8" s="97">
        <v>59.612903225806448</v>
      </c>
      <c r="F8" s="97">
        <v>61.633333333333333</v>
      </c>
      <c r="G8" s="97">
        <v>59.193548387096776</v>
      </c>
      <c r="H8" s="97">
        <v>55.666666666666664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563</v>
      </c>
      <c r="D11" s="74">
        <v>518</v>
      </c>
      <c r="E11" s="74">
        <v>570</v>
      </c>
      <c r="F11" s="74">
        <v>606</v>
      </c>
      <c r="G11" s="74">
        <v>578</v>
      </c>
      <c r="H11" s="74">
        <v>469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3304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5">
      <c r="A13" s="71" t="s">
        <v>43</v>
      </c>
      <c r="C13" s="74">
        <v>934</v>
      </c>
      <c r="D13" s="74">
        <v>834</v>
      </c>
      <c r="E13" s="74">
        <v>902</v>
      </c>
      <c r="F13" s="74">
        <v>831</v>
      </c>
      <c r="G13" s="74">
        <v>788</v>
      </c>
      <c r="H13" s="74">
        <v>705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4994</v>
      </c>
    </row>
    <row r="14" spans="1:15" x14ac:dyDescent="0.25">
      <c r="A14" s="71" t="s">
        <v>44</v>
      </c>
      <c r="C14" s="74">
        <v>9</v>
      </c>
      <c r="D14" s="74">
        <v>17</v>
      </c>
      <c r="E14" s="74">
        <v>31</v>
      </c>
      <c r="F14" s="74">
        <v>3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60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5">
      <c r="A16" s="71" t="s">
        <v>46</v>
      </c>
      <c r="C16" s="74">
        <v>89</v>
      </c>
      <c r="D16" s="74">
        <v>112</v>
      </c>
      <c r="E16" s="74">
        <v>79</v>
      </c>
      <c r="F16" s="74">
        <v>79</v>
      </c>
      <c r="G16" s="74">
        <v>151</v>
      </c>
      <c r="H16" s="74">
        <v>136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646</v>
      </c>
    </row>
    <row r="17" spans="1:18" x14ac:dyDescent="0.25">
      <c r="A17" s="71" t="s">
        <v>47</v>
      </c>
      <c r="C17" s="74">
        <v>56</v>
      </c>
      <c r="D17" s="74">
        <v>64</v>
      </c>
      <c r="E17" s="74">
        <v>18</v>
      </c>
      <c r="F17" s="74">
        <v>90</v>
      </c>
      <c r="G17" s="74">
        <v>87</v>
      </c>
      <c r="H17" s="74">
        <v>116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431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248</v>
      </c>
      <c r="D20" s="74">
        <v>224</v>
      </c>
      <c r="E20" s="74">
        <v>248</v>
      </c>
      <c r="F20" s="74">
        <v>240</v>
      </c>
      <c r="G20" s="74">
        <v>231</v>
      </c>
      <c r="H20" s="74">
        <v>244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1435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1899</v>
      </c>
      <c r="D23" s="79">
        <v>1769</v>
      </c>
      <c r="E23" s="79">
        <v>1848</v>
      </c>
      <c r="F23" s="79">
        <v>1849</v>
      </c>
      <c r="G23" s="79">
        <v>1835</v>
      </c>
      <c r="H23" s="79">
        <v>1670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10870</v>
      </c>
      <c r="P23" s="86">
        <v>10870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328944.31</v>
      </c>
      <c r="D26" s="74">
        <v>315148.79999999999</v>
      </c>
      <c r="E26" s="74">
        <v>319981.88999999996</v>
      </c>
      <c r="F26" s="74">
        <v>323232.65000000002</v>
      </c>
      <c r="G26" s="74">
        <v>343242.58</v>
      </c>
      <c r="H26" s="74">
        <v>312115.15000000002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1942665.38</v>
      </c>
      <c r="P26" s="86"/>
    </row>
    <row r="27" spans="1:18" x14ac:dyDescent="0.25">
      <c r="A27" s="71" t="s">
        <v>57</v>
      </c>
      <c r="C27" s="74">
        <v>9044.5800000000017</v>
      </c>
      <c r="D27" s="74">
        <v>4194.8600000000006</v>
      </c>
      <c r="E27" s="74">
        <v>5214.74</v>
      </c>
      <c r="F27" s="74">
        <v>10750.43</v>
      </c>
      <c r="G27" s="74">
        <v>3620.2000000000021</v>
      </c>
      <c r="H27" s="74">
        <v>8935.090000000002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41759.900000000009</v>
      </c>
      <c r="P27" s="86"/>
    </row>
    <row r="28" spans="1:18" x14ac:dyDescent="0.25">
      <c r="A28" s="71" t="s">
        <v>58</v>
      </c>
      <c r="C28" s="74">
        <v>19.120000000000005</v>
      </c>
      <c r="D28" s="74">
        <v>-2202.04</v>
      </c>
      <c r="E28" s="74">
        <v>-680.62</v>
      </c>
      <c r="F28" s="74">
        <v>-477.95</v>
      </c>
      <c r="G28" s="74">
        <v>-1474.62</v>
      </c>
      <c r="H28" s="74">
        <v>431.65999999999997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-4384.45</v>
      </c>
      <c r="P28" s="86"/>
    </row>
    <row r="29" spans="1:18" ht="18.75" thickBot="1" x14ac:dyDescent="0.3">
      <c r="A29" s="71" t="s">
        <v>59</v>
      </c>
      <c r="C29" s="80">
        <v>338008.01</v>
      </c>
      <c r="D29" s="80">
        <v>317141.62</v>
      </c>
      <c r="E29" s="80">
        <v>324516.00999999995</v>
      </c>
      <c r="F29" s="80">
        <v>333505.13</v>
      </c>
      <c r="G29" s="80">
        <v>345388.16000000003</v>
      </c>
      <c r="H29" s="80">
        <v>321481.90000000002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1980040.8299999998</v>
      </c>
      <c r="P29" s="86">
        <v>1980040.8299999998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138290.79999999999</v>
      </c>
      <c r="D32" s="74">
        <v>123456.04999999999</v>
      </c>
      <c r="E32" s="74">
        <v>144420.52000000002</v>
      </c>
      <c r="F32" s="74">
        <v>138602.27999999997</v>
      </c>
      <c r="G32" s="74">
        <v>149159.35</v>
      </c>
      <c r="H32" s="74">
        <v>161081.69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855010.69</v>
      </c>
      <c r="P32" s="86"/>
    </row>
    <row r="33" spans="1:18" x14ac:dyDescent="0.25">
      <c r="A33" s="71" t="s">
        <v>62</v>
      </c>
      <c r="C33" s="74">
        <v>29245.86</v>
      </c>
      <c r="D33" s="74">
        <v>27722.040000000005</v>
      </c>
      <c r="E33" s="74">
        <v>35643.53</v>
      </c>
      <c r="F33" s="74">
        <v>29617.719999999998</v>
      </c>
      <c r="G33" s="74">
        <v>33960.109999999993</v>
      </c>
      <c r="H33" s="74">
        <v>32331.880000000005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188521.14</v>
      </c>
      <c r="P33" s="86"/>
    </row>
    <row r="34" spans="1:18" x14ac:dyDescent="0.25">
      <c r="A34" s="71" t="s">
        <v>57</v>
      </c>
      <c r="C34" s="74">
        <v>16040.62</v>
      </c>
      <c r="D34" s="74">
        <v>13803.42</v>
      </c>
      <c r="E34" s="74">
        <v>16492.100000000002</v>
      </c>
      <c r="F34" s="74">
        <v>20346.879999999997</v>
      </c>
      <c r="G34" s="74">
        <v>25452.06</v>
      </c>
      <c r="H34" s="74">
        <v>29201.440000000002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121336.51999999999</v>
      </c>
      <c r="P34" s="86"/>
    </row>
    <row r="35" spans="1:18" x14ac:dyDescent="0.25">
      <c r="A35" s="71" t="s">
        <v>63</v>
      </c>
      <c r="C35" s="74">
        <v>6718.28</v>
      </c>
      <c r="D35" s="74">
        <v>6405.68</v>
      </c>
      <c r="E35" s="74">
        <v>6784.8</v>
      </c>
      <c r="F35" s="74">
        <v>7785.84</v>
      </c>
      <c r="G35" s="74">
        <v>7384.6900000000005</v>
      </c>
      <c r="H35" s="74">
        <v>6287.3399999999992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41366.629999999997</v>
      </c>
      <c r="P35" s="86"/>
    </row>
    <row r="36" spans="1:18" x14ac:dyDescent="0.25">
      <c r="A36" s="71" t="s">
        <v>64</v>
      </c>
      <c r="C36" s="74">
        <v>13585.129999999997</v>
      </c>
      <c r="D36" s="74">
        <v>11663.649999999998</v>
      </c>
      <c r="E36" s="74">
        <v>11815.15</v>
      </c>
      <c r="F36" s="74">
        <v>12070.08</v>
      </c>
      <c r="G36" s="74">
        <v>12385.05</v>
      </c>
      <c r="H36" s="74">
        <v>10008.91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71527.97</v>
      </c>
      <c r="P36" s="86"/>
    </row>
    <row r="37" spans="1:18" x14ac:dyDescent="0.25">
      <c r="A37" s="71" t="s">
        <v>65</v>
      </c>
      <c r="C37" s="74">
        <v>21363.64</v>
      </c>
      <c r="D37" s="74">
        <v>17824.16</v>
      </c>
      <c r="E37" s="74">
        <v>22506.21</v>
      </c>
      <c r="F37" s="74">
        <v>27108.01</v>
      </c>
      <c r="G37" s="74">
        <v>25186.800000000003</v>
      </c>
      <c r="H37" s="74">
        <v>26054.62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140043.44</v>
      </c>
      <c r="P37" s="86"/>
    </row>
    <row r="38" spans="1:18" x14ac:dyDescent="0.25">
      <c r="A38" s="71" t="s">
        <v>66</v>
      </c>
      <c r="C38" s="74">
        <v>71929.16</v>
      </c>
      <c r="D38" s="74">
        <v>69413.539999999994</v>
      </c>
      <c r="E38" s="74">
        <v>77219.55</v>
      </c>
      <c r="F38" s="74">
        <v>70874.76999999999</v>
      </c>
      <c r="G38" s="74">
        <v>88155.569999999978</v>
      </c>
      <c r="H38" s="74">
        <v>70718.539999999994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448311.12999999995</v>
      </c>
      <c r="P38" s="86"/>
    </row>
    <row r="39" spans="1:18" x14ac:dyDescent="0.25">
      <c r="A39" s="71" t="s">
        <v>67</v>
      </c>
      <c r="C39" s="74">
        <v>74405.23</v>
      </c>
      <c r="D39" s="74">
        <v>73825.73</v>
      </c>
      <c r="E39" s="74">
        <v>80020.569999999992</v>
      </c>
      <c r="F39" s="74">
        <v>77176.22</v>
      </c>
      <c r="G39" s="74">
        <v>77297.599999999991</v>
      </c>
      <c r="H39" s="74">
        <v>77708.499999999985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460433.85</v>
      </c>
      <c r="P39" s="86"/>
    </row>
    <row r="40" spans="1:18" ht="18.75" thickBot="1" x14ac:dyDescent="0.3">
      <c r="A40" s="71" t="s">
        <v>68</v>
      </c>
      <c r="C40" s="80">
        <v>371578.72</v>
      </c>
      <c r="D40" s="80">
        <v>344114.26999999996</v>
      </c>
      <c r="E40" s="80">
        <v>394902.43</v>
      </c>
      <c r="F40" s="80">
        <v>383581.79999999993</v>
      </c>
      <c r="G40" s="80">
        <v>418981.23</v>
      </c>
      <c r="H40" s="80">
        <v>413392.92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2326551.3699999996</v>
      </c>
      <c r="P40" s="86">
        <v>2326551.3699999996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-33570.709999999963</v>
      </c>
      <c r="D41" s="81">
        <v>-26972.649999999965</v>
      </c>
      <c r="E41" s="81">
        <v>-70386.420000000042</v>
      </c>
      <c r="F41" s="81">
        <v>-50076.669999999925</v>
      </c>
      <c r="G41" s="81">
        <v>-73593.069999999949</v>
      </c>
      <c r="H41" s="81">
        <v>-91911.01999999996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-346510.5399999998</v>
      </c>
      <c r="P41" s="86">
        <v>-346510.5399999998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55257.830000000038</v>
      </c>
      <c r="D43" s="74">
        <v>60982.990000000034</v>
      </c>
      <c r="E43" s="74">
        <v>23740.019999999953</v>
      </c>
      <c r="F43" s="74">
        <v>41790.060000000078</v>
      </c>
      <c r="G43" s="74">
        <v>18563.120000000054</v>
      </c>
      <c r="H43" s="76">
        <v>-1242.9399999999659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199091.08000000025</v>
      </c>
      <c r="P43" s="71">
        <v>199091.08000000022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513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191105.18</v>
      </c>
      <c r="D50" s="74">
        <v>141229.56</v>
      </c>
      <c r="E50" s="74">
        <v>152744.68</v>
      </c>
      <c r="F50" s="74">
        <v>140721.54</v>
      </c>
      <c r="G50" s="74">
        <v>181024.26</v>
      </c>
      <c r="H50" s="74">
        <v>119384.7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926209.91999999993</v>
      </c>
    </row>
    <row r="51" spans="1:15" x14ac:dyDescent="0.25">
      <c r="A51" s="71" t="s">
        <v>73</v>
      </c>
      <c r="B51" s="82"/>
      <c r="C51" s="74">
        <v>-16906.45</v>
      </c>
      <c r="D51" s="74">
        <v>3550.86</v>
      </c>
      <c r="E51" s="74">
        <v>5249.54</v>
      </c>
      <c r="F51" s="74">
        <v>598.02</v>
      </c>
      <c r="G51" s="74">
        <v>-47434.34</v>
      </c>
      <c r="H51" s="74">
        <v>-16015.06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-70957.429999999993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558</v>
      </c>
      <c r="D58" s="74">
        <v>504</v>
      </c>
      <c r="E58" s="74">
        <v>558</v>
      </c>
      <c r="F58" s="74">
        <v>540</v>
      </c>
      <c r="G58" s="74">
        <v>558</v>
      </c>
      <c r="H58" s="74">
        <v>540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3258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-1.2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-1.2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-134.55000000000001</v>
      </c>
      <c r="D61" s="74">
        <v>0</v>
      </c>
      <c r="E61" s="74">
        <v>134.55000000000001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35600</v>
      </c>
      <c r="D63" s="74">
        <v>44800</v>
      </c>
      <c r="E63" s="74">
        <v>31600</v>
      </c>
      <c r="F63" s="74">
        <v>31600</v>
      </c>
      <c r="G63" s="74">
        <v>60400</v>
      </c>
      <c r="H63" s="74">
        <v>54400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258400</v>
      </c>
    </row>
    <row r="64" spans="1:15" x14ac:dyDescent="0.25">
      <c r="A64" s="71" t="s">
        <v>86</v>
      </c>
      <c r="B64" s="82"/>
      <c r="C64" s="74">
        <v>7521.15</v>
      </c>
      <c r="D64" s="74">
        <v>6977.97</v>
      </c>
      <c r="E64" s="74">
        <v>7311.83</v>
      </c>
      <c r="F64" s="74">
        <v>10514.63</v>
      </c>
      <c r="G64" s="74">
        <v>15045.83</v>
      </c>
      <c r="H64" s="74">
        <v>14596.98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61968.39</v>
      </c>
    </row>
    <row r="65" spans="1:15" x14ac:dyDescent="0.25">
      <c r="A65" s="71" t="s">
        <v>87</v>
      </c>
      <c r="B65" s="82"/>
      <c r="C65" s="74">
        <v>7068.31</v>
      </c>
      <c r="D65" s="74">
        <v>8865.33</v>
      </c>
      <c r="E65" s="74">
        <v>7838.32</v>
      </c>
      <c r="F65" s="74">
        <v>6219.71</v>
      </c>
      <c r="G65" s="74">
        <v>12703.2</v>
      </c>
      <c r="H65" s="74">
        <v>11517.08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54211.95</v>
      </c>
    </row>
    <row r="66" spans="1:15" x14ac:dyDescent="0.25">
      <c r="A66" s="71" t="s">
        <v>88</v>
      </c>
      <c r="B66" s="82"/>
      <c r="C66" s="74">
        <v>4975.28</v>
      </c>
      <c r="D66" s="74">
        <v>7888.6</v>
      </c>
      <c r="E66" s="74">
        <v>7268.68</v>
      </c>
      <c r="F66" s="74">
        <v>6551.66</v>
      </c>
      <c r="G66" s="74">
        <v>8926.25</v>
      </c>
      <c r="H66" s="74">
        <v>7760.68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43371.15</v>
      </c>
    </row>
    <row r="67" spans="1:15" x14ac:dyDescent="0.25">
      <c r="A67" s="71" t="s">
        <v>89</v>
      </c>
      <c r="B67" s="82"/>
      <c r="C67" s="74">
        <v>0</v>
      </c>
      <c r="D67" s="74">
        <v>0</v>
      </c>
      <c r="E67" s="74">
        <v>0</v>
      </c>
      <c r="F67" s="74">
        <v>0</v>
      </c>
      <c r="G67" s="74">
        <v>3405.4</v>
      </c>
      <c r="H67" s="74">
        <v>3609.67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7015.07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1883.63</v>
      </c>
      <c r="D69" s="74">
        <v>1439.29</v>
      </c>
      <c r="E69" s="74">
        <v>2456.73</v>
      </c>
      <c r="F69" s="74">
        <v>4034.4</v>
      </c>
      <c r="G69" s="74">
        <v>3701.58</v>
      </c>
      <c r="H69" s="74">
        <v>5418.21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18933.84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5">
      <c r="A73" s="71" t="s">
        <v>95</v>
      </c>
      <c r="B73" s="82"/>
      <c r="C73" s="74">
        <v>108</v>
      </c>
      <c r="D73" s="74">
        <v>216</v>
      </c>
      <c r="E73" s="74">
        <v>0</v>
      </c>
      <c r="F73" s="74">
        <v>0</v>
      </c>
      <c r="G73" s="74">
        <v>540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864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56.25</v>
      </c>
      <c r="D75" s="74">
        <v>112.5</v>
      </c>
      <c r="E75" s="74">
        <v>0</v>
      </c>
      <c r="F75" s="74">
        <v>960.57</v>
      </c>
      <c r="G75" s="74">
        <v>330.37</v>
      </c>
      <c r="H75" s="74">
        <v>144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1603.69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2400</v>
      </c>
      <c r="D77" s="74">
        <v>2400</v>
      </c>
      <c r="E77" s="74">
        <v>2400</v>
      </c>
      <c r="F77" s="74">
        <v>2388</v>
      </c>
      <c r="G77" s="74">
        <v>2226</v>
      </c>
      <c r="H77" s="74">
        <v>3564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15378</v>
      </c>
    </row>
    <row r="78" spans="1:15" x14ac:dyDescent="0.25">
      <c r="A78" s="71" t="s">
        <v>99</v>
      </c>
      <c r="B78" s="82"/>
      <c r="C78" s="74">
        <v>-14091.47</v>
      </c>
      <c r="D78" s="74">
        <v>-18521.72</v>
      </c>
      <c r="E78" s="74">
        <v>-17563.73</v>
      </c>
      <c r="F78" s="74">
        <v>-17766.34</v>
      </c>
      <c r="G78" s="74">
        <v>-29606.799999999999</v>
      </c>
      <c r="H78" s="74">
        <v>-28449.64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-125999.7</v>
      </c>
    </row>
    <row r="79" spans="1:15" x14ac:dyDescent="0.25">
      <c r="A79" s="71" t="s">
        <v>100</v>
      </c>
      <c r="B79" s="82"/>
      <c r="C79" s="74">
        <v>-0.06</v>
      </c>
      <c r="D79" s="74">
        <v>-0.17</v>
      </c>
      <c r="E79" s="74">
        <v>-5848.51</v>
      </c>
      <c r="F79" s="74">
        <v>3710.49</v>
      </c>
      <c r="G79" s="74">
        <v>-0.23</v>
      </c>
      <c r="H79" s="74">
        <v>-0.36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-2138.84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-37.520000000000003</v>
      </c>
      <c r="G80" s="74">
        <v>-266.39999999999998</v>
      </c>
      <c r="H80" s="74">
        <v>-731.11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-1035.03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79478</v>
      </c>
      <c r="D82" s="74">
        <v>86912</v>
      </c>
      <c r="E82" s="74">
        <v>95719</v>
      </c>
      <c r="F82" s="74">
        <v>103957</v>
      </c>
      <c r="G82" s="74">
        <v>97512</v>
      </c>
      <c r="H82" s="74">
        <v>96273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559851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5">
      <c r="A84" s="71" t="s">
        <v>481</v>
      </c>
      <c r="B84" s="82"/>
      <c r="C84" s="74">
        <v>0</v>
      </c>
      <c r="D84" s="74">
        <v>269</v>
      </c>
      <c r="E84" s="74">
        <v>7212.5</v>
      </c>
      <c r="F84" s="74">
        <v>-6151.2</v>
      </c>
      <c r="G84" s="74">
        <v>920</v>
      </c>
      <c r="H84" s="74">
        <v>360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2610.3000000000002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0</v>
      </c>
      <c r="F85" s="74">
        <v>891.69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891.69</v>
      </c>
    </row>
    <row r="86" spans="1:15" x14ac:dyDescent="0.25">
      <c r="A86" s="71" t="s">
        <v>483</v>
      </c>
      <c r="B86" s="82"/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19840</v>
      </c>
      <c r="D90" s="74">
        <v>17920</v>
      </c>
      <c r="E90" s="74">
        <v>19840</v>
      </c>
      <c r="F90" s="74">
        <v>19200</v>
      </c>
      <c r="G90" s="74">
        <v>18480</v>
      </c>
      <c r="H90" s="74">
        <v>19520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114800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9483.0400000000009</v>
      </c>
      <c r="D95" s="74">
        <v>10585.58</v>
      </c>
      <c r="E95" s="74">
        <v>3060</v>
      </c>
      <c r="F95" s="74">
        <v>15300</v>
      </c>
      <c r="G95" s="74">
        <v>14777.46</v>
      </c>
      <c r="H95" s="74">
        <v>20224.2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73430.28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0.3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0.3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328944.31</v>
      </c>
      <c r="D111" s="74">
        <v>315148.79999999999</v>
      </c>
      <c r="E111" s="74">
        <v>319981.88999999996</v>
      </c>
      <c r="F111" s="74">
        <v>323232.65000000002</v>
      </c>
      <c r="G111" s="74">
        <v>343242.58</v>
      </c>
      <c r="H111" s="74">
        <v>312115.15000000002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1942665.38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13633.79</v>
      </c>
      <c r="D114" s="74">
        <v>3801.48</v>
      </c>
      <c r="E114" s="74">
        <v>3816.4</v>
      </c>
      <c r="F114" s="74">
        <v>8947.4699999999993</v>
      </c>
      <c r="G114" s="74">
        <v>5848.89</v>
      </c>
      <c r="H114" s="74">
        <v>8059.74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44107.77</v>
      </c>
    </row>
    <row r="115" spans="1:15" x14ac:dyDescent="0.25">
      <c r="A115" s="71" t="s">
        <v>130</v>
      </c>
      <c r="B115" s="74"/>
      <c r="C115" s="74">
        <v>1461.77</v>
      </c>
      <c r="D115" s="74">
        <v>2832.02</v>
      </c>
      <c r="E115" s="74">
        <v>4031.37</v>
      </c>
      <c r="F115" s="74">
        <v>6869.19</v>
      </c>
      <c r="G115" s="74">
        <v>3557.74</v>
      </c>
      <c r="H115" s="74">
        <v>3262.5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22014.589999999997</v>
      </c>
    </row>
    <row r="116" spans="1:15" x14ac:dyDescent="0.25">
      <c r="A116" s="71" t="s">
        <v>131</v>
      </c>
      <c r="B116" s="74"/>
      <c r="C116" s="74">
        <v>0</v>
      </c>
      <c r="D116" s="74">
        <v>242.6</v>
      </c>
      <c r="E116" s="74">
        <v>0</v>
      </c>
      <c r="F116" s="74">
        <v>0</v>
      </c>
      <c r="G116" s="74">
        <v>848.85</v>
      </c>
      <c r="H116" s="74">
        <v>3762.09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4853.54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-6441.83</v>
      </c>
      <c r="D122" s="74">
        <v>-3219.76</v>
      </c>
      <c r="E122" s="74">
        <v>-3698.01</v>
      </c>
      <c r="F122" s="74">
        <v>-7766.11</v>
      </c>
      <c r="G122" s="74">
        <v>-5000.82</v>
      </c>
      <c r="H122" s="74">
        <v>-6609.13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-32735.66</v>
      </c>
    </row>
    <row r="123" spans="1:15" x14ac:dyDescent="0.25">
      <c r="A123" s="71" t="s">
        <v>136</v>
      </c>
      <c r="B123" s="74"/>
      <c r="C123" s="74">
        <v>-103.75</v>
      </c>
      <c r="D123" s="74">
        <v>-108.96</v>
      </c>
      <c r="E123" s="74">
        <v>-379.12</v>
      </c>
      <c r="F123" s="74">
        <v>-88.23</v>
      </c>
      <c r="G123" s="74">
        <v>6.68</v>
      </c>
      <c r="H123" s="74">
        <v>18.7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-654.67999999999995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-50.96</v>
      </c>
      <c r="H124" s="74">
        <v>-52.43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-103.39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494.6</v>
      </c>
      <c r="D126" s="74">
        <v>1955.94</v>
      </c>
      <c r="E126" s="74">
        <v>2424.27</v>
      </c>
      <c r="F126" s="74">
        <v>1035.67</v>
      </c>
      <c r="G126" s="74">
        <v>570.34</v>
      </c>
      <c r="H126" s="74">
        <v>1304.29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7785.11</v>
      </c>
    </row>
    <row r="127" spans="1:15" x14ac:dyDescent="0.25">
      <c r="A127" s="71" t="s">
        <v>489</v>
      </c>
      <c r="B127" s="74"/>
      <c r="C127" s="74">
        <v>0</v>
      </c>
      <c r="D127" s="74">
        <v>0</v>
      </c>
      <c r="E127" s="74">
        <v>525.77</v>
      </c>
      <c r="F127" s="74">
        <v>486.25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1012.02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0</v>
      </c>
      <c r="D129" s="74">
        <v>-1308.46</v>
      </c>
      <c r="E129" s="74">
        <v>-1505.94</v>
      </c>
      <c r="F129" s="74">
        <v>-420.77</v>
      </c>
      <c r="G129" s="74">
        <v>-2160.52</v>
      </c>
      <c r="H129" s="74">
        <v>-810.67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-6206.3600000000006</v>
      </c>
    </row>
    <row r="130" spans="1:16" x14ac:dyDescent="0.25">
      <c r="A130" s="71" t="s">
        <v>139</v>
      </c>
      <c r="B130" s="74"/>
      <c r="C130" s="74">
        <v>0</v>
      </c>
      <c r="D130" s="74">
        <v>0</v>
      </c>
      <c r="E130" s="74">
        <v>0</v>
      </c>
      <c r="F130" s="74">
        <v>982.38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982.38</v>
      </c>
    </row>
    <row r="131" spans="1:16" x14ac:dyDescent="0.25">
      <c r="A131" s="71" t="s">
        <v>140</v>
      </c>
      <c r="C131" s="83">
        <v>0</v>
      </c>
      <c r="D131" s="83">
        <v>0</v>
      </c>
      <c r="E131" s="83">
        <v>0</v>
      </c>
      <c r="F131" s="83">
        <v>704.58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704.58</v>
      </c>
      <c r="P131" s="86"/>
    </row>
    <row r="132" spans="1:16" x14ac:dyDescent="0.25">
      <c r="A132" s="71" t="s">
        <v>141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6" x14ac:dyDescent="0.25">
      <c r="A133" s="71" t="s">
        <v>142</v>
      </c>
      <c r="C133" s="74">
        <v>9044.5800000000017</v>
      </c>
      <c r="D133" s="74">
        <v>4194.8599999999997</v>
      </c>
      <c r="E133" s="74">
        <v>5214.74</v>
      </c>
      <c r="F133" s="74">
        <v>10750.43</v>
      </c>
      <c r="G133" s="74">
        <v>3620.2000000000021</v>
      </c>
      <c r="H133" s="74">
        <v>8935.090000000002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41759.899999999972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104</v>
      </c>
      <c r="D138" s="74">
        <v>64</v>
      </c>
      <c r="E138" s="74">
        <v>44</v>
      </c>
      <c r="F138" s="74">
        <v>32</v>
      </c>
      <c r="G138" s="74">
        <v>28</v>
      </c>
      <c r="H138" s="74">
        <v>64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336</v>
      </c>
    </row>
    <row r="139" spans="1:16" x14ac:dyDescent="0.25">
      <c r="A139" s="71" t="s">
        <v>147</v>
      </c>
      <c r="B139" s="74"/>
      <c r="C139" s="74">
        <v>0.22</v>
      </c>
      <c r="D139" s="74">
        <v>0</v>
      </c>
      <c r="E139" s="74">
        <v>0</v>
      </c>
      <c r="F139" s="74">
        <v>-0.22</v>
      </c>
      <c r="G139" s="74">
        <v>0</v>
      </c>
      <c r="H139" s="74">
        <v>130.28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130.28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177.43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177.43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-724.62</v>
      </c>
      <c r="D142" s="74">
        <v>-724.62</v>
      </c>
      <c r="E142" s="74">
        <v>-724.62</v>
      </c>
      <c r="F142" s="74">
        <v>-724.62</v>
      </c>
      <c r="G142" s="74">
        <v>-724.62</v>
      </c>
      <c r="H142" s="74">
        <v>-724.62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-4347.72</v>
      </c>
    </row>
    <row r="143" spans="1:16" x14ac:dyDescent="0.25">
      <c r="A143" s="71" t="s">
        <v>492</v>
      </c>
      <c r="B143" s="74"/>
      <c r="C143" s="74">
        <v>0</v>
      </c>
      <c r="D143" s="74">
        <v>-2040.5</v>
      </c>
      <c r="E143" s="74">
        <v>0</v>
      </c>
      <c r="F143" s="74">
        <v>0</v>
      </c>
      <c r="G143" s="74">
        <v>-778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-2818.5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639.52</v>
      </c>
      <c r="D145" s="74">
        <v>499.08</v>
      </c>
      <c r="E145" s="74">
        <v>0</v>
      </c>
      <c r="F145" s="74">
        <v>37.46</v>
      </c>
      <c r="G145" s="74">
        <v>0</v>
      </c>
      <c r="H145" s="74">
        <v>962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2138.06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19.120000000000005</v>
      </c>
      <c r="D148" s="81">
        <v>-2202.04</v>
      </c>
      <c r="E148" s="81">
        <v>-680.62</v>
      </c>
      <c r="F148" s="81">
        <v>-477.95</v>
      </c>
      <c r="G148" s="81">
        <v>-1474.62</v>
      </c>
      <c r="H148" s="81">
        <v>431.65999999999997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-4384.4500000000007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338008.01</v>
      </c>
      <c r="D150" s="74">
        <v>317141.62</v>
      </c>
      <c r="E150" s="74">
        <v>324516.00999999995</v>
      </c>
      <c r="F150" s="74">
        <v>333505.13</v>
      </c>
      <c r="G150" s="74">
        <v>345388.16000000003</v>
      </c>
      <c r="H150" s="76">
        <v>321481.90000000002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1980040.8299999998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513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300</v>
      </c>
      <c r="D157" s="74">
        <v>300</v>
      </c>
      <c r="E157" s="74">
        <v>0</v>
      </c>
      <c r="F157" s="74">
        <v>600</v>
      </c>
      <c r="G157" s="74">
        <v>300</v>
      </c>
      <c r="H157" s="74">
        <v>300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1800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455</v>
      </c>
      <c r="D162" s="74">
        <v>472.5</v>
      </c>
      <c r="E162" s="74">
        <v>455</v>
      </c>
      <c r="F162" s="74">
        <v>444.5</v>
      </c>
      <c r="G162" s="74">
        <v>833</v>
      </c>
      <c r="H162" s="74">
        <v>519.5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3179.5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3303.34</v>
      </c>
      <c r="D167" s="74">
        <v>2733.5</v>
      </c>
      <c r="E167" s="74">
        <v>3250.32</v>
      </c>
      <c r="F167" s="74">
        <v>3210.3</v>
      </c>
      <c r="G167" s="74">
        <v>3092.18</v>
      </c>
      <c r="H167" s="74">
        <v>2829.48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18419.12</v>
      </c>
    </row>
    <row r="168" spans="1:15" x14ac:dyDescent="0.25">
      <c r="A168" s="71" t="s">
        <v>168</v>
      </c>
      <c r="B168" s="74"/>
      <c r="C168" s="74">
        <v>20.25</v>
      </c>
      <c r="D168" s="74">
        <v>177.73</v>
      </c>
      <c r="E168" s="74">
        <v>387.71</v>
      </c>
      <c r="F168" s="74">
        <v>619.59</v>
      </c>
      <c r="G168" s="74">
        <v>382.51</v>
      </c>
      <c r="H168" s="74">
        <v>133.84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1721.6299999999999</v>
      </c>
    </row>
    <row r="169" spans="1:15" x14ac:dyDescent="0.25">
      <c r="A169" s="71" t="s">
        <v>169</v>
      </c>
      <c r="B169" s="74"/>
      <c r="C169" s="74">
        <v>57.92</v>
      </c>
      <c r="D169" s="74">
        <v>-1000</v>
      </c>
      <c r="E169" s="74">
        <v>70.55</v>
      </c>
      <c r="F169" s="74">
        <v>877.4</v>
      </c>
      <c r="G169" s="74">
        <v>736.46</v>
      </c>
      <c r="H169" s="74">
        <v>384.88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1127.21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264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264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128</v>
      </c>
      <c r="E175" s="74">
        <v>66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194</v>
      </c>
    </row>
    <row r="176" spans="1:15" x14ac:dyDescent="0.25">
      <c r="A176" s="71" t="s">
        <v>176</v>
      </c>
      <c r="B176" s="74"/>
      <c r="C176" s="74">
        <v>238.37</v>
      </c>
      <c r="D176" s="74">
        <v>238.37</v>
      </c>
      <c r="E176" s="74">
        <v>181.28</v>
      </c>
      <c r="F176" s="74">
        <v>238.36</v>
      </c>
      <c r="G176" s="74">
        <v>337.48</v>
      </c>
      <c r="H176" s="74">
        <v>249.46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1483.3200000000002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3342.29</v>
      </c>
      <c r="D178" s="74">
        <v>2733.71</v>
      </c>
      <c r="E178" s="74">
        <v>3308.33</v>
      </c>
      <c r="F178" s="74">
        <v>3263.41</v>
      </c>
      <c r="G178" s="74">
        <v>2933.84</v>
      </c>
      <c r="H178" s="74">
        <v>2973.23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18554.810000000001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158</v>
      </c>
      <c r="F183" s="74">
        <v>79</v>
      </c>
      <c r="G183" s="74">
        <v>395</v>
      </c>
      <c r="H183" s="74">
        <v>474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1106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316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316</v>
      </c>
    </row>
    <row r="186" spans="1:15" x14ac:dyDescent="0.25">
      <c r="A186" s="71" t="s">
        <v>186</v>
      </c>
      <c r="B186" s="74"/>
      <c r="C186" s="74">
        <v>294.05</v>
      </c>
      <c r="D186" s="74">
        <v>294.05</v>
      </c>
      <c r="E186" s="74">
        <v>294.05</v>
      </c>
      <c r="F186" s="74">
        <v>294.05</v>
      </c>
      <c r="G186" s="74">
        <v>355.05</v>
      </c>
      <c r="H186" s="74">
        <v>268.69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1799.94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6326.92</v>
      </c>
      <c r="D188" s="74">
        <v>6326.92</v>
      </c>
      <c r="E188" s="74">
        <v>6034.92</v>
      </c>
      <c r="F188" s="74">
        <v>6180.92</v>
      </c>
      <c r="G188" s="74">
        <v>5742.92</v>
      </c>
      <c r="H188" s="74">
        <v>10190.200000000001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40802.800000000003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5727.32</v>
      </c>
      <c r="D190" s="74">
        <v>5602.47</v>
      </c>
      <c r="E190" s="74">
        <v>5779.2</v>
      </c>
      <c r="F190" s="74">
        <v>4698.74</v>
      </c>
      <c r="G190" s="74">
        <v>6328.73</v>
      </c>
      <c r="H190" s="74">
        <v>5829.98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33966.44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10961.24</v>
      </c>
      <c r="D192" s="74">
        <v>15936.93</v>
      </c>
      <c r="E192" s="74">
        <v>23983.79</v>
      </c>
      <c r="F192" s="74">
        <v>20629.88</v>
      </c>
      <c r="G192" s="74">
        <v>27548.46</v>
      </c>
      <c r="H192" s="74">
        <v>16849.32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115909.62</v>
      </c>
    </row>
    <row r="193" spans="1:15" x14ac:dyDescent="0.25">
      <c r="A193" s="71" t="s">
        <v>494</v>
      </c>
      <c r="B193" s="74"/>
      <c r="C193" s="74">
        <v>1515.23</v>
      </c>
      <c r="D193" s="74">
        <v>0</v>
      </c>
      <c r="E193" s="74">
        <v>0</v>
      </c>
      <c r="F193" s="74">
        <v>4882.34</v>
      </c>
      <c r="G193" s="74">
        <v>6989.32</v>
      </c>
      <c r="H193" s="74">
        <v>7830.82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21217.71</v>
      </c>
    </row>
    <row r="194" spans="1:15" x14ac:dyDescent="0.25">
      <c r="A194" s="71" t="s">
        <v>193</v>
      </c>
      <c r="B194" s="74"/>
      <c r="C194" s="74">
        <v>18643.43</v>
      </c>
      <c r="D194" s="74">
        <v>17358.2</v>
      </c>
      <c r="E194" s="74">
        <v>18258.79</v>
      </c>
      <c r="F194" s="74">
        <v>19562.439999999999</v>
      </c>
      <c r="G194" s="74">
        <v>19829.990000000002</v>
      </c>
      <c r="H194" s="74">
        <v>18354.07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112006.92000000001</v>
      </c>
    </row>
    <row r="195" spans="1:15" x14ac:dyDescent="0.25">
      <c r="A195" s="71" t="s">
        <v>495</v>
      </c>
      <c r="B195" s="74"/>
      <c r="C195" s="74">
        <v>5831.62</v>
      </c>
      <c r="D195" s="74">
        <v>1363.58</v>
      </c>
      <c r="E195" s="74">
        <v>2563.9899999999998</v>
      </c>
      <c r="F195" s="74">
        <v>4066.51</v>
      </c>
      <c r="G195" s="74">
        <v>2252.27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16077.97</v>
      </c>
    </row>
    <row r="196" spans="1:15" x14ac:dyDescent="0.25">
      <c r="A196" s="71" t="s">
        <v>194</v>
      </c>
      <c r="B196" s="74"/>
      <c r="C196" s="74">
        <v>31047.06</v>
      </c>
      <c r="D196" s="74">
        <v>31315.200000000001</v>
      </c>
      <c r="E196" s="74">
        <v>31950.06</v>
      </c>
      <c r="F196" s="74">
        <v>31743.87</v>
      </c>
      <c r="G196" s="74">
        <v>31848.97</v>
      </c>
      <c r="H196" s="74">
        <v>35563.86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193469.02000000002</v>
      </c>
    </row>
    <row r="197" spans="1:15" x14ac:dyDescent="0.25">
      <c r="A197" s="71" t="s">
        <v>195</v>
      </c>
      <c r="B197" s="74"/>
      <c r="C197" s="74">
        <v>11085.22</v>
      </c>
      <c r="D197" s="74">
        <v>8365.01</v>
      </c>
      <c r="E197" s="74">
        <v>11996.76</v>
      </c>
      <c r="F197" s="74">
        <v>11951.07</v>
      </c>
      <c r="G197" s="74">
        <v>11712.74</v>
      </c>
      <c r="H197" s="74">
        <v>14320.63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69431.429999999993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5853.61</v>
      </c>
      <c r="D200" s="74">
        <v>2790.86</v>
      </c>
      <c r="E200" s="74">
        <v>466.11</v>
      </c>
      <c r="F200" s="74">
        <v>341.09</v>
      </c>
      <c r="G200" s="74">
        <v>2524.81</v>
      </c>
      <c r="H200" s="74">
        <v>3074.38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15050.86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2758.66</v>
      </c>
      <c r="D204" s="74">
        <v>1645.14</v>
      </c>
      <c r="E204" s="74">
        <v>3298.79</v>
      </c>
      <c r="F204" s="74">
        <v>1837.5</v>
      </c>
      <c r="G204" s="74">
        <v>1794.17</v>
      </c>
      <c r="H204" s="74">
        <v>2266.1799999999998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13600.44</v>
      </c>
    </row>
    <row r="205" spans="1:15" x14ac:dyDescent="0.25">
      <c r="A205" s="71" t="s">
        <v>201</v>
      </c>
      <c r="B205" s="74"/>
      <c r="C205" s="74">
        <v>524.54999999999995</v>
      </c>
      <c r="D205" s="74">
        <v>126.34</v>
      </c>
      <c r="E205" s="74">
        <v>99.23</v>
      </c>
      <c r="F205" s="74">
        <v>552.29999999999995</v>
      </c>
      <c r="G205" s="74">
        <v>129.34</v>
      </c>
      <c r="H205" s="74">
        <v>17.190000000000001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1448.95</v>
      </c>
    </row>
    <row r="206" spans="1:15" x14ac:dyDescent="0.25">
      <c r="A206" s="71" t="s">
        <v>202</v>
      </c>
      <c r="B206" s="74"/>
      <c r="C206" s="74">
        <v>619.01</v>
      </c>
      <c r="D206" s="74">
        <v>238.71</v>
      </c>
      <c r="E206" s="74">
        <v>66.38</v>
      </c>
      <c r="F206" s="74">
        <v>0</v>
      </c>
      <c r="G206" s="74">
        <v>425.87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1349.97</v>
      </c>
    </row>
    <row r="207" spans="1:15" x14ac:dyDescent="0.25">
      <c r="A207" s="71" t="s">
        <v>203</v>
      </c>
      <c r="B207" s="74"/>
      <c r="C207" s="74">
        <v>324.5</v>
      </c>
      <c r="D207" s="74">
        <v>470.65</v>
      </c>
      <c r="E207" s="74">
        <v>210.61</v>
      </c>
      <c r="F207" s="74">
        <v>313.39999999999998</v>
      </c>
      <c r="G207" s="74">
        <v>21.71</v>
      </c>
      <c r="H207" s="74">
        <v>440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1780.87</v>
      </c>
    </row>
    <row r="208" spans="1:15" x14ac:dyDescent="0.25">
      <c r="A208" s="71" t="s">
        <v>204</v>
      </c>
      <c r="B208" s="74"/>
      <c r="C208" s="74">
        <v>109.58</v>
      </c>
      <c r="D208" s="74">
        <v>0</v>
      </c>
      <c r="E208" s="74">
        <v>109.58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219.16</v>
      </c>
    </row>
    <row r="209" spans="1:15" x14ac:dyDescent="0.25">
      <c r="A209" s="71" t="s">
        <v>205</v>
      </c>
      <c r="B209" s="74"/>
      <c r="C209" s="74">
        <v>1462.43</v>
      </c>
      <c r="D209" s="74">
        <v>1176.9100000000001</v>
      </c>
      <c r="E209" s="74">
        <v>1946.72</v>
      </c>
      <c r="F209" s="74">
        <v>1223.99</v>
      </c>
      <c r="G209" s="74">
        <v>989.55</v>
      </c>
      <c r="H209" s="74">
        <v>1101.57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7901.17</v>
      </c>
    </row>
    <row r="210" spans="1:15" x14ac:dyDescent="0.25">
      <c r="A210" s="71" t="s">
        <v>206</v>
      </c>
      <c r="B210" s="74"/>
      <c r="C210" s="74">
        <v>176.79</v>
      </c>
      <c r="D210" s="74">
        <v>278.66000000000003</v>
      </c>
      <c r="E210" s="74">
        <v>60.82</v>
      </c>
      <c r="F210" s="74">
        <v>136.19999999999999</v>
      </c>
      <c r="G210" s="74">
        <v>32.17</v>
      </c>
      <c r="H210" s="74">
        <v>1578.85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2263.4899999999998</v>
      </c>
    </row>
    <row r="211" spans="1:15" x14ac:dyDescent="0.25">
      <c r="A211" s="71" t="s">
        <v>207</v>
      </c>
      <c r="B211" s="74"/>
      <c r="C211" s="74">
        <v>19872.169999999998</v>
      </c>
      <c r="D211" s="74">
        <v>17215.650000000001</v>
      </c>
      <c r="E211" s="74">
        <v>19076.28</v>
      </c>
      <c r="F211" s="74">
        <v>13276.19</v>
      </c>
      <c r="G211" s="74">
        <v>11501.26</v>
      </c>
      <c r="H211" s="74">
        <v>25353.040000000001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106294.59</v>
      </c>
    </row>
    <row r="212" spans="1:15" x14ac:dyDescent="0.25">
      <c r="A212" s="71" t="s">
        <v>208</v>
      </c>
      <c r="B212" s="74"/>
      <c r="C212" s="74">
        <v>2761.74</v>
      </c>
      <c r="D212" s="74">
        <v>1855.12</v>
      </c>
      <c r="E212" s="74">
        <v>4353.2299999999996</v>
      </c>
      <c r="F212" s="74">
        <v>3163.69</v>
      </c>
      <c r="G212" s="74">
        <v>2907.53</v>
      </c>
      <c r="H212" s="74">
        <v>2491.6799999999998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17532.990000000002</v>
      </c>
    </row>
    <row r="213" spans="1:15" x14ac:dyDescent="0.25">
      <c r="A213" s="71" t="s">
        <v>209</v>
      </c>
      <c r="B213" s="74"/>
      <c r="C213" s="74">
        <v>220</v>
      </c>
      <c r="D213" s="74">
        <v>30</v>
      </c>
      <c r="E213" s="74">
        <v>366.96</v>
      </c>
      <c r="F213" s="74">
        <v>530</v>
      </c>
      <c r="G213" s="74">
        <v>0</v>
      </c>
      <c r="H213" s="74">
        <v>150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1296.96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24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24</v>
      </c>
    </row>
    <row r="215" spans="1:15" x14ac:dyDescent="0.25">
      <c r="A215" s="71" t="s">
        <v>211</v>
      </c>
      <c r="B215" s="74"/>
      <c r="C215" s="74">
        <v>955.58</v>
      </c>
      <c r="D215" s="74">
        <v>929.13</v>
      </c>
      <c r="E215" s="74">
        <v>0</v>
      </c>
      <c r="F215" s="74">
        <v>594.46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2479.17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158</v>
      </c>
      <c r="D221" s="74">
        <v>904.61</v>
      </c>
      <c r="E221" s="74">
        <v>1643.2</v>
      </c>
      <c r="F221" s="74">
        <v>399.56</v>
      </c>
      <c r="G221" s="74">
        <v>1794.8</v>
      </c>
      <c r="H221" s="74">
        <v>3738.32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8638.49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0</v>
      </c>
      <c r="D225" s="74">
        <v>811.4</v>
      </c>
      <c r="E225" s="74">
        <v>701.04</v>
      </c>
      <c r="F225" s="74">
        <v>604.32000000000005</v>
      </c>
      <c r="G225" s="74">
        <v>560.44000000000005</v>
      </c>
      <c r="H225" s="74">
        <v>338.08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3015.28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3238.07</v>
      </c>
      <c r="D227" s="74">
        <v>2562.9699999999998</v>
      </c>
      <c r="E227" s="74">
        <v>2966.82</v>
      </c>
      <c r="F227" s="74">
        <v>2277.6999999999998</v>
      </c>
      <c r="G227" s="74">
        <v>4008.65</v>
      </c>
      <c r="H227" s="74">
        <v>3172.44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18226.650000000001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106.85</v>
      </c>
      <c r="D229" s="74">
        <v>73.73</v>
      </c>
      <c r="E229" s="74">
        <v>0</v>
      </c>
      <c r="F229" s="74">
        <v>9.5</v>
      </c>
      <c r="G229" s="74">
        <v>850.13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1040.21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138290.79999999999</v>
      </c>
      <c r="D244" s="74">
        <v>123456.04999999999</v>
      </c>
      <c r="E244" s="74">
        <v>144420.52000000002</v>
      </c>
      <c r="F244" s="74">
        <v>138602.27999999997</v>
      </c>
      <c r="G244" s="74">
        <v>149159.35</v>
      </c>
      <c r="H244" s="74">
        <v>161081.69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855010.68999999983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13265.78</v>
      </c>
      <c r="D247" s="74">
        <v>12405.61</v>
      </c>
      <c r="E247" s="74">
        <v>14035.06</v>
      </c>
      <c r="F247" s="74">
        <v>12849.55</v>
      </c>
      <c r="G247" s="74">
        <v>13778.43</v>
      </c>
      <c r="H247" s="74">
        <v>13697.42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80031.849999999991</v>
      </c>
    </row>
    <row r="248" spans="1:16" x14ac:dyDescent="0.25">
      <c r="A248" s="71" t="s">
        <v>243</v>
      </c>
      <c r="B248" s="74"/>
      <c r="C248" s="74">
        <v>856.56</v>
      </c>
      <c r="D248" s="74">
        <v>1036.56</v>
      </c>
      <c r="E248" s="74">
        <v>983.28</v>
      </c>
      <c r="F248" s="74">
        <v>1115.31</v>
      </c>
      <c r="G248" s="74">
        <v>735.78</v>
      </c>
      <c r="H248" s="74">
        <v>1081.56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5809.0499999999993</v>
      </c>
    </row>
    <row r="249" spans="1:16" x14ac:dyDescent="0.25">
      <c r="A249" s="71" t="s">
        <v>244</v>
      </c>
      <c r="B249" s="74"/>
      <c r="C249" s="74">
        <v>737.18</v>
      </c>
      <c r="D249" s="74">
        <v>813.28</v>
      </c>
      <c r="E249" s="74">
        <v>1155.3800000000001</v>
      </c>
      <c r="F249" s="74">
        <v>757.5</v>
      </c>
      <c r="G249" s="74">
        <v>1404.53</v>
      </c>
      <c r="H249" s="74">
        <v>450.07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5317.94</v>
      </c>
    </row>
    <row r="250" spans="1:16" x14ac:dyDescent="0.25">
      <c r="A250" s="71" t="s">
        <v>245</v>
      </c>
      <c r="B250" s="74"/>
      <c r="C250" s="74">
        <v>750.29</v>
      </c>
      <c r="D250" s="74">
        <v>807.94</v>
      </c>
      <c r="E250" s="74">
        <v>1601.31</v>
      </c>
      <c r="F250" s="74">
        <v>956.66</v>
      </c>
      <c r="G250" s="74">
        <v>975.34</v>
      </c>
      <c r="H250" s="74">
        <v>1845.58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6937.12</v>
      </c>
    </row>
    <row r="251" spans="1:16" x14ac:dyDescent="0.25">
      <c r="A251" s="71" t="s">
        <v>246</v>
      </c>
      <c r="B251" s="74"/>
      <c r="C251" s="74">
        <v>12759.71</v>
      </c>
      <c r="D251" s="74">
        <v>11670.09</v>
      </c>
      <c r="E251" s="74">
        <v>16242.25</v>
      </c>
      <c r="F251" s="74">
        <v>13055.33</v>
      </c>
      <c r="G251" s="74">
        <v>15908.65</v>
      </c>
      <c r="H251" s="74">
        <v>14639.87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84275.9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416.25</v>
      </c>
      <c r="D253" s="74">
        <v>425.27</v>
      </c>
      <c r="E253" s="74">
        <v>1153.3699999999999</v>
      </c>
      <c r="F253" s="74">
        <v>458.93</v>
      </c>
      <c r="G253" s="74">
        <v>514.09</v>
      </c>
      <c r="H253" s="74">
        <v>500.65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3468.56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486</v>
      </c>
      <c r="E257" s="74">
        <v>486</v>
      </c>
      <c r="F257" s="74">
        <v>388.8</v>
      </c>
      <c r="G257" s="74">
        <v>583.20000000000005</v>
      </c>
      <c r="H257" s="74">
        <v>178.4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2122.4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388.8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388.8</v>
      </c>
    </row>
    <row r="260" spans="1:16" x14ac:dyDescent="0.25">
      <c r="A260" s="71" t="s">
        <v>255</v>
      </c>
      <c r="C260" s="83">
        <v>71.290000000000006</v>
      </c>
      <c r="D260" s="83">
        <v>77.290000000000006</v>
      </c>
      <c r="E260" s="83">
        <v>-13.12</v>
      </c>
      <c r="F260" s="83">
        <v>35.64</v>
      </c>
      <c r="G260" s="83">
        <v>60.09</v>
      </c>
      <c r="H260" s="83">
        <v>-61.67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169.52000000000004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29245.86</v>
      </c>
      <c r="D262" s="74">
        <v>27722.040000000005</v>
      </c>
      <c r="E262" s="74">
        <v>35643.53</v>
      </c>
      <c r="F262" s="74">
        <v>29617.719999999998</v>
      </c>
      <c r="G262" s="74">
        <v>33960.109999999993</v>
      </c>
      <c r="H262" s="74">
        <v>32331.880000000005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188521.13999999996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3782</v>
      </c>
      <c r="D265" s="74">
        <v>3656</v>
      </c>
      <c r="E265" s="74">
        <v>3678</v>
      </c>
      <c r="F265" s="74">
        <v>3682</v>
      </c>
      <c r="G265" s="74">
        <v>3670</v>
      </c>
      <c r="H265" s="74">
        <v>2490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20958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2801.22</v>
      </c>
      <c r="D267" s="74">
        <v>3367.58</v>
      </c>
      <c r="E267" s="74">
        <v>2009.35</v>
      </c>
      <c r="F267" s="74">
        <v>2763.92</v>
      </c>
      <c r="G267" s="74">
        <v>6871.05</v>
      </c>
      <c r="H267" s="74">
        <v>8733.17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26546.29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39.71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39.71</v>
      </c>
    </row>
    <row r="272" spans="1:16" x14ac:dyDescent="0.25">
      <c r="A272" s="71" t="s">
        <v>265</v>
      </c>
      <c r="B272" s="74"/>
      <c r="C272" s="74">
        <v>1835.02</v>
      </c>
      <c r="D272" s="74">
        <v>2542.83</v>
      </c>
      <c r="E272" s="74">
        <v>1815.8</v>
      </c>
      <c r="F272" s="74">
        <v>2855.01</v>
      </c>
      <c r="G272" s="74">
        <v>4809.54</v>
      </c>
      <c r="H272" s="74">
        <v>5260.17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19118.370000000003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198.87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198.87</v>
      </c>
    </row>
    <row r="276" spans="1:15" x14ac:dyDescent="0.25">
      <c r="A276" s="71" t="s">
        <v>269</v>
      </c>
      <c r="B276" s="74"/>
      <c r="C276" s="74">
        <v>0</v>
      </c>
      <c r="D276" s="74">
        <v>0</v>
      </c>
      <c r="E276" s="74">
        <v>1633.99</v>
      </c>
      <c r="F276" s="74">
        <v>2689.61</v>
      </c>
      <c r="G276" s="74">
        <v>2467.73</v>
      </c>
      <c r="H276" s="74">
        <v>3650.67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10442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1254.0999999999999</v>
      </c>
      <c r="H279" s="74">
        <v>2698.31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3952.41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224.37</v>
      </c>
      <c r="D283" s="74">
        <v>88.25</v>
      </c>
      <c r="E283" s="74">
        <v>1940.78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2253.4</v>
      </c>
    </row>
    <row r="284" spans="1:15" x14ac:dyDescent="0.25">
      <c r="A284" s="71" t="s">
        <v>277</v>
      </c>
      <c r="B284" s="74"/>
      <c r="C284" s="74">
        <v>191.49</v>
      </c>
      <c r="D284" s="74">
        <v>144</v>
      </c>
      <c r="E284" s="74">
        <v>0</v>
      </c>
      <c r="F284" s="74">
        <v>0</v>
      </c>
      <c r="G284" s="74">
        <v>448.58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784.06999999999994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132.5</v>
      </c>
      <c r="D287" s="74">
        <v>0</v>
      </c>
      <c r="E287" s="74">
        <v>0</v>
      </c>
      <c r="F287" s="74">
        <v>0</v>
      </c>
      <c r="G287" s="74">
        <v>115.5</v>
      </c>
      <c r="H287" s="74">
        <v>20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268</v>
      </c>
    </row>
    <row r="288" spans="1:15" x14ac:dyDescent="0.25">
      <c r="A288" s="71" t="s">
        <v>281</v>
      </c>
      <c r="B288" s="74"/>
      <c r="C288" s="74">
        <v>0</v>
      </c>
      <c r="D288" s="74">
        <v>75</v>
      </c>
      <c r="E288" s="74">
        <v>0</v>
      </c>
      <c r="F288" s="74">
        <v>640.38</v>
      </c>
      <c r="G288" s="74">
        <v>257.75</v>
      </c>
      <c r="H288" s="74">
        <v>96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1069.1300000000001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179.5</v>
      </c>
      <c r="E290" s="74">
        <v>696.1</v>
      </c>
      <c r="F290" s="74">
        <v>0</v>
      </c>
      <c r="G290" s="74">
        <v>596.26</v>
      </c>
      <c r="H290" s="74">
        <v>179.87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1651.73</v>
      </c>
    </row>
    <row r="291" spans="1:15" x14ac:dyDescent="0.25">
      <c r="A291" s="71" t="s">
        <v>284</v>
      </c>
      <c r="B291" s="74"/>
      <c r="C291" s="74">
        <v>6441.85</v>
      </c>
      <c r="D291" s="74">
        <v>2420.04</v>
      </c>
      <c r="E291" s="74">
        <v>2571.52</v>
      </c>
      <c r="F291" s="74">
        <v>4170.49</v>
      </c>
      <c r="G291" s="74">
        <v>2675.34</v>
      </c>
      <c r="H291" s="74">
        <v>3278.61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21557.85</v>
      </c>
    </row>
    <row r="292" spans="1:15" x14ac:dyDescent="0.25">
      <c r="A292" s="71" t="s">
        <v>285</v>
      </c>
      <c r="B292" s="74"/>
      <c r="C292" s="74">
        <v>0</v>
      </c>
      <c r="D292" s="74">
        <v>113.21</v>
      </c>
      <c r="E292" s="74">
        <v>0</v>
      </c>
      <c r="F292" s="74">
        <v>0</v>
      </c>
      <c r="G292" s="74">
        <v>396.11</v>
      </c>
      <c r="H292" s="74">
        <v>1755.59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2264.91</v>
      </c>
    </row>
    <row r="293" spans="1:15" x14ac:dyDescent="0.25">
      <c r="A293" s="71" t="s">
        <v>286</v>
      </c>
      <c r="B293" s="74"/>
      <c r="C293" s="74">
        <v>632.16999999999996</v>
      </c>
      <c r="D293" s="74">
        <v>1217.01</v>
      </c>
      <c r="E293" s="74">
        <v>1814.37</v>
      </c>
      <c r="F293" s="74">
        <v>2676.08</v>
      </c>
      <c r="G293" s="74">
        <v>1524.25</v>
      </c>
      <c r="H293" s="74">
        <v>999.34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8863.2199999999993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30.3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30.3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103.02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103.02</v>
      </c>
    </row>
    <row r="301" spans="1:15" x14ac:dyDescent="0.25">
      <c r="A301" s="71" t="s">
        <v>294</v>
      </c>
      <c r="B301" s="74"/>
      <c r="C301" s="74">
        <v>0</v>
      </c>
      <c r="D301" s="74">
        <v>0</v>
      </c>
      <c r="E301" s="74">
        <v>0</v>
      </c>
      <c r="F301" s="74">
        <v>360.64</v>
      </c>
      <c r="G301" s="74">
        <v>224.15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584.79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0</v>
      </c>
      <c r="D303" s="74">
        <v>0</v>
      </c>
      <c r="E303" s="74">
        <v>0</v>
      </c>
      <c r="F303" s="74">
        <v>227.97</v>
      </c>
      <c r="G303" s="74">
        <v>141.69999999999999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369.66999999999996</v>
      </c>
    </row>
    <row r="304" spans="1:15" x14ac:dyDescent="0.25">
      <c r="A304" s="71" t="s">
        <v>499</v>
      </c>
      <c r="B304" s="74"/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6" x14ac:dyDescent="0.25">
      <c r="A306" s="71" t="s">
        <v>501</v>
      </c>
      <c r="B306" s="74"/>
      <c r="C306" s="74">
        <v>0</v>
      </c>
      <c r="D306" s="74">
        <v>0</v>
      </c>
      <c r="E306" s="74">
        <v>0</v>
      </c>
      <c r="F306" s="74">
        <v>280.77999999999997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280.77999999999997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16040.62</v>
      </c>
      <c r="D321" s="74">
        <v>13803.42</v>
      </c>
      <c r="E321" s="74">
        <v>16492.100000000002</v>
      </c>
      <c r="F321" s="74">
        <v>20346.879999999997</v>
      </c>
      <c r="G321" s="74">
        <v>25452.06</v>
      </c>
      <c r="H321" s="74">
        <v>29201.440000000002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121336.51999999999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4478.24</v>
      </c>
      <c r="D324" s="74">
        <v>3837.09</v>
      </c>
      <c r="E324" s="74">
        <v>4010.51</v>
      </c>
      <c r="F324" s="74">
        <v>3846.7</v>
      </c>
      <c r="G324" s="74">
        <v>5281.75</v>
      </c>
      <c r="H324" s="74">
        <v>4146.66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25600.95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673.32</v>
      </c>
      <c r="D326" s="74">
        <v>635.41999999999996</v>
      </c>
      <c r="E326" s="74">
        <v>969</v>
      </c>
      <c r="F326" s="74">
        <v>1219.08</v>
      </c>
      <c r="G326" s="74">
        <v>662.63</v>
      </c>
      <c r="H326" s="74">
        <v>620.70000000000005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4780.1499999999996</v>
      </c>
    </row>
    <row r="327" spans="1:16" x14ac:dyDescent="0.25">
      <c r="A327" s="71" t="s">
        <v>315</v>
      </c>
      <c r="B327" s="74"/>
      <c r="C327" s="74">
        <v>429.66</v>
      </c>
      <c r="D327" s="74">
        <v>381.92</v>
      </c>
      <c r="E327" s="74">
        <v>436.48</v>
      </c>
      <c r="F327" s="74">
        <v>777.92</v>
      </c>
      <c r="G327" s="74">
        <v>422.84</v>
      </c>
      <c r="H327" s="74">
        <v>396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2844.82</v>
      </c>
    </row>
    <row r="328" spans="1:16" x14ac:dyDescent="0.25">
      <c r="A328" s="71" t="s">
        <v>316</v>
      </c>
      <c r="B328" s="74"/>
      <c r="C328" s="74">
        <v>854.14</v>
      </c>
      <c r="D328" s="74">
        <v>1213.33</v>
      </c>
      <c r="E328" s="74">
        <v>995.89</v>
      </c>
      <c r="F328" s="74">
        <v>1229.22</v>
      </c>
      <c r="G328" s="74">
        <v>907.59</v>
      </c>
      <c r="H328" s="74">
        <v>1238.2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6438.37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650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650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220</v>
      </c>
      <c r="D335" s="74">
        <v>275</v>
      </c>
      <c r="E335" s="74">
        <v>310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805</v>
      </c>
    </row>
    <row r="336" spans="1:16" x14ac:dyDescent="0.25">
      <c r="A336" s="71" t="s">
        <v>324</v>
      </c>
      <c r="C336" s="83">
        <v>62.92</v>
      </c>
      <c r="D336" s="83">
        <v>62.92</v>
      </c>
      <c r="E336" s="83">
        <v>62.92</v>
      </c>
      <c r="F336" s="83">
        <v>62.92</v>
      </c>
      <c r="G336" s="83">
        <v>109.88</v>
      </c>
      <c r="H336" s="83">
        <v>-114.22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247.34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6718.28</v>
      </c>
      <c r="D338" s="74">
        <v>6405.68</v>
      </c>
      <c r="E338" s="74">
        <v>6784.8</v>
      </c>
      <c r="F338" s="74">
        <v>7785.84</v>
      </c>
      <c r="G338" s="74">
        <v>7384.6900000000005</v>
      </c>
      <c r="H338" s="74">
        <v>6287.3399999999992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41366.629999999997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9997.5499999999993</v>
      </c>
      <c r="D341" s="74">
        <v>9260.91</v>
      </c>
      <c r="E341" s="74">
        <v>9016.67</v>
      </c>
      <c r="F341" s="74">
        <v>9579.0499999999993</v>
      </c>
      <c r="G341" s="74">
        <v>9127.5</v>
      </c>
      <c r="H341" s="74">
        <v>7892.32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54873.999999999993</v>
      </c>
    </row>
    <row r="342" spans="1:16" x14ac:dyDescent="0.25">
      <c r="A342" s="71" t="s">
        <v>329</v>
      </c>
      <c r="B342" s="74"/>
      <c r="C342" s="74">
        <v>831.41</v>
      </c>
      <c r="D342" s="74">
        <v>574.33000000000004</v>
      </c>
      <c r="E342" s="74">
        <v>909.15</v>
      </c>
      <c r="F342" s="74">
        <v>461.71</v>
      </c>
      <c r="G342" s="74">
        <v>1308.46</v>
      </c>
      <c r="H342" s="74">
        <v>652.82000000000005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4737.88</v>
      </c>
    </row>
    <row r="343" spans="1:16" x14ac:dyDescent="0.25">
      <c r="A343" s="71" t="s">
        <v>330</v>
      </c>
      <c r="B343" s="74"/>
      <c r="C343" s="74">
        <v>644.49</v>
      </c>
      <c r="D343" s="74">
        <v>572.88</v>
      </c>
      <c r="E343" s="74">
        <v>654.72</v>
      </c>
      <c r="F343" s="74">
        <v>1166.8800000000001</v>
      </c>
      <c r="G343" s="74">
        <v>634.26</v>
      </c>
      <c r="H343" s="74">
        <v>593.87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4267.1000000000004</v>
      </c>
    </row>
    <row r="344" spans="1:16" x14ac:dyDescent="0.25">
      <c r="A344" s="71" t="s">
        <v>331</v>
      </c>
      <c r="B344" s="74"/>
      <c r="C344" s="74">
        <v>1243.31</v>
      </c>
      <c r="D344" s="74">
        <v>577.08000000000004</v>
      </c>
      <c r="E344" s="74">
        <v>1395.26</v>
      </c>
      <c r="F344" s="74">
        <v>616.75</v>
      </c>
      <c r="G344" s="74">
        <v>850.1</v>
      </c>
      <c r="H344" s="74">
        <v>810.33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5492.83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194.4</v>
      </c>
      <c r="D349" s="74">
        <v>0</v>
      </c>
      <c r="E349" s="74">
        <v>0</v>
      </c>
      <c r="F349" s="74">
        <v>194.4</v>
      </c>
      <c r="G349" s="74">
        <v>388.8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777.6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396</v>
      </c>
      <c r="D351" s="74">
        <v>388.8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784.8</v>
      </c>
    </row>
    <row r="352" spans="1:16" x14ac:dyDescent="0.25">
      <c r="A352" s="71" t="s">
        <v>339</v>
      </c>
      <c r="C352" s="83">
        <v>277.97000000000003</v>
      </c>
      <c r="D352" s="83">
        <v>289.64999999999998</v>
      </c>
      <c r="E352" s="83">
        <v>-160.65</v>
      </c>
      <c r="F352" s="83">
        <v>51.29</v>
      </c>
      <c r="G352" s="83">
        <v>75.930000000000007</v>
      </c>
      <c r="H352" s="83">
        <v>59.57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593.7600000000001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13585.129999999997</v>
      </c>
      <c r="D354" s="74">
        <v>11663.649999999998</v>
      </c>
      <c r="E354" s="74">
        <v>11815.15</v>
      </c>
      <c r="F354" s="74">
        <v>12070.08</v>
      </c>
      <c r="G354" s="74">
        <v>12385.05</v>
      </c>
      <c r="H354" s="74">
        <v>10008.91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71527.969999999987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2550.38</v>
      </c>
      <c r="D358" s="74">
        <v>2711.2</v>
      </c>
      <c r="E358" s="74">
        <v>2841.08</v>
      </c>
      <c r="F358" s="74">
        <v>2842.24</v>
      </c>
      <c r="G358" s="74">
        <v>3734.44</v>
      </c>
      <c r="H358" s="74">
        <v>3459.79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18139.13</v>
      </c>
    </row>
    <row r="359" spans="1:16" x14ac:dyDescent="0.25">
      <c r="A359" s="71" t="s">
        <v>344</v>
      </c>
      <c r="B359" s="74"/>
      <c r="C359" s="74">
        <v>1225.44</v>
      </c>
      <c r="D359" s="74">
        <v>2151.9299999999998</v>
      </c>
      <c r="E359" s="74">
        <v>758.08</v>
      </c>
      <c r="F359" s="74">
        <v>1277.51</v>
      </c>
      <c r="G359" s="74">
        <v>1740.06</v>
      </c>
      <c r="H359" s="74">
        <v>1663.1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8816.1200000000008</v>
      </c>
    </row>
    <row r="360" spans="1:16" x14ac:dyDescent="0.25">
      <c r="A360" s="71" t="s">
        <v>345</v>
      </c>
      <c r="B360" s="74"/>
      <c r="C360" s="74">
        <v>1780.65</v>
      </c>
      <c r="D360" s="74">
        <v>1370.17</v>
      </c>
      <c r="E360" s="74">
        <v>165.56</v>
      </c>
      <c r="F360" s="74">
        <v>-603.66999999999996</v>
      </c>
      <c r="G360" s="74">
        <v>1068.5999999999999</v>
      </c>
      <c r="H360" s="74">
        <v>646.12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4427.43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177</v>
      </c>
      <c r="D362" s="74">
        <v>0</v>
      </c>
      <c r="E362" s="74">
        <v>177</v>
      </c>
      <c r="F362" s="74">
        <v>387</v>
      </c>
      <c r="G362" s="74">
        <v>327</v>
      </c>
      <c r="H362" s="74">
        <v>45.46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1113.46</v>
      </c>
    </row>
    <row r="363" spans="1:16" x14ac:dyDescent="0.25">
      <c r="A363" s="71" t="s">
        <v>348</v>
      </c>
      <c r="B363" s="74"/>
      <c r="C363" s="74">
        <v>310</v>
      </c>
      <c r="D363" s="74">
        <v>310</v>
      </c>
      <c r="E363" s="74">
        <v>310</v>
      </c>
      <c r="F363" s="74">
        <v>310</v>
      </c>
      <c r="G363" s="74">
        <v>0</v>
      </c>
      <c r="H363" s="74">
        <v>310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1550</v>
      </c>
    </row>
    <row r="364" spans="1:16" x14ac:dyDescent="0.25">
      <c r="A364" s="71" t="s">
        <v>349</v>
      </c>
      <c r="B364" s="74"/>
      <c r="C364" s="74">
        <v>1362.7</v>
      </c>
      <c r="D364" s="74">
        <v>2725.4</v>
      </c>
      <c r="E364" s="74">
        <v>1362.7</v>
      </c>
      <c r="F364" s="74">
        <v>1362.7</v>
      </c>
      <c r="G364" s="74">
        <v>1362.7</v>
      </c>
      <c r="H364" s="74">
        <v>1362.7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9538.9</v>
      </c>
    </row>
    <row r="365" spans="1:16" x14ac:dyDescent="0.25">
      <c r="A365" s="71" t="s">
        <v>350</v>
      </c>
      <c r="B365" s="74"/>
      <c r="C365" s="74">
        <v>2980</v>
      </c>
      <c r="D365" s="74">
        <v>300</v>
      </c>
      <c r="E365" s="74">
        <v>220</v>
      </c>
      <c r="F365" s="74">
        <v>2767.86</v>
      </c>
      <c r="G365" s="74">
        <v>880</v>
      </c>
      <c r="H365" s="74">
        <v>880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8027.8600000000006</v>
      </c>
    </row>
    <row r="366" spans="1:16" x14ac:dyDescent="0.25">
      <c r="A366" s="71" t="s">
        <v>351</v>
      </c>
      <c r="B366" s="74"/>
      <c r="C366" s="74">
        <v>2712.58</v>
      </c>
      <c r="D366" s="74">
        <v>3231.19</v>
      </c>
      <c r="E366" s="74">
        <v>3230.88</v>
      </c>
      <c r="F366" s="74">
        <v>6938.24</v>
      </c>
      <c r="G366" s="74">
        <v>4697.46</v>
      </c>
      <c r="H366" s="74">
        <v>6055.38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26865.730000000003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822.9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822.9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0</v>
      </c>
      <c r="D373" s="74">
        <v>0</v>
      </c>
      <c r="E373" s="74">
        <v>6.8</v>
      </c>
      <c r="F373" s="74">
        <v>0</v>
      </c>
      <c r="G373" s="74">
        <v>0</v>
      </c>
      <c r="H373" s="74">
        <v>7.28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14.08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5500</v>
      </c>
      <c r="D376" s="74">
        <v>3140.59</v>
      </c>
      <c r="E376" s="74">
        <v>8751.08</v>
      </c>
      <c r="F376" s="74">
        <v>8260.93</v>
      </c>
      <c r="G376" s="74">
        <v>6945.74</v>
      </c>
      <c r="H376" s="74">
        <v>5969.12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38567.46</v>
      </c>
    </row>
    <row r="377" spans="1:16" x14ac:dyDescent="0.25">
      <c r="A377" s="71" t="s">
        <v>362</v>
      </c>
      <c r="C377" s="83">
        <v>801.87</v>
      </c>
      <c r="D377" s="83">
        <v>1299.67</v>
      </c>
      <c r="E377" s="83">
        <v>2139.44</v>
      </c>
      <c r="F377" s="83">
        <v>1745.97</v>
      </c>
      <c r="G377" s="83">
        <v>1541.66</v>
      </c>
      <c r="H377" s="83">
        <v>1290.8699999999999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8819.48</v>
      </c>
      <c r="P377" s="86"/>
    </row>
    <row r="378" spans="1:16" x14ac:dyDescent="0.25">
      <c r="A378" s="71" t="s">
        <v>363</v>
      </c>
      <c r="C378" s="98">
        <v>1963.02</v>
      </c>
      <c r="D378" s="98">
        <v>584.01</v>
      </c>
      <c r="E378" s="98">
        <v>2543.59</v>
      </c>
      <c r="F378" s="98">
        <v>1819.23</v>
      </c>
      <c r="G378" s="98">
        <v>2066.2399999999998</v>
      </c>
      <c r="H378" s="98">
        <v>4364.8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13340.89</v>
      </c>
    </row>
    <row r="379" spans="1:16" x14ac:dyDescent="0.25">
      <c r="A379" s="71" t="s">
        <v>364</v>
      </c>
      <c r="C379" s="74">
        <v>21363.64</v>
      </c>
      <c r="D379" s="74">
        <v>17824.16</v>
      </c>
      <c r="E379" s="74">
        <v>22506.21</v>
      </c>
      <c r="F379" s="74">
        <v>27108.01</v>
      </c>
      <c r="G379" s="74">
        <v>25186.800000000003</v>
      </c>
      <c r="H379" s="74">
        <v>26054.62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140043.44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6330.1</v>
      </c>
      <c r="D382" s="74">
        <v>7063.6</v>
      </c>
      <c r="E382" s="74">
        <v>4292.6000000000004</v>
      </c>
      <c r="F382" s="74">
        <v>7063.6</v>
      </c>
      <c r="G382" s="74">
        <v>5922.6</v>
      </c>
      <c r="H382" s="74">
        <v>7063.6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37736.1</v>
      </c>
    </row>
    <row r="383" spans="1:16" x14ac:dyDescent="0.25">
      <c r="A383" s="71" t="s">
        <v>367</v>
      </c>
      <c r="B383" s="74"/>
      <c r="C383" s="74">
        <v>3648.68</v>
      </c>
      <c r="D383" s="74">
        <v>2448.6999999999998</v>
      </c>
      <c r="E383" s="74">
        <v>2985.89</v>
      </c>
      <c r="F383" s="74">
        <v>3078.43</v>
      </c>
      <c r="G383" s="74">
        <v>3146.76</v>
      </c>
      <c r="H383" s="74">
        <v>2877.5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18185.96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120</v>
      </c>
      <c r="D391" s="74">
        <v>120</v>
      </c>
      <c r="E391" s="74">
        <v>120</v>
      </c>
      <c r="F391" s="74">
        <v>120</v>
      </c>
      <c r="G391" s="74">
        <v>120</v>
      </c>
      <c r="H391" s="74">
        <v>120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720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733.5</v>
      </c>
      <c r="D393" s="74">
        <v>360</v>
      </c>
      <c r="E393" s="74">
        <v>2843</v>
      </c>
      <c r="F393" s="74">
        <v>72</v>
      </c>
      <c r="G393" s="74">
        <v>1285</v>
      </c>
      <c r="H393" s="74">
        <v>288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5581.5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108</v>
      </c>
      <c r="E395" s="74">
        <v>432</v>
      </c>
      <c r="F395" s="74">
        <v>0</v>
      </c>
      <c r="G395" s="74">
        <v>0</v>
      </c>
      <c r="H395" s="74">
        <v>144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684</v>
      </c>
    </row>
    <row r="396" spans="1:15" x14ac:dyDescent="0.25">
      <c r="A396" s="71" t="s">
        <v>380</v>
      </c>
      <c r="B396" s="74"/>
      <c r="C396" s="74">
        <v>564.44000000000005</v>
      </c>
      <c r="D396" s="74">
        <v>311.19</v>
      </c>
      <c r="E396" s="74">
        <v>3377.78</v>
      </c>
      <c r="F396" s="74">
        <v>1098.44</v>
      </c>
      <c r="G396" s="74">
        <v>634.38</v>
      </c>
      <c r="H396" s="74">
        <v>573.72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6559.9500000000007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277.75</v>
      </c>
      <c r="D403" s="74">
        <v>277.75</v>
      </c>
      <c r="E403" s="74">
        <v>277.75</v>
      </c>
      <c r="F403" s="74">
        <v>277.75</v>
      </c>
      <c r="G403" s="74">
        <v>277.75</v>
      </c>
      <c r="H403" s="74">
        <v>277.75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1666.5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680</v>
      </c>
      <c r="D407" s="74">
        <v>0</v>
      </c>
      <c r="E407" s="74">
        <v>342.5</v>
      </c>
      <c r="F407" s="74">
        <v>483.61</v>
      </c>
      <c r="G407" s="74">
        <v>507.98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2014.0900000000001</v>
      </c>
    </row>
    <row r="408" spans="1:15" x14ac:dyDescent="0.25">
      <c r="A408" s="71" t="s">
        <v>392</v>
      </c>
      <c r="B408" s="74"/>
      <c r="C408" s="74">
        <v>243.29</v>
      </c>
      <c r="D408" s="74">
        <v>257.60000000000002</v>
      </c>
      <c r="E408" s="74">
        <v>261.3</v>
      </c>
      <c r="F408" s="74">
        <v>284.85000000000002</v>
      </c>
      <c r="G408" s="74">
        <v>69</v>
      </c>
      <c r="H408" s="74">
        <v>621.22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1737.26</v>
      </c>
    </row>
    <row r="409" spans="1:15" x14ac:dyDescent="0.25">
      <c r="A409" s="71" t="s">
        <v>393</v>
      </c>
      <c r="B409" s="74"/>
      <c r="C409" s="74">
        <v>837.24</v>
      </c>
      <c r="D409" s="74">
        <v>819.54</v>
      </c>
      <c r="E409" s="74">
        <v>867.49</v>
      </c>
      <c r="F409" s="74">
        <v>828.2</v>
      </c>
      <c r="G409" s="74">
        <v>849.22</v>
      </c>
      <c r="H409" s="74">
        <v>835.18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5036.8700000000008</v>
      </c>
    </row>
    <row r="410" spans="1:15" x14ac:dyDescent="0.25">
      <c r="A410" s="71" t="s">
        <v>394</v>
      </c>
      <c r="B410" s="74"/>
      <c r="C410" s="74">
        <v>142.61000000000001</v>
      </c>
      <c r="D410" s="74">
        <v>85.46</v>
      </c>
      <c r="E410" s="74">
        <v>292.31</v>
      </c>
      <c r="F410" s="74">
        <v>458.38</v>
      </c>
      <c r="G410" s="74">
        <v>857.96</v>
      </c>
      <c r="H410" s="74">
        <v>382.89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2219.61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111.56</v>
      </c>
      <c r="D412" s="74">
        <v>197.43</v>
      </c>
      <c r="E412" s="74">
        <v>95.94</v>
      </c>
      <c r="F412" s="74">
        <v>45.89</v>
      </c>
      <c r="G412" s="74">
        <v>226.92</v>
      </c>
      <c r="H412" s="74">
        <v>73.819999999999993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751.56</v>
      </c>
    </row>
    <row r="413" spans="1:15" x14ac:dyDescent="0.25">
      <c r="A413" s="71" t="s">
        <v>397</v>
      </c>
      <c r="B413" s="74"/>
      <c r="C413" s="74">
        <v>839.53</v>
      </c>
      <c r="D413" s="74">
        <v>839.53</v>
      </c>
      <c r="E413" s="74">
        <v>839.53</v>
      </c>
      <c r="F413" s="74">
        <v>839.53</v>
      </c>
      <c r="G413" s="74">
        <v>839.53</v>
      </c>
      <c r="H413" s="74">
        <v>839.53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5037.1799999999994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2436.25</v>
      </c>
      <c r="D415" s="74">
        <v>2436.25</v>
      </c>
      <c r="E415" s="74">
        <v>2436.25</v>
      </c>
      <c r="F415" s="74">
        <v>2436.25</v>
      </c>
      <c r="G415" s="74">
        <v>2436.25</v>
      </c>
      <c r="H415" s="74">
        <v>2436.25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14617.5</v>
      </c>
    </row>
    <row r="416" spans="1:15" x14ac:dyDescent="0.25">
      <c r="A416" s="71" t="s">
        <v>400</v>
      </c>
      <c r="B416" s="74"/>
      <c r="C416" s="74">
        <v>1148.43</v>
      </c>
      <c r="D416" s="74">
        <v>1148.43</v>
      </c>
      <c r="E416" s="74">
        <v>1148.43</v>
      </c>
      <c r="F416" s="74">
        <v>1148.43</v>
      </c>
      <c r="G416" s="74">
        <v>1148.44</v>
      </c>
      <c r="H416" s="74">
        <v>1148.44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6890.6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4693.3100000000004</v>
      </c>
      <c r="D419" s="74">
        <v>4377.75</v>
      </c>
      <c r="E419" s="74">
        <v>4544.62</v>
      </c>
      <c r="F419" s="74">
        <v>4561.7299999999996</v>
      </c>
      <c r="G419" s="74">
        <v>5050.03</v>
      </c>
      <c r="H419" s="74">
        <v>4953.22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28180.66</v>
      </c>
    </row>
    <row r="420" spans="1:15" x14ac:dyDescent="0.25">
      <c r="A420" s="71" t="s">
        <v>404</v>
      </c>
      <c r="B420" s="74"/>
      <c r="C420" s="74">
        <v>312.08</v>
      </c>
      <c r="D420" s="74">
        <v>164.01</v>
      </c>
      <c r="E420" s="74">
        <v>285.66000000000003</v>
      </c>
      <c r="F420" s="74">
        <v>390.21</v>
      </c>
      <c r="G420" s="74">
        <v>305.52999999999997</v>
      </c>
      <c r="H420" s="74">
        <v>126.96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1584.45</v>
      </c>
    </row>
    <row r="421" spans="1:15" x14ac:dyDescent="0.25">
      <c r="A421" s="71" t="s">
        <v>405</v>
      </c>
      <c r="B421" s="74"/>
      <c r="C421" s="74">
        <v>649.19000000000005</v>
      </c>
      <c r="D421" s="74">
        <v>2631.64</v>
      </c>
      <c r="E421" s="74">
        <v>1150.3399999999999</v>
      </c>
      <c r="F421" s="74">
        <v>1146.56</v>
      </c>
      <c r="G421" s="74">
        <v>2553.69</v>
      </c>
      <c r="H421" s="74">
        <v>668.2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8799.6200000000008</v>
      </c>
    </row>
    <row r="422" spans="1:15" x14ac:dyDescent="0.25">
      <c r="A422" s="71" t="s">
        <v>406</v>
      </c>
      <c r="B422" s="74"/>
      <c r="C422" s="74">
        <v>15195.06</v>
      </c>
      <c r="D422" s="74">
        <v>14633.91</v>
      </c>
      <c r="E422" s="74">
        <v>14840.5</v>
      </c>
      <c r="F422" s="74">
        <v>15268.01</v>
      </c>
      <c r="G422" s="74">
        <v>15454.09</v>
      </c>
      <c r="H422" s="74">
        <v>14497.45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89889.02</v>
      </c>
    </row>
    <row r="423" spans="1:15" x14ac:dyDescent="0.25">
      <c r="A423" s="71" t="s">
        <v>407</v>
      </c>
      <c r="B423" s="74"/>
      <c r="C423" s="74">
        <v>273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273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2084.4699999999998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2084.4699999999998</v>
      </c>
    </row>
    <row r="426" spans="1:15" x14ac:dyDescent="0.25">
      <c r="A426" s="71" t="s">
        <v>410</v>
      </c>
      <c r="B426" s="74"/>
      <c r="C426" s="74">
        <v>11606.28</v>
      </c>
      <c r="D426" s="74">
        <v>10568.75</v>
      </c>
      <c r="E426" s="74">
        <v>11758.83</v>
      </c>
      <c r="F426" s="74">
        <v>11538.76</v>
      </c>
      <c r="G426" s="74">
        <v>12563.34</v>
      </c>
      <c r="H426" s="74">
        <v>12170.79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70206.75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80.510000000000005</v>
      </c>
      <c r="D428" s="74">
        <v>38.4</v>
      </c>
      <c r="E428" s="74">
        <v>46.1</v>
      </c>
      <c r="F428" s="74">
        <v>81.36</v>
      </c>
      <c r="G428" s="74">
        <v>294.22000000000003</v>
      </c>
      <c r="H428" s="74">
        <v>108.05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648.64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37.5</v>
      </c>
      <c r="D430" s="74">
        <v>0</v>
      </c>
      <c r="E430" s="74">
        <v>0</v>
      </c>
      <c r="F430" s="74">
        <v>0</v>
      </c>
      <c r="G430" s="74">
        <v>57.5</v>
      </c>
      <c r="H430" s="74">
        <v>32.5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127.5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1352.12</v>
      </c>
      <c r="D432" s="74">
        <v>1190.47</v>
      </c>
      <c r="E432" s="74">
        <v>885.23</v>
      </c>
      <c r="F432" s="74">
        <v>605.21</v>
      </c>
      <c r="G432" s="74">
        <v>2015.45</v>
      </c>
      <c r="H432" s="74">
        <v>1023.91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7072.39</v>
      </c>
    </row>
    <row r="433" spans="1:16" x14ac:dyDescent="0.25">
      <c r="A433" s="71" t="s">
        <v>416</v>
      </c>
      <c r="B433" s="74"/>
      <c r="C433" s="74">
        <v>16365</v>
      </c>
      <c r="D433" s="74">
        <v>16365</v>
      </c>
      <c r="E433" s="74">
        <v>16365</v>
      </c>
      <c r="F433" s="74">
        <v>16365</v>
      </c>
      <c r="G433" s="74">
        <v>16365</v>
      </c>
      <c r="H433" s="74">
        <v>16365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98190</v>
      </c>
    </row>
    <row r="434" spans="1:16" x14ac:dyDescent="0.25">
      <c r="A434" s="71" t="s">
        <v>417</v>
      </c>
      <c r="B434" s="74"/>
      <c r="C434" s="74">
        <v>1917.84</v>
      </c>
      <c r="D434" s="74">
        <v>1373.32</v>
      </c>
      <c r="E434" s="74">
        <v>1814.76</v>
      </c>
      <c r="F434" s="74">
        <v>1348.68</v>
      </c>
      <c r="G434" s="74">
        <v>1173.8900000000001</v>
      </c>
      <c r="H434" s="74">
        <v>1451.75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9080.2400000000016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675</v>
      </c>
      <c r="D436" s="74">
        <v>937.92</v>
      </c>
      <c r="E436" s="74">
        <v>1122.3800000000001</v>
      </c>
      <c r="F436" s="74">
        <v>675</v>
      </c>
      <c r="G436" s="74">
        <v>959.92</v>
      </c>
      <c r="H436" s="74">
        <v>979.92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5350.14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12382.23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12382.23</v>
      </c>
    </row>
    <row r="440" spans="1:16" x14ac:dyDescent="0.25">
      <c r="A440" s="71" t="s">
        <v>423</v>
      </c>
      <c r="C440" s="74">
        <v>71929.16</v>
      </c>
      <c r="D440" s="74">
        <v>69413.539999999994</v>
      </c>
      <c r="E440" s="74">
        <v>77219.55</v>
      </c>
      <c r="F440" s="74">
        <v>70874.76999999999</v>
      </c>
      <c r="G440" s="74">
        <v>88155.569999999978</v>
      </c>
      <c r="H440" s="74">
        <v>70718.539999999994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448311.13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8247.26</v>
      </c>
      <c r="D443" s="74">
        <v>7935.51</v>
      </c>
      <c r="E443" s="74">
        <v>8050.28</v>
      </c>
      <c r="F443" s="74">
        <v>8287.7800000000007</v>
      </c>
      <c r="G443" s="74">
        <v>8391.16</v>
      </c>
      <c r="H443" s="74">
        <v>7859.69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48771.680000000008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1668.75</v>
      </c>
      <c r="D445" s="74">
        <v>1668.75</v>
      </c>
      <c r="E445" s="74">
        <v>1668.75</v>
      </c>
      <c r="F445" s="74">
        <v>1668.75</v>
      </c>
      <c r="G445" s="74">
        <v>1668.75</v>
      </c>
      <c r="H445" s="74">
        <v>1668.75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10012.5</v>
      </c>
    </row>
    <row r="446" spans="1:16" x14ac:dyDescent="0.25">
      <c r="A446" s="71" t="s">
        <v>428</v>
      </c>
      <c r="B446" s="74"/>
      <c r="C446" s="74">
        <v>61515.79</v>
      </c>
      <c r="D446" s="74">
        <v>61515.79</v>
      </c>
      <c r="E446" s="74">
        <v>67365.23</v>
      </c>
      <c r="F446" s="74">
        <v>64440.51</v>
      </c>
      <c r="G446" s="74">
        <v>64440.51</v>
      </c>
      <c r="H446" s="74">
        <v>66565.509999999995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385843.34</v>
      </c>
    </row>
    <row r="447" spans="1:16" x14ac:dyDescent="0.25">
      <c r="A447" s="71" t="s">
        <v>429</v>
      </c>
      <c r="B447" s="74"/>
      <c r="C447" s="74">
        <v>771.75</v>
      </c>
      <c r="D447" s="74">
        <v>504</v>
      </c>
      <c r="E447" s="74">
        <v>734.63</v>
      </c>
      <c r="F447" s="74">
        <v>577.5</v>
      </c>
      <c r="G447" s="74">
        <v>595.5</v>
      </c>
      <c r="H447" s="74">
        <v>1537.87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4721.25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2125</v>
      </c>
      <c r="D451" s="83">
        <v>2125</v>
      </c>
      <c r="E451" s="83">
        <v>2125</v>
      </c>
      <c r="F451" s="83">
        <v>2125</v>
      </c>
      <c r="G451" s="83">
        <v>2125</v>
      </c>
      <c r="H451" s="83">
        <v>76.680000000000007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10701.68</v>
      </c>
      <c r="P451" s="86"/>
    </row>
    <row r="452" spans="1:16" x14ac:dyDescent="0.25">
      <c r="A452" s="71" t="s">
        <v>434</v>
      </c>
      <c r="C452" s="74">
        <v>76.680000000000007</v>
      </c>
      <c r="D452" s="74">
        <v>76.680000000000007</v>
      </c>
      <c r="E452" s="74">
        <v>76.680000000000007</v>
      </c>
      <c r="F452" s="74">
        <v>76.680000000000007</v>
      </c>
      <c r="G452" s="74">
        <v>76.680000000000007</v>
      </c>
      <c r="H452" s="74">
        <v>0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383.40000000000003</v>
      </c>
    </row>
    <row r="453" spans="1:16" ht="18.75" thickBot="1" x14ac:dyDescent="0.3">
      <c r="A453" s="85" t="s">
        <v>435</v>
      </c>
      <c r="B453" s="85"/>
      <c r="C453" s="81">
        <v>74405.23</v>
      </c>
      <c r="D453" s="81">
        <v>73825.73</v>
      </c>
      <c r="E453" s="81">
        <v>80020.569999999992</v>
      </c>
      <c r="F453" s="81">
        <v>77176.22</v>
      </c>
      <c r="G453" s="81">
        <v>77297.599999999991</v>
      </c>
      <c r="H453" s="81">
        <v>77708.499999999985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460433.85000000003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371578.72000000003</v>
      </c>
      <c r="D455" s="71">
        <v>344114.27</v>
      </c>
      <c r="E455" s="71">
        <v>394902.43</v>
      </c>
      <c r="F455" s="71">
        <v>383581.79999999993</v>
      </c>
      <c r="G455" s="71">
        <v>418981.23</v>
      </c>
      <c r="H455" s="71">
        <v>413392.92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2326551.3699999996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5"/>
  <sheetViews>
    <sheetView view="pageBreakPreview" topLeftCell="A124" zoomScale="60" zoomScaleNormal="100" workbookViewId="0">
      <selection activeCell="A142" sqref="A142"/>
    </sheetView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5703125" style="71" bestFit="1" customWidth="1"/>
    <col min="17" max="17" width="9" style="71" bestFit="1" customWidth="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478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6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96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32.032258064516128</v>
      </c>
      <c r="D8" s="97">
        <v>35</v>
      </c>
      <c r="E8" s="97">
        <v>28.64516129032258</v>
      </c>
      <c r="F8" s="97">
        <v>3.8333333333333335</v>
      </c>
      <c r="G8" s="97" t="e">
        <v>#DIV/0!</v>
      </c>
      <c r="H8" s="97" t="e">
        <v>#DIV/0!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131</v>
      </c>
      <c r="D11" s="74">
        <v>146</v>
      </c>
      <c r="E11" s="74">
        <v>11</v>
      </c>
      <c r="F11" s="74">
        <v>4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292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5">
      <c r="A13" s="71" t="s">
        <v>43</v>
      </c>
      <c r="C13" s="74">
        <v>848</v>
      </c>
      <c r="D13" s="74">
        <v>750</v>
      </c>
      <c r="E13" s="74">
        <v>834</v>
      </c>
      <c r="F13" s="74">
        <v>5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2437</v>
      </c>
    </row>
    <row r="14" spans="1:15" x14ac:dyDescent="0.25">
      <c r="A14" s="71" t="s">
        <v>44</v>
      </c>
      <c r="C14" s="74">
        <v>14</v>
      </c>
      <c r="D14" s="74">
        <v>84</v>
      </c>
      <c r="E14" s="74">
        <v>-2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96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0</v>
      </c>
      <c r="F15" s="74">
        <v>9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9</v>
      </c>
    </row>
    <row r="16" spans="1:15" x14ac:dyDescent="0.25">
      <c r="A16" s="71" t="s">
        <v>46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</row>
    <row r="17" spans="1:18" x14ac:dyDescent="0.25">
      <c r="A17" s="71" t="s">
        <v>47</v>
      </c>
      <c r="C17" s="74">
        <v>0</v>
      </c>
      <c r="D17" s="74">
        <v>0</v>
      </c>
      <c r="E17" s="74">
        <v>45</v>
      </c>
      <c r="F17" s="74">
        <v>5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50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993</v>
      </c>
      <c r="D23" s="79">
        <v>980</v>
      </c>
      <c r="E23" s="79">
        <v>888</v>
      </c>
      <c r="F23" s="79">
        <v>23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2884</v>
      </c>
      <c r="P23" s="86">
        <v>2884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176177.18</v>
      </c>
      <c r="D26" s="74">
        <v>179744.19000000003</v>
      </c>
      <c r="E26" s="74">
        <v>173659.74</v>
      </c>
      <c r="F26" s="74">
        <v>-1021.1599999999994</v>
      </c>
      <c r="G26" s="74">
        <v>7153.880000000001</v>
      </c>
      <c r="H26" s="74">
        <v>6744.84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542458.66999999993</v>
      </c>
      <c r="P26" s="86"/>
    </row>
    <row r="27" spans="1:18" x14ac:dyDescent="0.25">
      <c r="A27" s="71" t="s">
        <v>57</v>
      </c>
      <c r="C27" s="74">
        <v>20943.89</v>
      </c>
      <c r="D27" s="74">
        <v>21573.199999999997</v>
      </c>
      <c r="E27" s="74">
        <v>6836.32</v>
      </c>
      <c r="F27" s="74">
        <v>-1955.4099999999999</v>
      </c>
      <c r="G27" s="74">
        <v>-127.57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47270.43</v>
      </c>
      <c r="P27" s="86"/>
    </row>
    <row r="28" spans="1:18" x14ac:dyDescent="0.25">
      <c r="A28" s="71" t="s">
        <v>58</v>
      </c>
      <c r="C28" s="74">
        <v>-19814.98</v>
      </c>
      <c r="D28" s="74">
        <v>-3305.48</v>
      </c>
      <c r="E28" s="74">
        <v>-1450.48</v>
      </c>
      <c r="F28" s="74">
        <v>-3841.52</v>
      </c>
      <c r="G28" s="74">
        <v>940.71</v>
      </c>
      <c r="H28" s="74">
        <v>-1950.48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-29422.23</v>
      </c>
      <c r="P28" s="86"/>
    </row>
    <row r="29" spans="1:18" ht="18.75" thickBot="1" x14ac:dyDescent="0.3">
      <c r="A29" s="71" t="s">
        <v>59</v>
      </c>
      <c r="C29" s="80">
        <v>177306.09</v>
      </c>
      <c r="D29" s="80">
        <v>198011.91</v>
      </c>
      <c r="E29" s="80">
        <v>179045.58</v>
      </c>
      <c r="F29" s="80">
        <v>-6818.0899999999992</v>
      </c>
      <c r="G29" s="80">
        <v>7967.0200000000013</v>
      </c>
      <c r="H29" s="80">
        <v>4794.3600000000006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560306.87</v>
      </c>
      <c r="P29" s="86">
        <v>560306.87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89899.24000000002</v>
      </c>
      <c r="D32" s="74">
        <v>84282.69</v>
      </c>
      <c r="E32" s="74">
        <v>97417.96</v>
      </c>
      <c r="F32" s="74">
        <v>15988.250000000002</v>
      </c>
      <c r="G32" s="74">
        <v>-122</v>
      </c>
      <c r="H32" s="74">
        <v>100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287566.14</v>
      </c>
      <c r="P32" s="86"/>
    </row>
    <row r="33" spans="1:18" x14ac:dyDescent="0.25">
      <c r="A33" s="71" t="s">
        <v>62</v>
      </c>
      <c r="C33" s="74">
        <v>19983.43</v>
      </c>
      <c r="D33" s="74">
        <v>26605.680000000004</v>
      </c>
      <c r="E33" s="74">
        <v>29669.360000000001</v>
      </c>
      <c r="F33" s="74">
        <v>424.33000000000004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76682.8</v>
      </c>
      <c r="P33" s="86"/>
    </row>
    <row r="34" spans="1:18" x14ac:dyDescent="0.25">
      <c r="A34" s="71" t="s">
        <v>57</v>
      </c>
      <c r="C34" s="74">
        <v>20176.060000000001</v>
      </c>
      <c r="D34" s="74">
        <v>17563.28</v>
      </c>
      <c r="E34" s="74">
        <v>12555.710000000001</v>
      </c>
      <c r="F34" s="74">
        <v>312.64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50607.689999999995</v>
      </c>
      <c r="P34" s="86"/>
    </row>
    <row r="35" spans="1:18" x14ac:dyDescent="0.25">
      <c r="A35" s="71" t="s">
        <v>63</v>
      </c>
      <c r="C35" s="74">
        <v>694.13</v>
      </c>
      <c r="D35" s="74">
        <v>506.03000000000003</v>
      </c>
      <c r="E35" s="74">
        <v>612.77</v>
      </c>
      <c r="F35" s="74">
        <v>0</v>
      </c>
      <c r="G35" s="74">
        <v>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1812.93</v>
      </c>
      <c r="P35" s="86"/>
    </row>
    <row r="36" spans="1:18" x14ac:dyDescent="0.25">
      <c r="A36" s="71" t="s">
        <v>64</v>
      </c>
      <c r="C36" s="74">
        <v>9764.3799999999992</v>
      </c>
      <c r="D36" s="74">
        <v>7638.77</v>
      </c>
      <c r="E36" s="74">
        <v>6764.65</v>
      </c>
      <c r="F36" s="74">
        <v>329.33</v>
      </c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24497.130000000005</v>
      </c>
      <c r="P36" s="86"/>
    </row>
    <row r="37" spans="1:18" x14ac:dyDescent="0.25">
      <c r="A37" s="71" t="s">
        <v>65</v>
      </c>
      <c r="C37" s="74">
        <v>14067.759999999998</v>
      </c>
      <c r="D37" s="74">
        <v>17763.820000000003</v>
      </c>
      <c r="E37" s="74">
        <v>16877.36</v>
      </c>
      <c r="F37" s="74">
        <v>8261.27</v>
      </c>
      <c r="G37" s="74">
        <v>10876.990000000002</v>
      </c>
      <c r="H37" s="74">
        <v>3703.23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71550.430000000008</v>
      </c>
      <c r="P37" s="86"/>
    </row>
    <row r="38" spans="1:18" x14ac:dyDescent="0.25">
      <c r="A38" s="71" t="s">
        <v>66</v>
      </c>
      <c r="C38" s="74">
        <v>46003.959999999992</v>
      </c>
      <c r="D38" s="74">
        <v>44547.51999999999</v>
      </c>
      <c r="E38" s="74">
        <v>47180.74</v>
      </c>
      <c r="F38" s="74">
        <v>16920</v>
      </c>
      <c r="G38" s="74">
        <v>9668.84</v>
      </c>
      <c r="H38" s="74">
        <v>2434.0099999999998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166755.06999999998</v>
      </c>
      <c r="P38" s="86"/>
    </row>
    <row r="39" spans="1:18" x14ac:dyDescent="0.25">
      <c r="A39" s="71" t="s">
        <v>67</v>
      </c>
      <c r="C39" s="74">
        <v>47229.500000000007</v>
      </c>
      <c r="D39" s="74">
        <v>45830.87000000001</v>
      </c>
      <c r="E39" s="74">
        <v>48303.19</v>
      </c>
      <c r="F39" s="74">
        <v>39838.47</v>
      </c>
      <c r="G39" s="74">
        <v>39216.250000000007</v>
      </c>
      <c r="H39" s="74">
        <v>38786.870000000003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259205.15000000002</v>
      </c>
      <c r="P39" s="86"/>
    </row>
    <row r="40" spans="1:18" ht="18.75" thickBot="1" x14ac:dyDescent="0.3">
      <c r="A40" s="71" t="s">
        <v>68</v>
      </c>
      <c r="C40" s="80">
        <v>247818.46000000002</v>
      </c>
      <c r="D40" s="80">
        <v>244738.66000000003</v>
      </c>
      <c r="E40" s="80">
        <v>259381.74</v>
      </c>
      <c r="F40" s="80">
        <v>82074.290000000008</v>
      </c>
      <c r="G40" s="80">
        <v>59640.080000000009</v>
      </c>
      <c r="H40" s="80">
        <v>45024.11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938677.34</v>
      </c>
      <c r="P40" s="86">
        <v>938677.34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-70512.370000000024</v>
      </c>
      <c r="D41" s="81">
        <v>-46726.750000000029</v>
      </c>
      <c r="E41" s="81">
        <v>-80336.160000000003</v>
      </c>
      <c r="F41" s="81">
        <v>-88892.38</v>
      </c>
      <c r="G41" s="81">
        <v>-51673.060000000005</v>
      </c>
      <c r="H41" s="81">
        <v>-40229.75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-378370.47</v>
      </c>
      <c r="P41" s="86">
        <v>-378370.47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-17393.680000000022</v>
      </c>
      <c r="D43" s="74">
        <v>4516.1299999999737</v>
      </c>
      <c r="E43" s="74">
        <v>-27347.89</v>
      </c>
      <c r="F43" s="74">
        <v>-50109.51</v>
      </c>
      <c r="G43" s="74">
        <v>-12840.530000000004</v>
      </c>
      <c r="H43" s="76">
        <v>-1446.8799999999997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-104622.35999999996</v>
      </c>
      <c r="P43" s="71">
        <v>-104622.36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478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152232.95999999999</v>
      </c>
      <c r="D50" s="74">
        <v>134640</v>
      </c>
      <c r="E50" s="74">
        <v>149719.67999999999</v>
      </c>
      <c r="F50" s="74">
        <v>2513.2800000000002</v>
      </c>
      <c r="G50" s="74">
        <v>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439105.92</v>
      </c>
    </row>
    <row r="51" spans="1:15" x14ac:dyDescent="0.25">
      <c r="A51" s="71" t="s">
        <v>73</v>
      </c>
      <c r="B51" s="82"/>
      <c r="C51" s="74">
        <v>2513.2800000000002</v>
      </c>
      <c r="D51" s="74">
        <v>15685.64</v>
      </c>
      <c r="E51" s="74">
        <v>434.94</v>
      </c>
      <c r="F51" s="74">
        <v>523.20000000000005</v>
      </c>
      <c r="G51" s="74">
        <v>-13336.38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5820.6799999999985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-8814</v>
      </c>
      <c r="G59" s="74">
        <v>63.31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-8750.69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</row>
    <row r="64" spans="1:15" x14ac:dyDescent="0.25">
      <c r="A64" s="71" t="s">
        <v>86</v>
      </c>
      <c r="B64" s="82"/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-1335.16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-1335.16</v>
      </c>
    </row>
    <row r="65" spans="1:15" x14ac:dyDescent="0.25">
      <c r="A65" s="71" t="s">
        <v>87</v>
      </c>
      <c r="B65" s="82"/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</row>
    <row r="66" spans="1:15" x14ac:dyDescent="0.25">
      <c r="A66" s="71" t="s">
        <v>88</v>
      </c>
      <c r="B66" s="82"/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</row>
    <row r="67" spans="1:15" x14ac:dyDescent="0.25">
      <c r="A67" s="71" t="s">
        <v>89</v>
      </c>
      <c r="B67" s="82"/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0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8160</v>
      </c>
      <c r="D77" s="74">
        <v>8160</v>
      </c>
      <c r="E77" s="74">
        <v>12240</v>
      </c>
      <c r="F77" s="74">
        <v>8120</v>
      </c>
      <c r="G77" s="74">
        <v>8080</v>
      </c>
      <c r="H77" s="74">
        <v>8080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52840</v>
      </c>
    </row>
    <row r="78" spans="1:15" x14ac:dyDescent="0.25">
      <c r="A78" s="71" t="s">
        <v>99</v>
      </c>
      <c r="B78" s="82"/>
      <c r="C78" s="74">
        <v>0</v>
      </c>
      <c r="D78" s="74">
        <v>0</v>
      </c>
      <c r="E78" s="74">
        <v>0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</row>
    <row r="79" spans="1:15" x14ac:dyDescent="0.25">
      <c r="A79" s="71" t="s">
        <v>100</v>
      </c>
      <c r="B79" s="82"/>
      <c r="C79" s="74">
        <v>0.38</v>
      </c>
      <c r="D79" s="74">
        <v>-2103.94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-2103.56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17876</v>
      </c>
      <c r="D82" s="74">
        <v>26570</v>
      </c>
      <c r="E82" s="74">
        <v>2450</v>
      </c>
      <c r="F82" s="74">
        <v>680</v>
      </c>
      <c r="G82" s="74">
        <v>12750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60326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5">
      <c r="A84" s="71" t="s">
        <v>481</v>
      </c>
      <c r="B84" s="82"/>
      <c r="C84" s="74">
        <v>-7513.05</v>
      </c>
      <c r="D84" s="74">
        <v>-4067.67</v>
      </c>
      <c r="E84" s="74">
        <v>-323.27999999999997</v>
      </c>
      <c r="F84" s="74">
        <v>-5471.24</v>
      </c>
      <c r="G84" s="74">
        <v>-403.05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-17778.29</v>
      </c>
    </row>
    <row r="85" spans="1:15" x14ac:dyDescent="0.25">
      <c r="A85" s="71" t="s">
        <v>482</v>
      </c>
      <c r="B85" s="82"/>
      <c r="C85" s="74">
        <v>1847.61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1847.61</v>
      </c>
    </row>
    <row r="86" spans="1:15" x14ac:dyDescent="0.25">
      <c r="A86" s="71" t="s">
        <v>483</v>
      </c>
      <c r="B86" s="82"/>
      <c r="C86" s="74">
        <v>1060</v>
      </c>
      <c r="D86" s="74">
        <v>1060</v>
      </c>
      <c r="E86" s="74">
        <v>1060</v>
      </c>
      <c r="F86" s="74">
        <v>530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3710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30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30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0</v>
      </c>
      <c r="D95" s="74">
        <v>-229.84</v>
      </c>
      <c r="E95" s="74">
        <v>8078.4</v>
      </c>
      <c r="F95" s="74">
        <v>897.6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8746.16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176177.18</v>
      </c>
      <c r="D111" s="74">
        <v>179744.19</v>
      </c>
      <c r="E111" s="74">
        <v>173659.74</v>
      </c>
      <c r="F111" s="74">
        <v>-1021.1599999999993</v>
      </c>
      <c r="G111" s="74">
        <v>7153.88</v>
      </c>
      <c r="H111" s="74">
        <v>6744.84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542458.66999999993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15799.15</v>
      </c>
      <c r="D114" s="74">
        <v>16071.38</v>
      </c>
      <c r="E114" s="74">
        <v>11546.39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43416.92</v>
      </c>
    </row>
    <row r="115" spans="1:15" x14ac:dyDescent="0.25">
      <c r="A115" s="71" t="s">
        <v>130</v>
      </c>
      <c r="B115" s="74"/>
      <c r="C115" s="74">
        <v>13368.12</v>
      </c>
      <c r="D115" s="74">
        <v>7384.37</v>
      </c>
      <c r="E115" s="74">
        <v>7221.77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27974.260000000002</v>
      </c>
    </row>
    <row r="116" spans="1:15" x14ac:dyDescent="0.25">
      <c r="A116" s="71" t="s">
        <v>131</v>
      </c>
      <c r="B116" s="74"/>
      <c r="C116" s="74">
        <v>0</v>
      </c>
      <c r="D116" s="74">
        <v>485.1</v>
      </c>
      <c r="E116" s="74">
        <v>1863.55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2348.65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-13104.41</v>
      </c>
      <c r="D122" s="74">
        <v>-11680.38</v>
      </c>
      <c r="E122" s="74">
        <v>-10039.35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-34824.14</v>
      </c>
    </row>
    <row r="123" spans="1:15" x14ac:dyDescent="0.25">
      <c r="A123" s="71" t="s">
        <v>136</v>
      </c>
      <c r="B123" s="74"/>
      <c r="C123" s="74">
        <v>0</v>
      </c>
      <c r="D123" s="74">
        <v>-1472.05</v>
      </c>
      <c r="E123" s="74">
        <v>-760.38</v>
      </c>
      <c r="F123" s="74">
        <v>-528.87</v>
      </c>
      <c r="G123" s="74">
        <v>-127.57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-2888.87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3874.35</v>
      </c>
      <c r="D126" s="74">
        <v>4045.05</v>
      </c>
      <c r="E126" s="74">
        <v>1482.52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9401.92</v>
      </c>
    </row>
    <row r="127" spans="1:15" x14ac:dyDescent="0.25">
      <c r="A127" s="71" t="s">
        <v>489</v>
      </c>
      <c r="B127" s="74"/>
      <c r="C127" s="74">
        <v>852.92</v>
      </c>
      <c r="D127" s="74">
        <v>2042.58</v>
      </c>
      <c r="E127" s="74">
        <v>800.67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3696.17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-6582.2</v>
      </c>
      <c r="D129" s="74">
        <v>-2915.28</v>
      </c>
      <c r="E129" s="74">
        <v>-7877.95</v>
      </c>
      <c r="F129" s="74">
        <v>-1426.54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-18801.97</v>
      </c>
    </row>
    <row r="130" spans="1:16" x14ac:dyDescent="0.25">
      <c r="A130" s="71" t="s">
        <v>139</v>
      </c>
      <c r="B130" s="74"/>
      <c r="C130" s="74">
        <v>4135.28</v>
      </c>
      <c r="D130" s="74">
        <v>4432.32</v>
      </c>
      <c r="E130" s="74">
        <v>2012.51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10580.109999999999</v>
      </c>
    </row>
    <row r="131" spans="1:16" x14ac:dyDescent="0.25">
      <c r="A131" s="71" t="s">
        <v>140</v>
      </c>
      <c r="C131" s="83">
        <v>2600.6799999999998</v>
      </c>
      <c r="D131" s="83">
        <v>2210.0100000000002</v>
      </c>
      <c r="E131" s="83">
        <v>222.84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5033.5300000000007</v>
      </c>
      <c r="P131" s="86"/>
    </row>
    <row r="132" spans="1:16" x14ac:dyDescent="0.25">
      <c r="A132" s="71" t="s">
        <v>141</v>
      </c>
      <c r="C132" s="74">
        <v>0</v>
      </c>
      <c r="D132" s="74">
        <v>970.1</v>
      </c>
      <c r="E132" s="74">
        <v>363.75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1333.85</v>
      </c>
    </row>
    <row r="133" spans="1:16" x14ac:dyDescent="0.25">
      <c r="A133" s="71" t="s">
        <v>142</v>
      </c>
      <c r="C133" s="74">
        <v>20943.889999999996</v>
      </c>
      <c r="D133" s="74">
        <v>21573.200000000004</v>
      </c>
      <c r="E133" s="74">
        <v>6836.3200000000006</v>
      </c>
      <c r="F133" s="74">
        <v>-1955.4099999999999</v>
      </c>
      <c r="G133" s="74">
        <v>-127.57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47270.429999999978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0.15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0.15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-1450.48</v>
      </c>
      <c r="D142" s="74">
        <v>-1450.48</v>
      </c>
      <c r="E142" s="74">
        <v>-1450.48</v>
      </c>
      <c r="F142" s="74">
        <v>-1450.48</v>
      </c>
      <c r="G142" s="74">
        <v>-1450.48</v>
      </c>
      <c r="H142" s="74">
        <v>-1450.48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-8702.8799999999992</v>
      </c>
    </row>
    <row r="143" spans="1:16" x14ac:dyDescent="0.25">
      <c r="A143" s="71" t="s">
        <v>492</v>
      </c>
      <c r="B143" s="74"/>
      <c r="C143" s="74">
        <v>-18364.5</v>
      </c>
      <c r="D143" s="74">
        <v>-1855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-20219.5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0</v>
      </c>
      <c r="E145" s="74">
        <v>0</v>
      </c>
      <c r="F145" s="74">
        <v>-2391.04</v>
      </c>
      <c r="G145" s="74">
        <v>2391.04</v>
      </c>
      <c r="H145" s="74">
        <v>-500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-500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-19814.98</v>
      </c>
      <c r="D148" s="81">
        <v>-3305.48</v>
      </c>
      <c r="E148" s="81">
        <v>-1450.48</v>
      </c>
      <c r="F148" s="81">
        <v>-3841.52</v>
      </c>
      <c r="G148" s="81">
        <v>940.71</v>
      </c>
      <c r="H148" s="81">
        <v>-1950.48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-29422.23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177306.09</v>
      </c>
      <c r="D150" s="74">
        <v>198011.91</v>
      </c>
      <c r="E150" s="74">
        <v>179045.58</v>
      </c>
      <c r="F150" s="74">
        <v>-6818.0899999999992</v>
      </c>
      <c r="G150" s="74">
        <v>7967.02</v>
      </c>
      <c r="H150" s="76">
        <v>4794.3600000000006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560306.86999999988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478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900</v>
      </c>
      <c r="D157" s="74">
        <v>900</v>
      </c>
      <c r="E157" s="74">
        <v>920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2720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227.5</v>
      </c>
      <c r="D162" s="74">
        <v>280</v>
      </c>
      <c r="E162" s="74">
        <v>259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766.5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1485.04</v>
      </c>
      <c r="D167" s="74">
        <v>1421.96</v>
      </c>
      <c r="E167" s="74">
        <v>1391.51</v>
      </c>
      <c r="F167" s="74">
        <v>241.9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4540.41</v>
      </c>
    </row>
    <row r="168" spans="1:15" x14ac:dyDescent="0.25">
      <c r="A168" s="71" t="s">
        <v>168</v>
      </c>
      <c r="B168" s="74"/>
      <c r="C168" s="74">
        <v>103.95</v>
      </c>
      <c r="D168" s="74">
        <v>0</v>
      </c>
      <c r="E168" s="74">
        <v>80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183.95</v>
      </c>
    </row>
    <row r="169" spans="1:15" x14ac:dyDescent="0.25">
      <c r="A169" s="71" t="s">
        <v>169</v>
      </c>
      <c r="B169" s="74"/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319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319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5">
      <c r="A176" s="71" t="s">
        <v>176</v>
      </c>
      <c r="B176" s="74"/>
      <c r="C176" s="74">
        <v>35.64</v>
      </c>
      <c r="D176" s="74">
        <v>35.64</v>
      </c>
      <c r="E176" s="74">
        <v>-85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-13.719999999999999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2778.98</v>
      </c>
      <c r="D178" s="74">
        <v>2587.62</v>
      </c>
      <c r="E178" s="74">
        <v>3099.17</v>
      </c>
      <c r="F178" s="74">
        <v>50.29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8516.0600000000013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115.38</v>
      </c>
      <c r="E183" s="74">
        <v>142</v>
      </c>
      <c r="F183" s="74">
        <v>816.5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1073.8800000000001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115.38</v>
      </c>
      <c r="D185" s="74">
        <v>106.5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221.88</v>
      </c>
    </row>
    <row r="186" spans="1:15" x14ac:dyDescent="0.25">
      <c r="A186" s="71" t="s">
        <v>186</v>
      </c>
      <c r="B186" s="74"/>
      <c r="C186" s="74">
        <v>0</v>
      </c>
      <c r="D186" s="74">
        <v>0</v>
      </c>
      <c r="E186" s="74">
        <v>-102.88</v>
      </c>
      <c r="F186" s="74">
        <v>-102.88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-205.76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9473.5300000000007</v>
      </c>
      <c r="D188" s="74">
        <v>4644.49</v>
      </c>
      <c r="E188" s="74">
        <v>8631.49</v>
      </c>
      <c r="F188" s="74">
        <v>3983.69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26733.200000000001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5779.32</v>
      </c>
      <c r="D190" s="74">
        <v>6442.41</v>
      </c>
      <c r="E190" s="74">
        <v>7373.8</v>
      </c>
      <c r="F190" s="74">
        <v>486.58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20082.11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4260</v>
      </c>
      <c r="D192" s="74">
        <v>12041.17</v>
      </c>
      <c r="E192" s="74">
        <v>11804.62</v>
      </c>
      <c r="F192" s="74">
        <v>1344.37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29450.16</v>
      </c>
    </row>
    <row r="193" spans="1:15" x14ac:dyDescent="0.25">
      <c r="A193" s="71" t="s">
        <v>494</v>
      </c>
      <c r="B193" s="74"/>
      <c r="C193" s="74">
        <v>0</v>
      </c>
      <c r="D193" s="74">
        <v>632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632</v>
      </c>
    </row>
    <row r="194" spans="1:15" x14ac:dyDescent="0.25">
      <c r="A194" s="71" t="s">
        <v>193</v>
      </c>
      <c r="B194" s="74"/>
      <c r="C194" s="74">
        <v>21841.77</v>
      </c>
      <c r="D194" s="74">
        <v>19022.64</v>
      </c>
      <c r="E194" s="74">
        <v>22980.69</v>
      </c>
      <c r="F194" s="74">
        <v>3334.86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67179.960000000006</v>
      </c>
    </row>
    <row r="195" spans="1:15" x14ac:dyDescent="0.25">
      <c r="A195" s="71" t="s">
        <v>495</v>
      </c>
      <c r="B195" s="74"/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5">
      <c r="A196" s="71" t="s">
        <v>194</v>
      </c>
      <c r="B196" s="74"/>
      <c r="C196" s="74">
        <v>22581.3</v>
      </c>
      <c r="D196" s="74">
        <v>16048.56</v>
      </c>
      <c r="E196" s="74">
        <v>21993.07</v>
      </c>
      <c r="F196" s="74">
        <v>3230.92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63853.85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12838.15</v>
      </c>
      <c r="D200" s="74">
        <v>11552.23</v>
      </c>
      <c r="E200" s="74">
        <v>13386.86</v>
      </c>
      <c r="F200" s="74">
        <v>2784.85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40562.089999999997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1424.55</v>
      </c>
      <c r="D204" s="74">
        <v>3371.56</v>
      </c>
      <c r="E204" s="74">
        <v>1175.8599999999999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5971.9699999999993</v>
      </c>
    </row>
    <row r="205" spans="1:15" x14ac:dyDescent="0.25">
      <c r="A205" s="71" t="s">
        <v>201</v>
      </c>
      <c r="B205" s="74"/>
      <c r="C205" s="74">
        <v>725.37</v>
      </c>
      <c r="D205" s="74">
        <v>136.88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862.25</v>
      </c>
    </row>
    <row r="206" spans="1:15" x14ac:dyDescent="0.25">
      <c r="A206" s="71" t="s">
        <v>202</v>
      </c>
      <c r="B206" s="74"/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5">
      <c r="A207" s="71" t="s">
        <v>203</v>
      </c>
      <c r="B207" s="74"/>
      <c r="C207" s="74">
        <v>0</v>
      </c>
      <c r="D207" s="74">
        <v>0</v>
      </c>
      <c r="E207" s="74">
        <v>22.75</v>
      </c>
      <c r="F207" s="74">
        <v>5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27.75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1835.02</v>
      </c>
      <c r="D209" s="74">
        <v>643.99</v>
      </c>
      <c r="E209" s="74">
        <v>324.89999999999998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2803.9100000000003</v>
      </c>
    </row>
    <row r="210" spans="1:15" x14ac:dyDescent="0.25">
      <c r="A210" s="71" t="s">
        <v>206</v>
      </c>
      <c r="B210" s="74"/>
      <c r="C210" s="74">
        <v>89.35</v>
      </c>
      <c r="D210" s="74">
        <v>323.02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412.37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1343.94</v>
      </c>
      <c r="D212" s="74">
        <v>681.8</v>
      </c>
      <c r="E212" s="74">
        <v>300.69</v>
      </c>
      <c r="F212" s="74">
        <v>144.04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2470.4699999999998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291.95999999999998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291.95999999999998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-24.62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-24.62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217.75</v>
      </c>
      <c r="D221" s="74">
        <v>898.5</v>
      </c>
      <c r="E221" s="74">
        <v>1784</v>
      </c>
      <c r="F221" s="74">
        <v>820.53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3720.7799999999997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184.25</v>
      </c>
      <c r="D225" s="74">
        <v>589.9</v>
      </c>
      <c r="E225" s="74">
        <v>1730.5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2504.65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1623.52</v>
      </c>
      <c r="D227" s="74">
        <v>1661.52</v>
      </c>
      <c r="E227" s="74">
        <v>-1488.52</v>
      </c>
      <c r="F227" s="74">
        <v>-1152.4000000000001</v>
      </c>
      <c r="G227" s="74">
        <v>-122</v>
      </c>
      <c r="H227" s="74">
        <v>100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622.11999999999989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59.55</v>
      </c>
      <c r="D229" s="74">
        <v>144.91999999999999</v>
      </c>
      <c r="E229" s="74">
        <v>1082.49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1286.96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89899.24000000002</v>
      </c>
      <c r="D244" s="74">
        <v>84282.69</v>
      </c>
      <c r="E244" s="74">
        <v>97417.96</v>
      </c>
      <c r="F244" s="74">
        <v>15988.250000000002</v>
      </c>
      <c r="G244" s="74">
        <v>-122</v>
      </c>
      <c r="H244" s="74">
        <v>100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287566.14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9886.09</v>
      </c>
      <c r="D247" s="74">
        <v>13964.27</v>
      </c>
      <c r="E247" s="74">
        <v>15610.24</v>
      </c>
      <c r="F247" s="74">
        <v>440.74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39901.339999999997</v>
      </c>
    </row>
    <row r="248" spans="1:16" x14ac:dyDescent="0.25">
      <c r="A248" s="71" t="s">
        <v>243</v>
      </c>
      <c r="B248" s="74"/>
      <c r="C248" s="74">
        <v>683.4</v>
      </c>
      <c r="D248" s="74">
        <v>120</v>
      </c>
      <c r="E248" s="74">
        <v>593.4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1396.8</v>
      </c>
    </row>
    <row r="249" spans="1:16" x14ac:dyDescent="0.25">
      <c r="A249" s="71" t="s">
        <v>244</v>
      </c>
      <c r="B249" s="74"/>
      <c r="C249" s="74">
        <v>509.6</v>
      </c>
      <c r="D249" s="74">
        <v>735.57</v>
      </c>
      <c r="E249" s="74">
        <v>661.05</v>
      </c>
      <c r="F249" s="74">
        <v>-52.68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1853.54</v>
      </c>
    </row>
    <row r="250" spans="1:16" x14ac:dyDescent="0.25">
      <c r="A250" s="71" t="s">
        <v>245</v>
      </c>
      <c r="B250" s="74"/>
      <c r="C250" s="74">
        <v>899.85</v>
      </c>
      <c r="D250" s="74">
        <v>2208.9899999999998</v>
      </c>
      <c r="E250" s="74">
        <v>2988.04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6096.8799999999992</v>
      </c>
    </row>
    <row r="251" spans="1:16" x14ac:dyDescent="0.25">
      <c r="A251" s="71" t="s">
        <v>246</v>
      </c>
      <c r="B251" s="74"/>
      <c r="C251" s="74">
        <v>7922.72</v>
      </c>
      <c r="D251" s="74">
        <v>8703.51</v>
      </c>
      <c r="E251" s="74">
        <v>9282.51</v>
      </c>
      <c r="F251" s="74">
        <v>108.37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26017.109999999997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62.77</v>
      </c>
      <c r="D253" s="74">
        <v>472.5</v>
      </c>
      <c r="E253" s="74">
        <v>563.22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1098.49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6" x14ac:dyDescent="0.25">
      <c r="A260" s="71" t="s">
        <v>255</v>
      </c>
      <c r="C260" s="83">
        <v>19</v>
      </c>
      <c r="D260" s="83">
        <v>400.84</v>
      </c>
      <c r="E260" s="83">
        <v>-29.1</v>
      </c>
      <c r="F260" s="83">
        <v>-72.099999999999994</v>
      </c>
      <c r="G260" s="83">
        <v>0</v>
      </c>
      <c r="H260" s="83">
        <v>0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318.64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19983.43</v>
      </c>
      <c r="D262" s="74">
        <v>26605.680000000004</v>
      </c>
      <c r="E262" s="74">
        <v>29669.360000000001</v>
      </c>
      <c r="F262" s="74">
        <v>424.33000000000004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76682.8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1986</v>
      </c>
      <c r="D265" s="74">
        <v>2030</v>
      </c>
      <c r="E265" s="74">
        <v>1778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5794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0</v>
      </c>
      <c r="D267" s="74">
        <v>0</v>
      </c>
      <c r="E267" s="74">
        <v>36.1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36.1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131.13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131.13</v>
      </c>
    </row>
    <row r="272" spans="1:16" x14ac:dyDescent="0.25">
      <c r="A272" s="71" t="s">
        <v>265</v>
      </c>
      <c r="B272" s="74"/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1231.74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1231.74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134.47</v>
      </c>
      <c r="D283" s="74">
        <v>20</v>
      </c>
      <c r="E283" s="74">
        <v>0</v>
      </c>
      <c r="F283" s="74">
        <v>195.72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350.19</v>
      </c>
    </row>
    <row r="284" spans="1:15" x14ac:dyDescent="0.25">
      <c r="A284" s="71" t="s">
        <v>277</v>
      </c>
      <c r="B284" s="74"/>
      <c r="C284" s="74">
        <v>0</v>
      </c>
      <c r="D284" s="74">
        <v>37.15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37.15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330.11</v>
      </c>
      <c r="D287" s="74">
        <v>40.5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370.61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591.30999999999995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591.30999999999995</v>
      </c>
    </row>
    <row r="291" spans="1:15" x14ac:dyDescent="0.25">
      <c r="A291" s="71" t="s">
        <v>284</v>
      </c>
      <c r="B291" s="74"/>
      <c r="C291" s="74">
        <v>6669.9</v>
      </c>
      <c r="D291" s="74">
        <v>6658.2</v>
      </c>
      <c r="E291" s="74">
        <v>4779.28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18107.379999999997</v>
      </c>
    </row>
    <row r="292" spans="1:15" x14ac:dyDescent="0.25">
      <c r="A292" s="71" t="s">
        <v>285</v>
      </c>
      <c r="B292" s="74"/>
      <c r="C292" s="74">
        <v>0</v>
      </c>
      <c r="D292" s="74">
        <v>226.37</v>
      </c>
      <c r="E292" s="74">
        <v>869.69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1096.06</v>
      </c>
    </row>
    <row r="293" spans="1:15" x14ac:dyDescent="0.25">
      <c r="A293" s="71" t="s">
        <v>286</v>
      </c>
      <c r="B293" s="74"/>
      <c r="C293" s="74">
        <v>6195.92</v>
      </c>
      <c r="D293" s="74">
        <v>3446.06</v>
      </c>
      <c r="E293" s="74">
        <v>3286.93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12928.91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0</v>
      </c>
      <c r="E297" s="74">
        <v>0</v>
      </c>
      <c r="F297" s="74">
        <v>116.92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116.92</v>
      </c>
    </row>
    <row r="298" spans="1:15" x14ac:dyDescent="0.25">
      <c r="A298" s="71" t="s">
        <v>291</v>
      </c>
      <c r="B298" s="74"/>
      <c r="C298" s="74">
        <v>202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202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265.63</v>
      </c>
      <c r="D301" s="74">
        <v>802.95</v>
      </c>
      <c r="E301" s="74">
        <v>681.75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1750.33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151.5</v>
      </c>
      <c r="D303" s="74">
        <v>126.25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277.75</v>
      </c>
    </row>
    <row r="304" spans="1:15" x14ac:dyDescent="0.25">
      <c r="A304" s="71" t="s">
        <v>499</v>
      </c>
      <c r="B304" s="74"/>
      <c r="C304" s="74">
        <v>1982.63</v>
      </c>
      <c r="D304" s="74">
        <v>1949.3</v>
      </c>
      <c r="E304" s="74">
        <v>515.1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4447.0300000000007</v>
      </c>
    </row>
    <row r="305" spans="1:16" x14ac:dyDescent="0.25">
      <c r="A305" s="71" t="s">
        <v>500</v>
      </c>
      <c r="B305" s="74"/>
      <c r="C305" s="74">
        <v>0</v>
      </c>
      <c r="D305" s="74">
        <v>286.83999999999997</v>
      </c>
      <c r="E305" s="74">
        <v>133.32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420.15999999999997</v>
      </c>
    </row>
    <row r="306" spans="1:16" x14ac:dyDescent="0.25">
      <c r="A306" s="71" t="s">
        <v>501</v>
      </c>
      <c r="B306" s="74"/>
      <c r="C306" s="74">
        <v>1026.1600000000001</v>
      </c>
      <c r="D306" s="74">
        <v>1348.35</v>
      </c>
      <c r="E306" s="74">
        <v>344.41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2718.92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20176.060000000001</v>
      </c>
      <c r="D321" s="74">
        <v>17563.28</v>
      </c>
      <c r="E321" s="74">
        <v>12555.710000000001</v>
      </c>
      <c r="F321" s="74">
        <v>312.64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50607.69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352.69</v>
      </c>
      <c r="D326" s="74">
        <v>308.91000000000003</v>
      </c>
      <c r="E326" s="74">
        <v>374.07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1035.67</v>
      </c>
    </row>
    <row r="327" spans="1:16" x14ac:dyDescent="0.25">
      <c r="A327" s="71" t="s">
        <v>315</v>
      </c>
      <c r="B327" s="74"/>
      <c r="C327" s="74">
        <v>225.6</v>
      </c>
      <c r="D327" s="74">
        <v>197.12</v>
      </c>
      <c r="E327" s="74">
        <v>238.7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661.42000000000007</v>
      </c>
    </row>
    <row r="328" spans="1:16" x14ac:dyDescent="0.25">
      <c r="A328" s="71" t="s">
        <v>316</v>
      </c>
      <c r="B328" s="74"/>
      <c r="C328" s="74">
        <v>115.84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115.84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6" x14ac:dyDescent="0.25">
      <c r="A336" s="71" t="s">
        <v>324</v>
      </c>
      <c r="C336" s="83">
        <v>0</v>
      </c>
      <c r="D336" s="83">
        <v>0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694.13</v>
      </c>
      <c r="D338" s="74">
        <v>506.03000000000003</v>
      </c>
      <c r="E338" s="74">
        <v>612.77</v>
      </c>
      <c r="F338" s="74">
        <v>0</v>
      </c>
      <c r="G338" s="74">
        <v>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1812.93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8456.83</v>
      </c>
      <c r="D341" s="74">
        <v>6920.41</v>
      </c>
      <c r="E341" s="74">
        <v>5643.98</v>
      </c>
      <c r="F341" s="74">
        <v>410.56</v>
      </c>
      <c r="G341" s="74">
        <v>0</v>
      </c>
      <c r="H341" s="74">
        <v>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21431.780000000002</v>
      </c>
    </row>
    <row r="342" spans="1:16" x14ac:dyDescent="0.25">
      <c r="A342" s="71" t="s">
        <v>329</v>
      </c>
      <c r="B342" s="74"/>
      <c r="C342" s="74">
        <v>678.36</v>
      </c>
      <c r="D342" s="74">
        <v>251.24</v>
      </c>
      <c r="E342" s="74">
        <v>603.79</v>
      </c>
      <c r="F342" s="74">
        <v>0</v>
      </c>
      <c r="G342" s="74">
        <v>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1533.3899999999999</v>
      </c>
    </row>
    <row r="343" spans="1:16" x14ac:dyDescent="0.25">
      <c r="A343" s="71" t="s">
        <v>330</v>
      </c>
      <c r="B343" s="74"/>
      <c r="C343" s="74">
        <v>337.05</v>
      </c>
      <c r="D343" s="74">
        <v>295.68</v>
      </c>
      <c r="E343" s="74">
        <v>358.05</v>
      </c>
      <c r="F343" s="74">
        <v>0</v>
      </c>
      <c r="G343" s="74">
        <v>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990.78</v>
      </c>
    </row>
    <row r="344" spans="1:16" x14ac:dyDescent="0.25">
      <c r="A344" s="71" t="s">
        <v>331</v>
      </c>
      <c r="B344" s="74"/>
      <c r="C344" s="74">
        <v>0</v>
      </c>
      <c r="D344" s="74">
        <v>116.8</v>
      </c>
      <c r="E344" s="74">
        <v>320.29000000000002</v>
      </c>
      <c r="F344" s="74">
        <v>0</v>
      </c>
      <c r="G344" s="74">
        <v>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437.09000000000003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0</v>
      </c>
      <c r="F349" s="74">
        <v>0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187.5</v>
      </c>
      <c r="D351" s="74">
        <v>0</v>
      </c>
      <c r="E351" s="74">
        <v>0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187.5</v>
      </c>
    </row>
    <row r="352" spans="1:16" x14ac:dyDescent="0.25">
      <c r="A352" s="71" t="s">
        <v>339</v>
      </c>
      <c r="C352" s="83">
        <v>104.64</v>
      </c>
      <c r="D352" s="83">
        <v>54.64</v>
      </c>
      <c r="E352" s="83">
        <v>-161.46</v>
      </c>
      <c r="F352" s="83">
        <v>-81.23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-83.410000000000011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9764.3799999999992</v>
      </c>
      <c r="D354" s="74">
        <v>7638.77</v>
      </c>
      <c r="E354" s="74">
        <v>6764.65</v>
      </c>
      <c r="F354" s="74">
        <v>329.33</v>
      </c>
      <c r="G354" s="74">
        <v>0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24497.13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3232.2</v>
      </c>
      <c r="D358" s="74">
        <v>2343.58</v>
      </c>
      <c r="E358" s="74">
        <v>3313.38</v>
      </c>
      <c r="F358" s="74">
        <v>869.1</v>
      </c>
      <c r="G358" s="74">
        <v>0</v>
      </c>
      <c r="H358" s="74">
        <v>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9758.26</v>
      </c>
    </row>
    <row r="359" spans="1:16" x14ac:dyDescent="0.25">
      <c r="A359" s="71" t="s">
        <v>344</v>
      </c>
      <c r="B359" s="74"/>
      <c r="C359" s="74">
        <v>598.63</v>
      </c>
      <c r="D359" s="74">
        <v>89.54</v>
      </c>
      <c r="E359" s="74">
        <v>533.02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1221.19</v>
      </c>
    </row>
    <row r="360" spans="1:16" x14ac:dyDescent="0.25">
      <c r="A360" s="71" t="s">
        <v>345</v>
      </c>
      <c r="B360" s="74"/>
      <c r="C360" s="74">
        <v>86.98</v>
      </c>
      <c r="D360" s="74">
        <v>2178.48</v>
      </c>
      <c r="E360" s="74">
        <v>-2130.48</v>
      </c>
      <c r="F360" s="74">
        <v>0</v>
      </c>
      <c r="G360" s="74">
        <v>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134.98000000000002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368.88</v>
      </c>
      <c r="D362" s="74">
        <v>1219.44</v>
      </c>
      <c r="E362" s="74">
        <v>184.44</v>
      </c>
      <c r="F362" s="74">
        <v>0</v>
      </c>
      <c r="G362" s="74">
        <v>2323.3200000000002</v>
      </c>
      <c r="H362" s="74">
        <v>269.44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4365.5199999999995</v>
      </c>
    </row>
    <row r="363" spans="1:16" x14ac:dyDescent="0.25">
      <c r="A363" s="71" t="s">
        <v>348</v>
      </c>
      <c r="B363" s="74"/>
      <c r="C363" s="74">
        <v>502.82</v>
      </c>
      <c r="D363" s="74">
        <v>0</v>
      </c>
      <c r="E363" s="74">
        <v>502.82</v>
      </c>
      <c r="F363" s="74">
        <v>527.82000000000005</v>
      </c>
      <c r="G363" s="74">
        <v>157.25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1690.71</v>
      </c>
    </row>
    <row r="364" spans="1:16" x14ac:dyDescent="0.25">
      <c r="A364" s="71" t="s">
        <v>349</v>
      </c>
      <c r="B364" s="74"/>
      <c r="C364" s="74">
        <v>0</v>
      </c>
      <c r="D364" s="74">
        <v>1482.34</v>
      </c>
      <c r="E364" s="74">
        <v>751.71</v>
      </c>
      <c r="F364" s="74">
        <v>0</v>
      </c>
      <c r="G364" s="74">
        <v>751.71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2985.76</v>
      </c>
    </row>
    <row r="365" spans="1:16" x14ac:dyDescent="0.25">
      <c r="A365" s="71" t="s">
        <v>350</v>
      </c>
      <c r="B365" s="74"/>
      <c r="C365" s="74">
        <v>721.5</v>
      </c>
      <c r="D365" s="74">
        <v>2213.88</v>
      </c>
      <c r="E365" s="74">
        <v>663.37</v>
      </c>
      <c r="F365" s="74">
        <v>0</v>
      </c>
      <c r="G365" s="74">
        <v>0</v>
      </c>
      <c r="H365" s="74">
        <v>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3598.75</v>
      </c>
    </row>
    <row r="366" spans="1:16" x14ac:dyDescent="0.25">
      <c r="A366" s="71" t="s">
        <v>351</v>
      </c>
      <c r="B366" s="74"/>
      <c r="C366" s="74">
        <v>2846.43</v>
      </c>
      <c r="D366" s="74">
        <v>3591.33</v>
      </c>
      <c r="E366" s="74">
        <v>2444.4899999999998</v>
      </c>
      <c r="F366" s="74">
        <v>0</v>
      </c>
      <c r="G366" s="74">
        <v>5173.3500000000004</v>
      </c>
      <c r="H366" s="74">
        <v>2233.23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16288.83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0</v>
      </c>
      <c r="D373" s="74">
        <v>0</v>
      </c>
      <c r="E373" s="74">
        <v>6.5</v>
      </c>
      <c r="F373" s="74">
        <v>0</v>
      </c>
      <c r="G373" s="74">
        <v>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6.5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2214.16</v>
      </c>
      <c r="D376" s="74">
        <v>3086.33</v>
      </c>
      <c r="E376" s="74">
        <v>2870.26</v>
      </c>
      <c r="F376" s="74">
        <v>1862.27</v>
      </c>
      <c r="G376" s="74">
        <v>876.66</v>
      </c>
      <c r="H376" s="74">
        <v>860.4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11770.08</v>
      </c>
    </row>
    <row r="377" spans="1:16" x14ac:dyDescent="0.25">
      <c r="A377" s="71" t="s">
        <v>362</v>
      </c>
      <c r="C377" s="83">
        <v>1304.7</v>
      </c>
      <c r="D377" s="83">
        <v>1558.9</v>
      </c>
      <c r="E377" s="83">
        <v>1891.46</v>
      </c>
      <c r="F377" s="83">
        <v>2603.5100000000002</v>
      </c>
      <c r="G377" s="83">
        <v>1594.7</v>
      </c>
      <c r="H377" s="83">
        <v>259.47000000000003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9212.74</v>
      </c>
      <c r="P377" s="86"/>
    </row>
    <row r="378" spans="1:16" x14ac:dyDescent="0.25">
      <c r="A378" s="71" t="s">
        <v>363</v>
      </c>
      <c r="C378" s="98">
        <v>2191.46</v>
      </c>
      <c r="D378" s="98">
        <v>0</v>
      </c>
      <c r="E378" s="98">
        <v>5846.39</v>
      </c>
      <c r="F378" s="98">
        <v>2398.5700000000002</v>
      </c>
      <c r="G378" s="98">
        <v>0</v>
      </c>
      <c r="H378" s="98">
        <v>80.69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10517.11</v>
      </c>
    </row>
    <row r="379" spans="1:16" x14ac:dyDescent="0.25">
      <c r="A379" s="71" t="s">
        <v>364</v>
      </c>
      <c r="C379" s="74">
        <v>14067.759999999998</v>
      </c>
      <c r="D379" s="74">
        <v>17763.820000000003</v>
      </c>
      <c r="E379" s="74">
        <v>16877.36</v>
      </c>
      <c r="F379" s="74">
        <v>8261.27</v>
      </c>
      <c r="G379" s="74">
        <v>10876.990000000002</v>
      </c>
      <c r="H379" s="74">
        <v>3703.23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71550.429999999993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6222.9</v>
      </c>
      <c r="D382" s="74">
        <v>6222.9</v>
      </c>
      <c r="E382" s="74">
        <v>6222.9</v>
      </c>
      <c r="F382" s="74">
        <v>3111.45</v>
      </c>
      <c r="G382" s="74">
        <v>0</v>
      </c>
      <c r="H382" s="74">
        <v>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21780.149999999998</v>
      </c>
    </row>
    <row r="383" spans="1:16" x14ac:dyDescent="0.25">
      <c r="A383" s="71" t="s">
        <v>367</v>
      </c>
      <c r="B383" s="74"/>
      <c r="C383" s="74">
        <v>2275.9899999999998</v>
      </c>
      <c r="D383" s="74">
        <v>1635.11</v>
      </c>
      <c r="E383" s="74">
        <v>2652</v>
      </c>
      <c r="F383" s="74">
        <v>712.57</v>
      </c>
      <c r="G383" s="74">
        <v>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7275.6699999999992</v>
      </c>
    </row>
    <row r="384" spans="1:16" x14ac:dyDescent="0.25">
      <c r="A384" s="71" t="s">
        <v>368</v>
      </c>
      <c r="B384" s="74"/>
      <c r="C384" s="74">
        <v>0</v>
      </c>
      <c r="D384" s="74">
        <v>0</v>
      </c>
      <c r="E384" s="74">
        <v>0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60</v>
      </c>
      <c r="D391" s="74">
        <v>60</v>
      </c>
      <c r="E391" s="74">
        <v>60</v>
      </c>
      <c r="F391" s="74">
        <v>0</v>
      </c>
      <c r="G391" s="74">
        <v>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180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0</v>
      </c>
      <c r="E393" s="74">
        <v>0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0</v>
      </c>
      <c r="D395" s="74">
        <v>0</v>
      </c>
      <c r="E395" s="74">
        <v>0</v>
      </c>
      <c r="F395" s="74">
        <v>0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5">
      <c r="A396" s="71" t="s">
        <v>380</v>
      </c>
      <c r="B396" s="74"/>
      <c r="C396" s="74">
        <v>209.74</v>
      </c>
      <c r="D396" s="74">
        <v>209.74</v>
      </c>
      <c r="E396" s="74">
        <v>-538.20000000000005</v>
      </c>
      <c r="F396" s="74">
        <v>0</v>
      </c>
      <c r="G396" s="74">
        <v>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-118.72000000000003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0</v>
      </c>
      <c r="G402" s="74">
        <v>0</v>
      </c>
      <c r="H402" s="74">
        <v>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180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0</v>
      </c>
      <c r="G406" s="74">
        <v>0</v>
      </c>
      <c r="H406" s="74">
        <v>0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2415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0</v>
      </c>
      <c r="H407" s="74">
        <v>102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102</v>
      </c>
    </row>
    <row r="408" spans="1:15" x14ac:dyDescent="0.25">
      <c r="A408" s="71" t="s">
        <v>392</v>
      </c>
      <c r="B408" s="74"/>
      <c r="C408" s="74">
        <v>243.3</v>
      </c>
      <c r="D408" s="74">
        <v>257.58999999999997</v>
      </c>
      <c r="E408" s="74">
        <v>261.29000000000002</v>
      </c>
      <c r="F408" s="74">
        <v>0</v>
      </c>
      <c r="G408" s="74">
        <v>0</v>
      </c>
      <c r="H408" s="74">
        <v>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762.18000000000006</v>
      </c>
    </row>
    <row r="409" spans="1:15" x14ac:dyDescent="0.25">
      <c r="A409" s="71" t="s">
        <v>393</v>
      </c>
      <c r="B409" s="74"/>
      <c r="C409" s="74">
        <v>147.9</v>
      </c>
      <c r="D409" s="74">
        <v>611.6</v>
      </c>
      <c r="E409" s="74">
        <v>678.4</v>
      </c>
      <c r="F409" s="74">
        <v>640.02</v>
      </c>
      <c r="G409" s="74">
        <v>601.32000000000005</v>
      </c>
      <c r="H409" s="74">
        <v>579.80999999999995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3259.05</v>
      </c>
    </row>
    <row r="410" spans="1:15" x14ac:dyDescent="0.25">
      <c r="A410" s="71" t="s">
        <v>394</v>
      </c>
      <c r="B410" s="74"/>
      <c r="C410" s="74">
        <v>232.76</v>
      </c>
      <c r="D410" s="74">
        <v>61.07</v>
      </c>
      <c r="E410" s="74">
        <v>50.98</v>
      </c>
      <c r="F410" s="74">
        <v>0</v>
      </c>
      <c r="G410" s="74">
        <v>0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344.81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72.260000000000005</v>
      </c>
      <c r="D412" s="74">
        <v>157.4</v>
      </c>
      <c r="E412" s="74">
        <v>251.06</v>
      </c>
      <c r="F412" s="74">
        <v>311.35000000000002</v>
      </c>
      <c r="G412" s="74">
        <v>142.71</v>
      </c>
      <c r="H412" s="74">
        <v>63.39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998.17000000000007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758.06</v>
      </c>
      <c r="D415" s="74">
        <v>758.06</v>
      </c>
      <c r="E415" s="74">
        <v>758.06</v>
      </c>
      <c r="F415" s="74">
        <v>758.06</v>
      </c>
      <c r="G415" s="74">
        <v>758.06</v>
      </c>
      <c r="H415" s="74">
        <v>758.06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4548.3599999999997</v>
      </c>
    </row>
    <row r="416" spans="1:15" x14ac:dyDescent="0.25">
      <c r="A416" s="71" t="s">
        <v>400</v>
      </c>
      <c r="B416" s="74"/>
      <c r="C416" s="74">
        <v>455.8</v>
      </c>
      <c r="D416" s="74">
        <v>455.8</v>
      </c>
      <c r="E416" s="74">
        <v>455.79</v>
      </c>
      <c r="F416" s="74">
        <v>455.79</v>
      </c>
      <c r="G416" s="74">
        <v>455.79</v>
      </c>
      <c r="H416" s="74">
        <v>455.79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2734.76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3627.92</v>
      </c>
      <c r="D419" s="74">
        <v>3444.53</v>
      </c>
      <c r="E419" s="74">
        <v>3767.39</v>
      </c>
      <c r="F419" s="74">
        <v>-744.15</v>
      </c>
      <c r="G419" s="74">
        <v>0</v>
      </c>
      <c r="H419" s="74">
        <v>0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10095.69</v>
      </c>
    </row>
    <row r="420" spans="1:15" x14ac:dyDescent="0.25">
      <c r="A420" s="71" t="s">
        <v>404</v>
      </c>
      <c r="B420" s="74"/>
      <c r="C420" s="74">
        <v>153.97</v>
      </c>
      <c r="D420" s="74">
        <v>176.74</v>
      </c>
      <c r="E420" s="74">
        <v>123.57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454.28000000000003</v>
      </c>
    </row>
    <row r="421" spans="1:15" x14ac:dyDescent="0.25">
      <c r="A421" s="71" t="s">
        <v>405</v>
      </c>
      <c r="B421" s="74"/>
      <c r="C421" s="74">
        <v>560.04999999999995</v>
      </c>
      <c r="D421" s="74">
        <v>650.34</v>
      </c>
      <c r="E421" s="74">
        <v>1485.75</v>
      </c>
      <c r="F421" s="74">
        <v>-190.13</v>
      </c>
      <c r="G421" s="74">
        <v>192.98</v>
      </c>
      <c r="H421" s="74">
        <v>25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2723.99</v>
      </c>
    </row>
    <row r="422" spans="1:15" x14ac:dyDescent="0.25">
      <c r="A422" s="71" t="s">
        <v>406</v>
      </c>
      <c r="B422" s="74"/>
      <c r="C422" s="74">
        <v>9305.17</v>
      </c>
      <c r="D422" s="74">
        <v>9128.1200000000008</v>
      </c>
      <c r="E422" s="74">
        <v>8128.65</v>
      </c>
      <c r="F422" s="74">
        <v>0</v>
      </c>
      <c r="G422" s="74">
        <v>0</v>
      </c>
      <c r="H422" s="74">
        <v>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26561.940000000002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0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</row>
    <row r="426" spans="1:15" x14ac:dyDescent="0.25">
      <c r="A426" s="71" t="s">
        <v>410</v>
      </c>
      <c r="B426" s="74"/>
      <c r="C426" s="74">
        <v>9571.14</v>
      </c>
      <c r="D426" s="74">
        <v>8829.09</v>
      </c>
      <c r="E426" s="74">
        <v>10234.200000000001</v>
      </c>
      <c r="F426" s="74">
        <v>1780.28</v>
      </c>
      <c r="G426" s="74">
        <v>-8957.32</v>
      </c>
      <c r="H426" s="74">
        <v>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21457.39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0</v>
      </c>
      <c r="F430" s="74">
        <v>-500</v>
      </c>
      <c r="G430" s="74">
        <v>500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364.57</v>
      </c>
      <c r="D432" s="74">
        <v>617.77</v>
      </c>
      <c r="E432" s="74">
        <v>493.33</v>
      </c>
      <c r="F432" s="74">
        <v>-62.57</v>
      </c>
      <c r="G432" s="74">
        <v>94.6</v>
      </c>
      <c r="H432" s="74">
        <v>0.5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1508.1999999999998</v>
      </c>
    </row>
    <row r="433" spans="1:16" x14ac:dyDescent="0.25">
      <c r="A433" s="71" t="s">
        <v>416</v>
      </c>
      <c r="B433" s="74"/>
      <c r="C433" s="74">
        <v>8814</v>
      </c>
      <c r="D433" s="74">
        <v>8814</v>
      </c>
      <c r="E433" s="74">
        <v>8814</v>
      </c>
      <c r="F433" s="74">
        <v>8814</v>
      </c>
      <c r="G433" s="74">
        <v>0</v>
      </c>
      <c r="H433" s="74">
        <v>0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35256</v>
      </c>
    </row>
    <row r="434" spans="1:16" x14ac:dyDescent="0.25">
      <c r="A434" s="71" t="s">
        <v>417</v>
      </c>
      <c r="B434" s="74"/>
      <c r="C434" s="74">
        <v>1676.06</v>
      </c>
      <c r="D434" s="74">
        <v>1668.77</v>
      </c>
      <c r="E434" s="74">
        <v>1437.68</v>
      </c>
      <c r="F434" s="74">
        <v>1554.44</v>
      </c>
      <c r="G434" s="74">
        <v>0</v>
      </c>
      <c r="H434" s="74">
        <v>0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6336.9500000000007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593.48</v>
      </c>
      <c r="D436" s="74">
        <v>130</v>
      </c>
      <c r="E436" s="74">
        <v>135</v>
      </c>
      <c r="F436" s="74">
        <v>135</v>
      </c>
      <c r="G436" s="74">
        <v>135</v>
      </c>
      <c r="H436" s="74">
        <v>135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1263.48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15601.81</v>
      </c>
      <c r="H439" s="100">
        <v>170.57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15772.38</v>
      </c>
    </row>
    <row r="440" spans="1:16" x14ac:dyDescent="0.25">
      <c r="A440" s="71" t="s">
        <v>423</v>
      </c>
      <c r="C440" s="74">
        <v>46003.959999999992</v>
      </c>
      <c r="D440" s="74">
        <v>44547.51999999999</v>
      </c>
      <c r="E440" s="74">
        <v>47180.74</v>
      </c>
      <c r="F440" s="74">
        <v>16920</v>
      </c>
      <c r="G440" s="74">
        <v>9668.84</v>
      </c>
      <c r="H440" s="74">
        <v>2434.0099999999998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166755.07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5030.6499999999996</v>
      </c>
      <c r="D443" s="74">
        <v>4932.29</v>
      </c>
      <c r="E443" s="74">
        <v>4377.03</v>
      </c>
      <c r="F443" s="74">
        <v>0</v>
      </c>
      <c r="G443" s="74">
        <v>0</v>
      </c>
      <c r="H443" s="74">
        <v>0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14339.969999999998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964.94</v>
      </c>
      <c r="D445" s="74">
        <v>964.94</v>
      </c>
      <c r="E445" s="74">
        <v>964.94</v>
      </c>
      <c r="F445" s="74">
        <v>964.94</v>
      </c>
      <c r="G445" s="74">
        <v>964.94</v>
      </c>
      <c r="H445" s="74">
        <v>964.94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5789.6400000000012</v>
      </c>
    </row>
    <row r="446" spans="1:16" x14ac:dyDescent="0.25">
      <c r="A446" s="71" t="s">
        <v>428</v>
      </c>
      <c r="B446" s="74"/>
      <c r="C446" s="74">
        <v>36355.93</v>
      </c>
      <c r="D446" s="74">
        <v>34705.870000000003</v>
      </c>
      <c r="E446" s="74">
        <v>38005.99</v>
      </c>
      <c r="F446" s="74">
        <v>36355.93</v>
      </c>
      <c r="G446" s="74">
        <v>36355.93</v>
      </c>
      <c r="H446" s="74">
        <v>36355.93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218135.58</v>
      </c>
    </row>
    <row r="447" spans="1:16" x14ac:dyDescent="0.25">
      <c r="A447" s="71" t="s">
        <v>429</v>
      </c>
      <c r="B447" s="74"/>
      <c r="C447" s="74">
        <v>3415.98</v>
      </c>
      <c r="D447" s="74">
        <v>3716.11</v>
      </c>
      <c r="E447" s="74">
        <v>3443.57</v>
      </c>
      <c r="F447" s="74">
        <v>1055.5999999999999</v>
      </c>
      <c r="G447" s="74">
        <v>383.72</v>
      </c>
      <c r="H447" s="74">
        <v>4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12018.98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1462</v>
      </c>
      <c r="D451" s="83">
        <v>1462</v>
      </c>
      <c r="E451" s="83">
        <v>1462</v>
      </c>
      <c r="F451" s="83">
        <v>1412.34</v>
      </c>
      <c r="G451" s="83">
        <v>1511.66</v>
      </c>
      <c r="H451" s="83">
        <v>1412.34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8722.34</v>
      </c>
      <c r="P451" s="86"/>
    </row>
    <row r="452" spans="1:16" x14ac:dyDescent="0.25">
      <c r="A452" s="71" t="s">
        <v>434</v>
      </c>
      <c r="C452" s="74">
        <v>0</v>
      </c>
      <c r="D452" s="74">
        <v>49.66</v>
      </c>
      <c r="E452" s="74">
        <v>49.66</v>
      </c>
      <c r="F452" s="74">
        <v>49.66</v>
      </c>
      <c r="G452" s="74">
        <v>0</v>
      </c>
      <c r="H452" s="74">
        <v>49.66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198.64</v>
      </c>
    </row>
    <row r="453" spans="1:16" ht="18.75" thickBot="1" x14ac:dyDescent="0.3">
      <c r="A453" s="85" t="s">
        <v>435</v>
      </c>
      <c r="B453" s="85"/>
      <c r="C453" s="81">
        <v>47229.500000000007</v>
      </c>
      <c r="D453" s="81">
        <v>45830.87000000001</v>
      </c>
      <c r="E453" s="81">
        <v>48303.19</v>
      </c>
      <c r="F453" s="81">
        <v>39838.47</v>
      </c>
      <c r="G453" s="81">
        <v>39216.250000000007</v>
      </c>
      <c r="H453" s="81">
        <v>38786.870000000003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259205.15000000002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247818.46000000002</v>
      </c>
      <c r="D455" s="71">
        <v>244738.66</v>
      </c>
      <c r="E455" s="71">
        <v>259381.74</v>
      </c>
      <c r="F455" s="71">
        <v>82074.290000000008</v>
      </c>
      <c r="G455" s="71">
        <v>59640.080000000016</v>
      </c>
      <c r="H455" s="71">
        <v>45024.110000000008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938677.34000000008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504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8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98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45.41935483870968</v>
      </c>
      <c r="D8" s="97">
        <v>47.178571428571431</v>
      </c>
      <c r="E8" s="97">
        <v>46.806451612903224</v>
      </c>
      <c r="F8" s="97">
        <v>3</v>
      </c>
      <c r="G8" s="97" t="e">
        <v>#DIV/0!</v>
      </c>
      <c r="H8" s="97" t="e">
        <v>#DIV/0!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162</v>
      </c>
      <c r="D11" s="74">
        <v>0</v>
      </c>
      <c r="E11" s="74">
        <v>133</v>
      </c>
      <c r="F11" s="74">
        <v>0</v>
      </c>
      <c r="G11" s="74">
        <v>0</v>
      </c>
      <c r="H11" s="74">
        <v>17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312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5">
      <c r="A13" s="71" t="s">
        <v>43</v>
      </c>
      <c r="C13" s="74">
        <v>1208</v>
      </c>
      <c r="D13" s="74">
        <v>1097</v>
      </c>
      <c r="E13" s="74">
        <v>1286</v>
      </c>
      <c r="F13" s="74">
        <v>24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3615</v>
      </c>
    </row>
    <row r="14" spans="1:15" x14ac:dyDescent="0.25">
      <c r="A14" s="71" t="s">
        <v>44</v>
      </c>
      <c r="C14" s="74">
        <v>-34</v>
      </c>
      <c r="D14" s="74">
        <v>168</v>
      </c>
      <c r="E14" s="74">
        <v>-25</v>
      </c>
      <c r="F14" s="74">
        <v>0</v>
      </c>
      <c r="G14" s="74">
        <v>0</v>
      </c>
      <c r="H14" s="74">
        <v>-17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92</v>
      </c>
    </row>
    <row r="15" spans="1:15" x14ac:dyDescent="0.25">
      <c r="A15" s="71" t="s">
        <v>45</v>
      </c>
      <c r="C15" s="74">
        <v>0</v>
      </c>
      <c r="D15" s="74">
        <v>0</v>
      </c>
      <c r="E15" s="74">
        <v>2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2</v>
      </c>
    </row>
    <row r="16" spans="1:15" x14ac:dyDescent="0.25">
      <c r="A16" s="71" t="s">
        <v>46</v>
      </c>
      <c r="C16" s="74">
        <v>4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4</v>
      </c>
    </row>
    <row r="17" spans="1:18" x14ac:dyDescent="0.25">
      <c r="A17" s="71" t="s">
        <v>47</v>
      </c>
      <c r="C17" s="74">
        <v>68</v>
      </c>
      <c r="D17" s="74">
        <v>56</v>
      </c>
      <c r="E17" s="74">
        <v>55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179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1408</v>
      </c>
      <c r="D23" s="79">
        <v>1321</v>
      </c>
      <c r="E23" s="79">
        <v>1451</v>
      </c>
      <c r="F23" s="79">
        <v>24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4204</v>
      </c>
      <c r="P23" s="86">
        <v>4204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269121.64999999997</v>
      </c>
      <c r="D26" s="74">
        <v>253154.13</v>
      </c>
      <c r="E26" s="74">
        <v>305458.18</v>
      </c>
      <c r="F26" s="74">
        <v>24800.399999999998</v>
      </c>
      <c r="G26" s="74">
        <v>12517.22</v>
      </c>
      <c r="H26" s="74">
        <v>12308.3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877359.88</v>
      </c>
      <c r="P26" s="86"/>
    </row>
    <row r="27" spans="1:18" x14ac:dyDescent="0.25">
      <c r="A27" s="71" t="s">
        <v>57</v>
      </c>
      <c r="C27" s="74">
        <v>-122.13</v>
      </c>
      <c r="D27" s="74">
        <v>0</v>
      </c>
      <c r="E27" s="74">
        <v>0</v>
      </c>
      <c r="F27" s="74">
        <v>-15.62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-137.75</v>
      </c>
      <c r="P27" s="86"/>
    </row>
    <row r="28" spans="1:18" x14ac:dyDescent="0.25">
      <c r="A28" s="71" t="s">
        <v>58</v>
      </c>
      <c r="C28" s="74">
        <v>-9942.83</v>
      </c>
      <c r="D28" s="74">
        <v>-12297.13</v>
      </c>
      <c r="E28" s="74">
        <v>-10867.13</v>
      </c>
      <c r="F28" s="74">
        <v>-8836.32</v>
      </c>
      <c r="G28" s="74">
        <v>-10260.4</v>
      </c>
      <c r="H28" s="74">
        <v>-9822.1299999999992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-62025.939999999995</v>
      </c>
      <c r="P28" s="86"/>
    </row>
    <row r="29" spans="1:18" ht="18.75" thickBot="1" x14ac:dyDescent="0.3">
      <c r="A29" s="71" t="s">
        <v>59</v>
      </c>
      <c r="C29" s="80">
        <v>259056.68999999997</v>
      </c>
      <c r="D29" s="80">
        <v>240857</v>
      </c>
      <c r="E29" s="80">
        <v>294591.05</v>
      </c>
      <c r="F29" s="80">
        <v>15948.46</v>
      </c>
      <c r="G29" s="80">
        <v>2256.8199999999997</v>
      </c>
      <c r="H29" s="80">
        <v>2486.17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815196.19000000006</v>
      </c>
      <c r="P29" s="86">
        <v>815196.19000000006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122144.10999999999</v>
      </c>
      <c r="D32" s="74">
        <v>89770.489999999991</v>
      </c>
      <c r="E32" s="74">
        <v>132451.83000000002</v>
      </c>
      <c r="F32" s="74">
        <v>36562.539999999994</v>
      </c>
      <c r="G32" s="74">
        <v>333.74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381262.70999999996</v>
      </c>
      <c r="P32" s="86"/>
    </row>
    <row r="33" spans="1:18" x14ac:dyDescent="0.25">
      <c r="A33" s="71" t="s">
        <v>62</v>
      </c>
      <c r="C33" s="74">
        <v>24933.11</v>
      </c>
      <c r="D33" s="74">
        <v>22433.93</v>
      </c>
      <c r="E33" s="74">
        <v>29020.120000000006</v>
      </c>
      <c r="F33" s="74">
        <v>6117.59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82504.75</v>
      </c>
      <c r="P33" s="86"/>
    </row>
    <row r="34" spans="1:18" x14ac:dyDescent="0.25">
      <c r="A34" s="71" t="s">
        <v>57</v>
      </c>
      <c r="C34" s="74">
        <v>8108.1900000000005</v>
      </c>
      <c r="D34" s="74">
        <v>3240.94</v>
      </c>
      <c r="E34" s="74">
        <v>2956</v>
      </c>
      <c r="F34" s="74">
        <v>0</v>
      </c>
      <c r="G34" s="74">
        <v>241.79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14546.920000000002</v>
      </c>
      <c r="P34" s="86"/>
    </row>
    <row r="35" spans="1:18" x14ac:dyDescent="0.25">
      <c r="A35" s="71" t="s">
        <v>63</v>
      </c>
      <c r="C35" s="74">
        <v>4564.68</v>
      </c>
      <c r="D35" s="74">
        <v>3141.75</v>
      </c>
      <c r="E35" s="74">
        <v>4463.04</v>
      </c>
      <c r="F35" s="74">
        <v>2829.92</v>
      </c>
      <c r="G35" s="74">
        <v>835.3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15834.69</v>
      </c>
      <c r="P35" s="86"/>
    </row>
    <row r="36" spans="1:18" x14ac:dyDescent="0.25">
      <c r="A36" s="71" t="s">
        <v>64</v>
      </c>
      <c r="C36" s="74">
        <v>14354.85</v>
      </c>
      <c r="D36" s="74">
        <v>10798.579999999998</v>
      </c>
      <c r="E36" s="74">
        <v>14112.450000000003</v>
      </c>
      <c r="F36" s="74">
        <v>6136.47</v>
      </c>
      <c r="G36" s="74">
        <v>523.84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45926.19</v>
      </c>
      <c r="P36" s="86"/>
    </row>
    <row r="37" spans="1:18" x14ac:dyDescent="0.25">
      <c r="A37" s="71" t="s">
        <v>65</v>
      </c>
      <c r="C37" s="74">
        <v>14132.329999999998</v>
      </c>
      <c r="D37" s="74">
        <v>35741.660000000003</v>
      </c>
      <c r="E37" s="74">
        <v>23223</v>
      </c>
      <c r="F37" s="74">
        <v>33018.93</v>
      </c>
      <c r="G37" s="74">
        <v>37199.520000000004</v>
      </c>
      <c r="H37" s="74">
        <v>20249.240000000002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163564.68</v>
      </c>
      <c r="P37" s="86"/>
    </row>
    <row r="38" spans="1:18" x14ac:dyDescent="0.25">
      <c r="A38" s="71" t="s">
        <v>66</v>
      </c>
      <c r="C38" s="74">
        <v>68230.100000000006</v>
      </c>
      <c r="D38" s="74">
        <v>68294.78</v>
      </c>
      <c r="E38" s="74">
        <v>74927.459999999992</v>
      </c>
      <c r="F38" s="74">
        <v>40093.89</v>
      </c>
      <c r="G38" s="74">
        <v>84339.38</v>
      </c>
      <c r="H38" s="74">
        <v>2949.57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338835.18</v>
      </c>
      <c r="P38" s="86"/>
    </row>
    <row r="39" spans="1:18" x14ac:dyDescent="0.25">
      <c r="A39" s="71" t="s">
        <v>67</v>
      </c>
      <c r="C39" s="74">
        <v>59735.93</v>
      </c>
      <c r="D39" s="74">
        <v>58730.9</v>
      </c>
      <c r="E39" s="74">
        <v>62002.049999999996</v>
      </c>
      <c r="F39" s="74">
        <v>55014.21</v>
      </c>
      <c r="G39" s="74">
        <v>53793.279999999992</v>
      </c>
      <c r="H39" s="74">
        <v>52695.669999999991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341972.04</v>
      </c>
      <c r="P39" s="86"/>
    </row>
    <row r="40" spans="1:18" ht="18.75" thickBot="1" x14ac:dyDescent="0.3">
      <c r="A40" s="71" t="s">
        <v>68</v>
      </c>
      <c r="C40" s="80">
        <v>316203.3</v>
      </c>
      <c r="D40" s="80">
        <v>292153.02999999997</v>
      </c>
      <c r="E40" s="80">
        <v>343155.95</v>
      </c>
      <c r="F40" s="80">
        <v>179773.55</v>
      </c>
      <c r="G40" s="80">
        <v>177266.85</v>
      </c>
      <c r="H40" s="80">
        <v>75894.48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1384447.16</v>
      </c>
      <c r="P40" s="86">
        <v>1384447.16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-57146.610000000015</v>
      </c>
      <c r="D41" s="81">
        <v>-51296.02999999997</v>
      </c>
      <c r="E41" s="81">
        <v>-48564.900000000023</v>
      </c>
      <c r="F41" s="81">
        <v>-163825.09</v>
      </c>
      <c r="G41" s="81">
        <v>-175010.03</v>
      </c>
      <c r="H41" s="81">
        <v>-73408.31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-569250.96999999986</v>
      </c>
      <c r="P41" s="86">
        <v>-569250.96999999986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12787.779999999986</v>
      </c>
      <c r="D43" s="74">
        <v>16666.11000000003</v>
      </c>
      <c r="E43" s="74">
        <v>25861.14999999998</v>
      </c>
      <c r="F43" s="74">
        <v>-111129.42000000001</v>
      </c>
      <c r="G43" s="74">
        <v>-122314.36000000002</v>
      </c>
      <c r="H43" s="76">
        <v>-20712.64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-198841.37999999983</v>
      </c>
      <c r="P43" s="71">
        <v>-198841.37999999986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504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219976.8</v>
      </c>
      <c r="D50" s="74">
        <v>200310</v>
      </c>
      <c r="E50" s="74">
        <v>259802.38</v>
      </c>
      <c r="F50" s="74">
        <v>4370.3999999999996</v>
      </c>
      <c r="G50" s="74">
        <v>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684459.58</v>
      </c>
    </row>
    <row r="51" spans="1:15" x14ac:dyDescent="0.25">
      <c r="A51" s="71" t="s">
        <v>73</v>
      </c>
      <c r="B51" s="82"/>
      <c r="C51" s="74">
        <v>-5573.7</v>
      </c>
      <c r="D51" s="74">
        <v>30046.5</v>
      </c>
      <c r="E51" s="74">
        <v>-1274.7</v>
      </c>
      <c r="F51" s="74">
        <v>0</v>
      </c>
      <c r="G51" s="74">
        <v>0</v>
      </c>
      <c r="H51" s="74">
        <v>-3095.7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20102.399999999998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0</v>
      </c>
      <c r="F59" s="74">
        <v>884.24</v>
      </c>
      <c r="G59" s="74">
        <v>37.22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921.46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1600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1600</v>
      </c>
    </row>
    <row r="64" spans="1:15" x14ac:dyDescent="0.25">
      <c r="A64" s="71" t="s">
        <v>86</v>
      </c>
      <c r="B64" s="82"/>
      <c r="C64" s="74">
        <v>271.56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271.56</v>
      </c>
    </row>
    <row r="65" spans="1:15" x14ac:dyDescent="0.25">
      <c r="A65" s="71" t="s">
        <v>87</v>
      </c>
      <c r="B65" s="82"/>
      <c r="C65" s="74">
        <v>100.74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100.74</v>
      </c>
    </row>
    <row r="66" spans="1:15" x14ac:dyDescent="0.25">
      <c r="A66" s="71" t="s">
        <v>88</v>
      </c>
      <c r="B66" s="82"/>
      <c r="C66" s="74">
        <v>0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</row>
    <row r="67" spans="1:15" x14ac:dyDescent="0.25">
      <c r="A67" s="71" t="s">
        <v>89</v>
      </c>
      <c r="B67" s="82"/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649.89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649.89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12600</v>
      </c>
      <c r="D77" s="74">
        <v>12600</v>
      </c>
      <c r="E77" s="74">
        <v>12600</v>
      </c>
      <c r="F77" s="74">
        <v>18840</v>
      </c>
      <c r="G77" s="74">
        <v>12480</v>
      </c>
      <c r="H77" s="74">
        <v>12480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81600</v>
      </c>
    </row>
    <row r="78" spans="1:15" x14ac:dyDescent="0.25">
      <c r="A78" s="71" t="s">
        <v>99</v>
      </c>
      <c r="B78" s="82"/>
      <c r="C78" s="74">
        <v>-750.63</v>
      </c>
      <c r="D78" s="74">
        <v>0</v>
      </c>
      <c r="E78" s="74">
        <v>0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-750.63</v>
      </c>
    </row>
    <row r="79" spans="1:15" x14ac:dyDescent="0.25">
      <c r="A79" s="71" t="s">
        <v>100</v>
      </c>
      <c r="B79" s="82"/>
      <c r="C79" s="74">
        <v>0.19</v>
      </c>
      <c r="D79" s="74">
        <v>0.03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0.22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27864</v>
      </c>
      <c r="D82" s="74">
        <v>0</v>
      </c>
      <c r="E82" s="74">
        <v>-65</v>
      </c>
      <c r="F82" s="74">
        <v>0</v>
      </c>
      <c r="G82" s="74">
        <v>0</v>
      </c>
      <c r="H82" s="74">
        <v>2924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30723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5">
      <c r="A84" s="71" t="s">
        <v>481</v>
      </c>
      <c r="B84" s="82"/>
      <c r="C84" s="74">
        <v>0</v>
      </c>
      <c r="D84" s="74">
        <v>0</v>
      </c>
      <c r="E84" s="74">
        <v>0</v>
      </c>
      <c r="F84" s="74">
        <v>-884.24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-884.24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5">
      <c r="A86" s="71" t="s">
        <v>483</v>
      </c>
      <c r="B86" s="82"/>
      <c r="C86" s="74">
        <v>0</v>
      </c>
      <c r="D86" s="74">
        <v>0</v>
      </c>
      <c r="E86" s="74">
        <v>24380</v>
      </c>
      <c r="F86" s="74">
        <v>1590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25970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12382.8</v>
      </c>
      <c r="D95" s="74">
        <v>10197.6</v>
      </c>
      <c r="E95" s="74">
        <v>10015.5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32595.9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6" x14ac:dyDescent="0.25">
      <c r="A98" s="71" t="s">
        <v>114</v>
      </c>
      <c r="B98" s="82"/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269121.64999999997</v>
      </c>
      <c r="D111" s="74">
        <v>253154.13</v>
      </c>
      <c r="E111" s="74">
        <v>305458.18</v>
      </c>
      <c r="F111" s="74">
        <v>24800.399999999998</v>
      </c>
      <c r="G111" s="74">
        <v>12517.22</v>
      </c>
      <c r="H111" s="74">
        <v>12308.3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877359.88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0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</row>
    <row r="115" spans="1:15" x14ac:dyDescent="0.25">
      <c r="A115" s="71" t="s">
        <v>130</v>
      </c>
      <c r="B115" s="74"/>
      <c r="C115" s="74">
        <v>0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</row>
    <row r="116" spans="1:15" x14ac:dyDescent="0.25">
      <c r="A116" s="71" t="s">
        <v>131</v>
      </c>
      <c r="B116" s="74"/>
      <c r="C116" s="74">
        <v>0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0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</row>
    <row r="123" spans="1:15" x14ac:dyDescent="0.25">
      <c r="A123" s="71" t="s">
        <v>136</v>
      </c>
      <c r="B123" s="74"/>
      <c r="C123" s="74">
        <v>-122.13</v>
      </c>
      <c r="D123" s="74">
        <v>0</v>
      </c>
      <c r="E123" s="74">
        <v>0</v>
      </c>
      <c r="F123" s="74">
        <v>-15.62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-137.75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5">
      <c r="A127" s="71" t="s">
        <v>489</v>
      </c>
      <c r="B127" s="74"/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</row>
    <row r="130" spans="1:16" x14ac:dyDescent="0.25">
      <c r="A130" s="71" t="s">
        <v>139</v>
      </c>
      <c r="B130" s="74"/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</row>
    <row r="131" spans="1:16" x14ac:dyDescent="0.25">
      <c r="A131" s="71" t="s">
        <v>140</v>
      </c>
      <c r="C131" s="83">
        <v>0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0</v>
      </c>
      <c r="P131" s="86"/>
    </row>
    <row r="132" spans="1:16" x14ac:dyDescent="0.25">
      <c r="A132" s="71" t="s">
        <v>141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6" x14ac:dyDescent="0.25">
      <c r="A133" s="71" t="s">
        <v>142</v>
      </c>
      <c r="C133" s="74">
        <v>-122.13</v>
      </c>
      <c r="D133" s="74">
        <v>0</v>
      </c>
      <c r="E133" s="74">
        <v>0</v>
      </c>
      <c r="F133" s="74">
        <v>-15.62</v>
      </c>
      <c r="G133" s="74">
        <v>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-137.75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6</v>
      </c>
      <c r="D138" s="74">
        <v>30</v>
      </c>
      <c r="E138" s="74">
        <v>33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69</v>
      </c>
    </row>
    <row r="139" spans="1:16" x14ac:dyDescent="0.25">
      <c r="A139" s="71" t="s">
        <v>147</v>
      </c>
      <c r="B139" s="74"/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6" x14ac:dyDescent="0.25">
      <c r="A142" s="71" t="s">
        <v>150</v>
      </c>
      <c r="B142" s="74"/>
      <c r="C142" s="74">
        <v>-10472.129999999999</v>
      </c>
      <c r="D142" s="74">
        <v>-10472.129999999999</v>
      </c>
      <c r="E142" s="74">
        <v>-10472.129999999999</v>
      </c>
      <c r="F142" s="74">
        <v>-10472.129999999999</v>
      </c>
      <c r="G142" s="74">
        <v>-10472.129999999999</v>
      </c>
      <c r="H142" s="74">
        <v>-10472.129999999999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-62832.779999999992</v>
      </c>
    </row>
    <row r="143" spans="1:16" x14ac:dyDescent="0.25">
      <c r="A143" s="71" t="s">
        <v>492</v>
      </c>
      <c r="B143" s="74"/>
      <c r="C143" s="74">
        <v>0</v>
      </c>
      <c r="D143" s="74">
        <v>-1855</v>
      </c>
      <c r="E143" s="74">
        <v>-778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-2633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523.29999999999995</v>
      </c>
      <c r="D145" s="74">
        <v>0</v>
      </c>
      <c r="E145" s="74">
        <v>350</v>
      </c>
      <c r="F145" s="74">
        <v>1635.81</v>
      </c>
      <c r="G145" s="74">
        <v>211.73</v>
      </c>
      <c r="H145" s="74">
        <v>650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3370.8399999999997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-9942.83</v>
      </c>
      <c r="D148" s="81">
        <v>-12297.13</v>
      </c>
      <c r="E148" s="81">
        <v>-10867.13</v>
      </c>
      <c r="F148" s="81">
        <v>-8836.32</v>
      </c>
      <c r="G148" s="81">
        <v>-10260.4</v>
      </c>
      <c r="H148" s="81">
        <v>-9822.1299999999992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-62025.939999999995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259056.68999999997</v>
      </c>
      <c r="D150" s="74">
        <v>240857</v>
      </c>
      <c r="E150" s="74">
        <v>294591.05</v>
      </c>
      <c r="F150" s="74">
        <v>15948.459999999997</v>
      </c>
      <c r="G150" s="74">
        <v>2256.8199999999997</v>
      </c>
      <c r="H150" s="76">
        <v>2486.17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815196.19000000006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504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3000</v>
      </c>
      <c r="D157" s="74">
        <v>1500</v>
      </c>
      <c r="E157" s="74">
        <v>3000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7500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332.5</v>
      </c>
      <c r="D162" s="74">
        <v>374.5</v>
      </c>
      <c r="E162" s="74">
        <v>420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1127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3040.52</v>
      </c>
      <c r="D167" s="74">
        <v>3710</v>
      </c>
      <c r="E167" s="74">
        <v>5179.93</v>
      </c>
      <c r="F167" s="74">
        <v>1352.16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13282.61</v>
      </c>
    </row>
    <row r="168" spans="1:15" x14ac:dyDescent="0.25">
      <c r="A168" s="71" t="s">
        <v>168</v>
      </c>
      <c r="B168" s="74"/>
      <c r="C168" s="74">
        <v>110.89</v>
      </c>
      <c r="D168" s="74">
        <v>708.95</v>
      </c>
      <c r="E168" s="74">
        <v>18</v>
      </c>
      <c r="F168" s="74">
        <v>10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847.84</v>
      </c>
    </row>
    <row r="169" spans="1:15" x14ac:dyDescent="0.25">
      <c r="A169" s="71" t="s">
        <v>169</v>
      </c>
      <c r="B169" s="74"/>
      <c r="C169" s="74">
        <v>346.36</v>
      </c>
      <c r="D169" s="74">
        <v>150.49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496.85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0</v>
      </c>
      <c r="F173" s="74">
        <v>722.21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722.21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0</v>
      </c>
      <c r="D175" s="74">
        <v>0</v>
      </c>
      <c r="E175" s="74">
        <v>0</v>
      </c>
      <c r="F175" s="74">
        <v>573.75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573.75</v>
      </c>
    </row>
    <row r="176" spans="1:15" x14ac:dyDescent="0.25">
      <c r="A176" s="71" t="s">
        <v>176</v>
      </c>
      <c r="B176" s="74"/>
      <c r="C176" s="74">
        <v>-0.01</v>
      </c>
      <c r="D176" s="74">
        <v>-0.01</v>
      </c>
      <c r="E176" s="74">
        <v>-96.62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-96.64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2189.0500000000002</v>
      </c>
      <c r="D178" s="74">
        <v>2514.8000000000002</v>
      </c>
      <c r="E178" s="74">
        <v>2791.94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7495.7900000000009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5">
      <c r="A186" s="71" t="s">
        <v>186</v>
      </c>
      <c r="B186" s="74"/>
      <c r="C186" s="74">
        <v>0</v>
      </c>
      <c r="D186" s="74">
        <v>23.52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23.52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0</v>
      </c>
      <c r="D188" s="74">
        <v>3833.33</v>
      </c>
      <c r="E188" s="74">
        <v>7666.66</v>
      </c>
      <c r="F188" s="74">
        <v>3933.33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15433.32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5">
      <c r="A191" s="71" t="s">
        <v>191</v>
      </c>
      <c r="B191" s="74"/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5">
      <c r="A192" s="71" t="s">
        <v>192</v>
      </c>
      <c r="B192" s="74"/>
      <c r="C192" s="74">
        <v>1166.32</v>
      </c>
      <c r="D192" s="74">
        <v>459.39</v>
      </c>
      <c r="E192" s="74">
        <v>284.98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1910.69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16813.88</v>
      </c>
      <c r="D194" s="74">
        <v>17392.22</v>
      </c>
      <c r="E194" s="74">
        <v>26501.88</v>
      </c>
      <c r="F194" s="74">
        <v>6717.95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67425.930000000008</v>
      </c>
    </row>
    <row r="195" spans="1:15" x14ac:dyDescent="0.25">
      <c r="A195" s="71" t="s">
        <v>495</v>
      </c>
      <c r="B195" s="74"/>
      <c r="C195" s="74">
        <v>9372.7900000000009</v>
      </c>
      <c r="D195" s="74">
        <v>5818.37</v>
      </c>
      <c r="E195" s="74">
        <v>5517</v>
      </c>
      <c r="F195" s="74">
        <v>7534.12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28242.28</v>
      </c>
    </row>
    <row r="196" spans="1:15" x14ac:dyDescent="0.25">
      <c r="A196" s="71" t="s">
        <v>194</v>
      </c>
      <c r="B196" s="74"/>
      <c r="C196" s="74">
        <v>23280.12</v>
      </c>
      <c r="D196" s="74">
        <v>20641.560000000001</v>
      </c>
      <c r="E196" s="74">
        <v>19399.650000000001</v>
      </c>
      <c r="F196" s="74">
        <v>2722.81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66044.14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5030.3</v>
      </c>
      <c r="D200" s="74">
        <v>4221.8500000000004</v>
      </c>
      <c r="E200" s="74">
        <v>5169.8599999999997</v>
      </c>
      <c r="F200" s="74">
        <v>1019.94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15441.950000000003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4014.18</v>
      </c>
      <c r="D204" s="74">
        <v>928.92</v>
      </c>
      <c r="E204" s="74">
        <v>592.63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5535.73</v>
      </c>
    </row>
    <row r="205" spans="1:15" x14ac:dyDescent="0.25">
      <c r="A205" s="71" t="s">
        <v>201</v>
      </c>
      <c r="B205" s="74"/>
      <c r="C205" s="74">
        <v>1007.16</v>
      </c>
      <c r="D205" s="74">
        <v>116.4</v>
      </c>
      <c r="E205" s="74">
        <v>1738.15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2861.71</v>
      </c>
    </row>
    <row r="206" spans="1:15" x14ac:dyDescent="0.25">
      <c r="A206" s="71" t="s">
        <v>202</v>
      </c>
      <c r="B206" s="74"/>
      <c r="C206" s="74">
        <v>60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60</v>
      </c>
    </row>
    <row r="207" spans="1:15" x14ac:dyDescent="0.25">
      <c r="A207" s="71" t="s">
        <v>203</v>
      </c>
      <c r="B207" s="74"/>
      <c r="C207" s="74">
        <v>340</v>
      </c>
      <c r="D207" s="74">
        <v>0</v>
      </c>
      <c r="E207" s="74">
        <v>546</v>
      </c>
      <c r="F207" s="74">
        <v>216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1102</v>
      </c>
    </row>
    <row r="208" spans="1:15" x14ac:dyDescent="0.25">
      <c r="A208" s="71" t="s">
        <v>204</v>
      </c>
      <c r="B208" s="74"/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5">
      <c r="A209" s="71" t="s">
        <v>205</v>
      </c>
      <c r="B209" s="74"/>
      <c r="C209" s="74">
        <v>128.77000000000001</v>
      </c>
      <c r="D209" s="74">
        <v>2272.9899999999998</v>
      </c>
      <c r="E209" s="74">
        <v>1239.4100000000001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3641.17</v>
      </c>
    </row>
    <row r="210" spans="1:15" x14ac:dyDescent="0.25">
      <c r="A210" s="71" t="s">
        <v>206</v>
      </c>
      <c r="B210" s="74"/>
      <c r="C210" s="74">
        <v>47</v>
      </c>
      <c r="D210" s="74">
        <v>47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94</v>
      </c>
    </row>
    <row r="211" spans="1:15" x14ac:dyDescent="0.25">
      <c r="A211" s="71" t="s">
        <v>207</v>
      </c>
      <c r="B211" s="74"/>
      <c r="C211" s="74">
        <v>47447.040000000001</v>
      </c>
      <c r="D211" s="74">
        <v>23531.73</v>
      </c>
      <c r="E211" s="74">
        <v>49488.72</v>
      </c>
      <c r="F211" s="74">
        <v>8933.15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129400.64</v>
      </c>
    </row>
    <row r="212" spans="1:15" x14ac:dyDescent="0.25">
      <c r="A212" s="71" t="s">
        <v>208</v>
      </c>
      <c r="B212" s="74"/>
      <c r="C212" s="74">
        <v>0</v>
      </c>
      <c r="D212" s="74">
        <v>286.42</v>
      </c>
      <c r="E212" s="74">
        <v>427.1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713.52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1586.16</v>
      </c>
      <c r="D215" s="74">
        <v>641.89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2228.0500000000002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0</v>
      </c>
      <c r="D221" s="74">
        <v>109.2</v>
      </c>
      <c r="E221" s="74">
        <v>0</v>
      </c>
      <c r="F221" s="74">
        <v>1475.56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1584.76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1335.2</v>
      </c>
      <c r="D225" s="74">
        <v>218.4</v>
      </c>
      <c r="E225" s="74">
        <v>218.4</v>
      </c>
      <c r="F225" s="74">
        <v>1351.56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3123.5600000000004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1178.8699999999999</v>
      </c>
      <c r="D227" s="74">
        <v>-795.85</v>
      </c>
      <c r="E227" s="74">
        <v>1358.25</v>
      </c>
      <c r="F227" s="74">
        <v>0</v>
      </c>
      <c r="G227" s="74">
        <v>333.74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2075.0100000000002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317.01</v>
      </c>
      <c r="D229" s="74">
        <v>1064.42</v>
      </c>
      <c r="E229" s="74">
        <v>989.89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2371.3200000000002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122144.10999999999</v>
      </c>
      <c r="D244" s="74">
        <v>89770.489999999991</v>
      </c>
      <c r="E244" s="74">
        <v>132451.83000000002</v>
      </c>
      <c r="F244" s="74">
        <v>36562.539999999994</v>
      </c>
      <c r="G244" s="74">
        <v>333.74</v>
      </c>
      <c r="H244" s="74">
        <v>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381262.71000000008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13958.32</v>
      </c>
      <c r="D247" s="74">
        <v>11841.2</v>
      </c>
      <c r="E247" s="74">
        <v>14714.62</v>
      </c>
      <c r="F247" s="74">
        <v>3421.02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43935.159999999996</v>
      </c>
    </row>
    <row r="248" spans="1:16" x14ac:dyDescent="0.25">
      <c r="A248" s="71" t="s">
        <v>243</v>
      </c>
      <c r="B248" s="74"/>
      <c r="C248" s="74">
        <v>639.39</v>
      </c>
      <c r="D248" s="74">
        <v>390</v>
      </c>
      <c r="E248" s="74">
        <v>120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1149.3899999999999</v>
      </c>
    </row>
    <row r="249" spans="1:16" x14ac:dyDescent="0.25">
      <c r="A249" s="71" t="s">
        <v>244</v>
      </c>
      <c r="B249" s="74"/>
      <c r="C249" s="74">
        <v>91.27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91.27</v>
      </c>
    </row>
    <row r="250" spans="1:16" x14ac:dyDescent="0.25">
      <c r="A250" s="71" t="s">
        <v>245</v>
      </c>
      <c r="B250" s="74"/>
      <c r="C250" s="74">
        <v>828.81</v>
      </c>
      <c r="D250" s="74">
        <v>991.87</v>
      </c>
      <c r="E250" s="74">
        <v>689.59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2510.27</v>
      </c>
    </row>
    <row r="251" spans="1:16" x14ac:dyDescent="0.25">
      <c r="A251" s="71" t="s">
        <v>246</v>
      </c>
      <c r="B251" s="74"/>
      <c r="C251" s="74">
        <v>9138.08</v>
      </c>
      <c r="D251" s="74">
        <v>8636.74</v>
      </c>
      <c r="E251" s="74">
        <v>12656.7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30431.52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49.24</v>
      </c>
      <c r="D253" s="74">
        <v>574.12</v>
      </c>
      <c r="E253" s="74">
        <v>644.80999999999995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1268.17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0</v>
      </c>
      <c r="D257" s="74">
        <v>0</v>
      </c>
      <c r="E257" s="74">
        <v>194.4</v>
      </c>
      <c r="F257" s="74">
        <v>1688.41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1882.8100000000002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228</v>
      </c>
      <c r="D259" s="74">
        <v>0</v>
      </c>
      <c r="E259" s="74">
        <v>0</v>
      </c>
      <c r="F259" s="74">
        <v>1008.16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1236.1599999999999</v>
      </c>
    </row>
    <row r="260" spans="1:16" x14ac:dyDescent="0.25">
      <c r="A260" s="71" t="s">
        <v>255</v>
      </c>
      <c r="C260" s="83">
        <v>0</v>
      </c>
      <c r="D260" s="83">
        <v>0</v>
      </c>
      <c r="E260" s="83">
        <v>0</v>
      </c>
      <c r="F260" s="83">
        <v>0</v>
      </c>
      <c r="G260" s="83">
        <v>0</v>
      </c>
      <c r="H260" s="83">
        <v>0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0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24933.11</v>
      </c>
      <c r="D262" s="74">
        <v>22433.93</v>
      </c>
      <c r="E262" s="74">
        <v>29020.120000000006</v>
      </c>
      <c r="F262" s="74">
        <v>6117.59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82504.749999999985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2860</v>
      </c>
      <c r="D265" s="74">
        <v>2768</v>
      </c>
      <c r="E265" s="74">
        <v>2956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8584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6" x14ac:dyDescent="0.25">
      <c r="A267" s="71" t="s">
        <v>260</v>
      </c>
      <c r="B267" s="74"/>
      <c r="C267" s="74">
        <v>5157.5600000000004</v>
      </c>
      <c r="D267" s="74">
        <v>-5285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-127.4399999999996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0</v>
      </c>
      <c r="D272" s="74">
        <v>5285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5285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5">
      <c r="A276" s="71" t="s">
        <v>269</v>
      </c>
      <c r="B276" s="74"/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30.26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30.26</v>
      </c>
    </row>
    <row r="284" spans="1:15" x14ac:dyDescent="0.25">
      <c r="A284" s="71" t="s">
        <v>277</v>
      </c>
      <c r="B284" s="74"/>
      <c r="C284" s="74">
        <v>0</v>
      </c>
      <c r="D284" s="74">
        <v>0</v>
      </c>
      <c r="E284" s="74">
        <v>0</v>
      </c>
      <c r="F284" s="74">
        <v>0</v>
      </c>
      <c r="G284" s="74">
        <v>241.79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241.79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5">
      <c r="A288" s="71" t="s">
        <v>281</v>
      </c>
      <c r="B288" s="74"/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256.94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256.94</v>
      </c>
    </row>
    <row r="291" spans="1:15" x14ac:dyDescent="0.25">
      <c r="A291" s="71" t="s">
        <v>284</v>
      </c>
      <c r="B291" s="74"/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</row>
    <row r="292" spans="1:15" x14ac:dyDescent="0.25">
      <c r="A292" s="71" t="s">
        <v>285</v>
      </c>
      <c r="B292" s="74"/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</row>
    <row r="293" spans="1:15" x14ac:dyDescent="0.25">
      <c r="A293" s="71" t="s">
        <v>286</v>
      </c>
      <c r="B293" s="74"/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60.37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60.37</v>
      </c>
    </row>
    <row r="297" spans="1:15" x14ac:dyDescent="0.25">
      <c r="A297" s="71" t="s">
        <v>290</v>
      </c>
      <c r="B297" s="74"/>
      <c r="C297" s="74">
        <v>0</v>
      </c>
      <c r="D297" s="74">
        <v>216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216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5">
      <c r="A302" s="71" t="s">
        <v>295</v>
      </c>
      <c r="B302" s="74"/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5">
      <c r="A303" s="71" t="s">
        <v>296</v>
      </c>
      <c r="B303" s="74"/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x14ac:dyDescent="0.25">
      <c r="A304" s="71" t="s">
        <v>499</v>
      </c>
      <c r="B304" s="74"/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6" x14ac:dyDescent="0.25">
      <c r="A306" s="71" t="s">
        <v>501</v>
      </c>
      <c r="B306" s="74"/>
      <c r="C306" s="74">
        <v>0</v>
      </c>
      <c r="D306" s="74">
        <v>0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0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8108.1900000000005</v>
      </c>
      <c r="D321" s="74">
        <v>3240.94</v>
      </c>
      <c r="E321" s="74">
        <v>2956</v>
      </c>
      <c r="F321" s="74">
        <v>0</v>
      </c>
      <c r="G321" s="74">
        <v>241.79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14546.920000000004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3468.13</v>
      </c>
      <c r="D324" s="74">
        <v>2938.15</v>
      </c>
      <c r="E324" s="74">
        <v>3119.7</v>
      </c>
      <c r="F324" s="74">
        <v>746.34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10272.32</v>
      </c>
    </row>
    <row r="325" spans="1:16" x14ac:dyDescent="0.25">
      <c r="A325" s="71" t="s">
        <v>313</v>
      </c>
      <c r="B325" s="74"/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6" x14ac:dyDescent="0.25">
      <c r="A326" s="71" t="s">
        <v>314</v>
      </c>
      <c r="B326" s="74"/>
      <c r="C326" s="74">
        <v>448.88</v>
      </c>
      <c r="D326" s="74">
        <v>0</v>
      </c>
      <c r="E326" s="74">
        <v>482.67</v>
      </c>
      <c r="F326" s="74">
        <v>0</v>
      </c>
      <c r="G326" s="74">
        <v>486.08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1417.6299999999999</v>
      </c>
    </row>
    <row r="327" spans="1:16" x14ac:dyDescent="0.25">
      <c r="A327" s="71" t="s">
        <v>315</v>
      </c>
      <c r="B327" s="74"/>
      <c r="C327" s="74">
        <v>286.44</v>
      </c>
      <c r="D327" s="74">
        <v>0</v>
      </c>
      <c r="E327" s="74">
        <v>308</v>
      </c>
      <c r="F327" s="74">
        <v>0</v>
      </c>
      <c r="G327" s="74">
        <v>349.22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943.66000000000008</v>
      </c>
    </row>
    <row r="328" spans="1:16" x14ac:dyDescent="0.25">
      <c r="A328" s="71" t="s">
        <v>316</v>
      </c>
      <c r="B328" s="74"/>
      <c r="C328" s="74">
        <v>259.68</v>
      </c>
      <c r="D328" s="74">
        <v>203.6</v>
      </c>
      <c r="E328" s="74">
        <v>552.66999999999996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1015.9499999999999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1433.66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1433.66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101.55</v>
      </c>
      <c r="D335" s="74">
        <v>0</v>
      </c>
      <c r="E335" s="74">
        <v>0</v>
      </c>
      <c r="F335" s="74">
        <v>649.91999999999996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751.46999999999991</v>
      </c>
    </row>
    <row r="336" spans="1:16" x14ac:dyDescent="0.25">
      <c r="A336" s="71" t="s">
        <v>324</v>
      </c>
      <c r="C336" s="83">
        <v>0</v>
      </c>
      <c r="D336" s="83">
        <v>0</v>
      </c>
      <c r="E336" s="83">
        <v>0</v>
      </c>
      <c r="F336" s="83">
        <v>0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0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4564.68</v>
      </c>
      <c r="D338" s="74">
        <v>3141.75</v>
      </c>
      <c r="E338" s="74">
        <v>4463.04</v>
      </c>
      <c r="F338" s="74">
        <v>2829.92</v>
      </c>
      <c r="G338" s="74">
        <v>835.3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15834.689999999999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11602.38</v>
      </c>
      <c r="D341" s="74">
        <v>10140.299999999999</v>
      </c>
      <c r="E341" s="74">
        <v>11931.77</v>
      </c>
      <c r="F341" s="74">
        <v>3266.78</v>
      </c>
      <c r="G341" s="74">
        <v>0</v>
      </c>
      <c r="H341" s="74">
        <v>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36941.229999999996</v>
      </c>
    </row>
    <row r="342" spans="1:16" x14ac:dyDescent="0.25">
      <c r="A342" s="71" t="s">
        <v>329</v>
      </c>
      <c r="B342" s="74"/>
      <c r="C342" s="74">
        <v>546.85</v>
      </c>
      <c r="D342" s="74">
        <v>363.33</v>
      </c>
      <c r="E342" s="74">
        <v>716.18</v>
      </c>
      <c r="F342" s="74">
        <v>0</v>
      </c>
      <c r="G342" s="74">
        <v>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1626.3600000000001</v>
      </c>
    </row>
    <row r="343" spans="1:16" x14ac:dyDescent="0.25">
      <c r="A343" s="71" t="s">
        <v>330</v>
      </c>
      <c r="B343" s="74"/>
      <c r="C343" s="74">
        <v>429.66</v>
      </c>
      <c r="D343" s="74">
        <v>0</v>
      </c>
      <c r="E343" s="74">
        <v>462</v>
      </c>
      <c r="F343" s="74">
        <v>0</v>
      </c>
      <c r="G343" s="74">
        <v>523.84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1415.5</v>
      </c>
    </row>
    <row r="344" spans="1:16" x14ac:dyDescent="0.25">
      <c r="A344" s="71" t="s">
        <v>331</v>
      </c>
      <c r="B344" s="74"/>
      <c r="C344" s="74">
        <v>541.59</v>
      </c>
      <c r="D344" s="74">
        <v>150.56</v>
      </c>
      <c r="E344" s="74">
        <v>699</v>
      </c>
      <c r="F344" s="74">
        <v>0</v>
      </c>
      <c r="G344" s="74">
        <v>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1391.15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0</v>
      </c>
      <c r="D349" s="74">
        <v>0</v>
      </c>
      <c r="E349" s="74">
        <v>97.2</v>
      </c>
      <c r="F349" s="74">
        <v>2387.06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2484.2599999999998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1234.3800000000001</v>
      </c>
      <c r="D351" s="74">
        <v>144.4</v>
      </c>
      <c r="E351" s="74">
        <v>247.2</v>
      </c>
      <c r="F351" s="74">
        <v>482.63</v>
      </c>
      <c r="G351" s="74">
        <v>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2108.61</v>
      </c>
    </row>
    <row r="352" spans="1:16" x14ac:dyDescent="0.25">
      <c r="A352" s="71" t="s">
        <v>339</v>
      </c>
      <c r="C352" s="83">
        <v>-0.01</v>
      </c>
      <c r="D352" s="83">
        <v>-0.01</v>
      </c>
      <c r="E352" s="83">
        <v>-40.9</v>
      </c>
      <c r="F352" s="83">
        <v>0</v>
      </c>
      <c r="G352" s="83">
        <v>0</v>
      </c>
      <c r="H352" s="83">
        <v>0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-40.92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14354.85</v>
      </c>
      <c r="D354" s="74">
        <v>10798.579999999998</v>
      </c>
      <c r="E354" s="74">
        <v>14112.450000000003</v>
      </c>
      <c r="F354" s="74">
        <v>6136.47</v>
      </c>
      <c r="G354" s="74">
        <v>523.84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45926.19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2955.29</v>
      </c>
      <c r="D358" s="74">
        <v>2483.2600000000002</v>
      </c>
      <c r="E358" s="74">
        <v>3438.7</v>
      </c>
      <c r="F358" s="74">
        <v>1317.25</v>
      </c>
      <c r="G358" s="74">
        <v>0</v>
      </c>
      <c r="H358" s="74">
        <v>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10194.5</v>
      </c>
    </row>
    <row r="359" spans="1:16" x14ac:dyDescent="0.25">
      <c r="A359" s="71" t="s">
        <v>344</v>
      </c>
      <c r="B359" s="74"/>
      <c r="C359" s="74">
        <v>0</v>
      </c>
      <c r="D359" s="74">
        <v>0</v>
      </c>
      <c r="E359" s="74">
        <v>1027.18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1027.18</v>
      </c>
    </row>
    <row r="360" spans="1:16" x14ac:dyDescent="0.25">
      <c r="A360" s="71" t="s">
        <v>345</v>
      </c>
      <c r="B360" s="74"/>
      <c r="C360" s="74">
        <v>413.23</v>
      </c>
      <c r="D360" s="74">
        <v>476.12</v>
      </c>
      <c r="E360" s="74">
        <v>1730.77</v>
      </c>
      <c r="F360" s="74">
        <v>0</v>
      </c>
      <c r="G360" s="74">
        <v>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2620.12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1317.9</v>
      </c>
      <c r="D362" s="74">
        <v>0</v>
      </c>
      <c r="E362" s="74">
        <v>0</v>
      </c>
      <c r="F362" s="74">
        <v>263.58</v>
      </c>
      <c r="G362" s="74">
        <v>527.16</v>
      </c>
      <c r="H362" s="74">
        <v>263.58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2372.2199999999998</v>
      </c>
    </row>
    <row r="363" spans="1:16" x14ac:dyDescent="0.25">
      <c r="A363" s="71" t="s">
        <v>348</v>
      </c>
      <c r="B363" s="74"/>
      <c r="C363" s="74">
        <v>0</v>
      </c>
      <c r="D363" s="74">
        <v>4855.7299999999996</v>
      </c>
      <c r="E363" s="74">
        <v>2424.48</v>
      </c>
      <c r="F363" s="74">
        <v>0</v>
      </c>
      <c r="G363" s="74">
        <v>5219.63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12499.84</v>
      </c>
    </row>
    <row r="364" spans="1:16" x14ac:dyDescent="0.25">
      <c r="A364" s="71" t="s">
        <v>349</v>
      </c>
      <c r="B364" s="74"/>
      <c r="C364" s="74">
        <v>0</v>
      </c>
      <c r="D364" s="74">
        <v>1860.26</v>
      </c>
      <c r="E364" s="74">
        <v>972.72</v>
      </c>
      <c r="F364" s="74">
        <v>0</v>
      </c>
      <c r="G364" s="74">
        <v>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2832.98</v>
      </c>
    </row>
    <row r="365" spans="1:16" x14ac:dyDescent="0.25">
      <c r="A365" s="71" t="s">
        <v>350</v>
      </c>
      <c r="B365" s="74"/>
      <c r="C365" s="74">
        <v>0</v>
      </c>
      <c r="D365" s="74">
        <v>7787.1</v>
      </c>
      <c r="E365" s="74">
        <v>350</v>
      </c>
      <c r="F365" s="74">
        <v>11942</v>
      </c>
      <c r="G365" s="74">
        <v>18816</v>
      </c>
      <c r="H365" s="74">
        <v>15388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54283.1</v>
      </c>
    </row>
    <row r="366" spans="1:16" x14ac:dyDescent="0.25">
      <c r="A366" s="71" t="s">
        <v>351</v>
      </c>
      <c r="B366" s="74"/>
      <c r="C366" s="74">
        <v>2202.5</v>
      </c>
      <c r="D366" s="74">
        <v>10127.92</v>
      </c>
      <c r="E366" s="74">
        <v>5730.76</v>
      </c>
      <c r="F366" s="74">
        <v>650</v>
      </c>
      <c r="G366" s="74">
        <v>6571.59</v>
      </c>
      <c r="H366" s="74">
        <v>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25282.77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0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0</v>
      </c>
      <c r="E370" s="74">
        <v>0</v>
      </c>
      <c r="F370" s="74">
        <v>882.93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882.93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152</v>
      </c>
      <c r="F372" s="74">
        <v>38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190</v>
      </c>
    </row>
    <row r="373" spans="1:16" x14ac:dyDescent="0.25">
      <c r="A373" s="71" t="s">
        <v>358</v>
      </c>
      <c r="B373" s="74"/>
      <c r="C373" s="74">
        <v>35.65</v>
      </c>
      <c r="D373" s="74">
        <v>35.65</v>
      </c>
      <c r="E373" s="74">
        <v>-125.96</v>
      </c>
      <c r="F373" s="74">
        <v>0</v>
      </c>
      <c r="G373" s="74">
        <v>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-54.66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4698.8900000000003</v>
      </c>
      <c r="D376" s="74">
        <v>5090.08</v>
      </c>
      <c r="E376" s="74">
        <v>4707.6400000000003</v>
      </c>
      <c r="F376" s="74">
        <v>4524.92</v>
      </c>
      <c r="G376" s="74">
        <v>2344.75</v>
      </c>
      <c r="H376" s="74">
        <v>1139.77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22506.05</v>
      </c>
    </row>
    <row r="377" spans="1:16" x14ac:dyDescent="0.25">
      <c r="A377" s="71" t="s">
        <v>362</v>
      </c>
      <c r="C377" s="83">
        <v>490.98</v>
      </c>
      <c r="D377" s="83">
        <v>723.3</v>
      </c>
      <c r="E377" s="83">
        <v>512.47</v>
      </c>
      <c r="F377" s="83">
        <v>403.52</v>
      </c>
      <c r="G377" s="83">
        <v>93.58</v>
      </c>
      <c r="H377" s="83">
        <v>164.08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2387.9299999999998</v>
      </c>
      <c r="P377" s="86"/>
    </row>
    <row r="378" spans="1:16" x14ac:dyDescent="0.25">
      <c r="A378" s="71" t="s">
        <v>363</v>
      </c>
      <c r="C378" s="98">
        <v>2017.89</v>
      </c>
      <c r="D378" s="98">
        <v>2302.2399999999998</v>
      </c>
      <c r="E378" s="98">
        <v>2302.2399999999998</v>
      </c>
      <c r="F378" s="98">
        <v>12996.73</v>
      </c>
      <c r="G378" s="98">
        <v>3626.81</v>
      </c>
      <c r="H378" s="98">
        <v>3293.81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26539.72</v>
      </c>
    </row>
    <row r="379" spans="1:16" x14ac:dyDescent="0.25">
      <c r="A379" s="71" t="s">
        <v>364</v>
      </c>
      <c r="C379" s="74">
        <v>14132.329999999998</v>
      </c>
      <c r="D379" s="74">
        <v>35741.660000000003</v>
      </c>
      <c r="E379" s="74">
        <v>23223</v>
      </c>
      <c r="F379" s="74">
        <v>33018.93</v>
      </c>
      <c r="G379" s="74">
        <v>37199.520000000004</v>
      </c>
      <c r="H379" s="74">
        <v>20249.240000000002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163564.68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9609.2800000000007</v>
      </c>
      <c r="D382" s="74">
        <v>8840</v>
      </c>
      <c r="E382" s="74">
        <v>8840</v>
      </c>
      <c r="F382" s="74">
        <v>1632</v>
      </c>
      <c r="G382" s="74">
        <v>0</v>
      </c>
      <c r="H382" s="74">
        <v>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28921.279999999999</v>
      </c>
    </row>
    <row r="383" spans="1:16" x14ac:dyDescent="0.25">
      <c r="A383" s="71" t="s">
        <v>367</v>
      </c>
      <c r="B383" s="74"/>
      <c r="C383" s="74">
        <v>848.03</v>
      </c>
      <c r="D383" s="74">
        <v>2441.35</v>
      </c>
      <c r="E383" s="74">
        <v>3172.98</v>
      </c>
      <c r="F383" s="74">
        <v>1139.93</v>
      </c>
      <c r="G383" s="74">
        <v>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7602.2900000000009</v>
      </c>
    </row>
    <row r="384" spans="1:16" x14ac:dyDescent="0.25">
      <c r="A384" s="71" t="s">
        <v>368</v>
      </c>
      <c r="B384" s="74"/>
      <c r="C384" s="74">
        <v>2140.41</v>
      </c>
      <c r="D384" s="74">
        <v>4095.16</v>
      </c>
      <c r="E384" s="74">
        <v>4887.24</v>
      </c>
      <c r="F384" s="74">
        <v>1266.1600000000001</v>
      </c>
      <c r="G384" s="74">
        <v>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12388.97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0</v>
      </c>
      <c r="D386" s="74">
        <v>0</v>
      </c>
      <c r="E386" s="74">
        <v>0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1638</v>
      </c>
      <c r="D390" s="74">
        <v>-270</v>
      </c>
      <c r="E390" s="74">
        <v>-1116</v>
      </c>
      <c r="F390" s="74">
        <v>-450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-198</v>
      </c>
    </row>
    <row r="391" spans="1:15" x14ac:dyDescent="0.25">
      <c r="A391" s="71" t="s">
        <v>375</v>
      </c>
      <c r="B391" s="74"/>
      <c r="C391" s="74">
        <v>96</v>
      </c>
      <c r="D391" s="74">
        <v>96</v>
      </c>
      <c r="E391" s="74">
        <v>96</v>
      </c>
      <c r="F391" s="74">
        <v>0</v>
      </c>
      <c r="G391" s="74">
        <v>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288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76</v>
      </c>
      <c r="E393" s="74">
        <v>0</v>
      </c>
      <c r="F393" s="74">
        <v>9.06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85.06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289.75</v>
      </c>
      <c r="D395" s="74">
        <v>228</v>
      </c>
      <c r="E395" s="74">
        <v>0</v>
      </c>
      <c r="F395" s="74">
        <v>276</v>
      </c>
      <c r="G395" s="74">
        <v>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793.75</v>
      </c>
    </row>
    <row r="396" spans="1:15" x14ac:dyDescent="0.25">
      <c r="A396" s="71" t="s">
        <v>380</v>
      </c>
      <c r="B396" s="74"/>
      <c r="C396" s="74">
        <v>-324.52</v>
      </c>
      <c r="D396" s="74">
        <v>238.38</v>
      </c>
      <c r="E396" s="74">
        <v>-162.46</v>
      </c>
      <c r="F396" s="74">
        <v>0</v>
      </c>
      <c r="G396" s="74">
        <v>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-248.6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0</v>
      </c>
      <c r="G402" s="74">
        <v>0</v>
      </c>
      <c r="H402" s="74">
        <v>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180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0</v>
      </c>
      <c r="G406" s="74">
        <v>0</v>
      </c>
      <c r="H406" s="74">
        <v>0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2415</v>
      </c>
    </row>
    <row r="407" spans="1:15" x14ac:dyDescent="0.25">
      <c r="A407" s="71" t="s">
        <v>391</v>
      </c>
      <c r="B407" s="74"/>
      <c r="C407" s="74">
        <v>0</v>
      </c>
      <c r="D407" s="74">
        <v>93.63</v>
      </c>
      <c r="E407" s="74">
        <v>0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93.63</v>
      </c>
    </row>
    <row r="408" spans="1:15" x14ac:dyDescent="0.25">
      <c r="A408" s="71" t="s">
        <v>392</v>
      </c>
      <c r="B408" s="74"/>
      <c r="C408" s="74">
        <v>243.3</v>
      </c>
      <c r="D408" s="74">
        <v>257.58999999999997</v>
      </c>
      <c r="E408" s="74">
        <v>261.29000000000002</v>
      </c>
      <c r="F408" s="74">
        <v>0</v>
      </c>
      <c r="G408" s="74">
        <v>0</v>
      </c>
      <c r="H408" s="74">
        <v>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762.18000000000006</v>
      </c>
    </row>
    <row r="409" spans="1:15" x14ac:dyDescent="0.25">
      <c r="A409" s="71" t="s">
        <v>393</v>
      </c>
      <c r="B409" s="74"/>
      <c r="C409" s="74">
        <v>652.24</v>
      </c>
      <c r="D409" s="74">
        <v>641.65</v>
      </c>
      <c r="E409" s="74">
        <v>652.76</v>
      </c>
      <c r="F409" s="74">
        <v>0</v>
      </c>
      <c r="G409" s="74">
        <v>755.97</v>
      </c>
      <c r="H409" s="74">
        <v>749.99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3452.6099999999997</v>
      </c>
    </row>
    <row r="410" spans="1:15" x14ac:dyDescent="0.25">
      <c r="A410" s="71" t="s">
        <v>394</v>
      </c>
      <c r="B410" s="74"/>
      <c r="C410" s="74">
        <v>470.59</v>
      </c>
      <c r="D410" s="74">
        <v>570.28</v>
      </c>
      <c r="E410" s="74">
        <v>455.01</v>
      </c>
      <c r="F410" s="74">
        <v>0</v>
      </c>
      <c r="G410" s="74">
        <v>0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1495.8799999999999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0</v>
      </c>
      <c r="D412" s="74">
        <v>0</v>
      </c>
      <c r="E412" s="74">
        <v>0</v>
      </c>
      <c r="F412" s="74">
        <v>0</v>
      </c>
      <c r="G412" s="74">
        <v>0</v>
      </c>
      <c r="H412" s="74">
        <v>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968.27</v>
      </c>
      <c r="D415" s="74">
        <v>1476.74</v>
      </c>
      <c r="E415" s="74">
        <v>3658.94</v>
      </c>
      <c r="F415" s="74">
        <v>968.27</v>
      </c>
      <c r="G415" s="74">
        <v>2642</v>
      </c>
      <c r="H415" s="74">
        <v>968.27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10682.490000000002</v>
      </c>
    </row>
    <row r="416" spans="1:15" x14ac:dyDescent="0.25">
      <c r="A416" s="71" t="s">
        <v>400</v>
      </c>
      <c r="B416" s="74"/>
      <c r="C416" s="74">
        <v>882</v>
      </c>
      <c r="D416" s="74">
        <v>882</v>
      </c>
      <c r="E416" s="74">
        <v>882</v>
      </c>
      <c r="F416" s="74">
        <v>882</v>
      </c>
      <c r="G416" s="74">
        <v>882</v>
      </c>
      <c r="H416" s="74">
        <v>882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5292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1817.62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2537.0699999999997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3263.1</v>
      </c>
      <c r="D419" s="74">
        <v>3150.42</v>
      </c>
      <c r="E419" s="74">
        <v>3302.35</v>
      </c>
      <c r="F419" s="74">
        <v>1476.4</v>
      </c>
      <c r="G419" s="74">
        <v>0</v>
      </c>
      <c r="H419" s="74">
        <v>0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11192.27</v>
      </c>
    </row>
    <row r="420" spans="1:15" x14ac:dyDescent="0.25">
      <c r="A420" s="71" t="s">
        <v>404</v>
      </c>
      <c r="B420" s="74"/>
      <c r="C420" s="74">
        <v>219.32</v>
      </c>
      <c r="D420" s="74">
        <v>195.41</v>
      </c>
      <c r="E420" s="74">
        <v>219.56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634.29</v>
      </c>
    </row>
    <row r="421" spans="1:15" x14ac:dyDescent="0.25">
      <c r="A421" s="71" t="s">
        <v>405</v>
      </c>
      <c r="B421" s="74"/>
      <c r="C421" s="74">
        <v>608.76</v>
      </c>
      <c r="D421" s="74">
        <v>750.03</v>
      </c>
      <c r="E421" s="74">
        <v>1241.22</v>
      </c>
      <c r="F421" s="74">
        <v>30</v>
      </c>
      <c r="G421" s="74">
        <v>165.19</v>
      </c>
      <c r="H421" s="74">
        <v>25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2820.2000000000003</v>
      </c>
    </row>
    <row r="422" spans="1:15" x14ac:dyDescent="0.25">
      <c r="A422" s="71" t="s">
        <v>406</v>
      </c>
      <c r="B422" s="74"/>
      <c r="C422" s="74">
        <v>12509.84</v>
      </c>
      <c r="D422" s="74">
        <v>11183.13</v>
      </c>
      <c r="E422" s="74">
        <v>12732.89</v>
      </c>
      <c r="F422" s="74">
        <v>0</v>
      </c>
      <c r="G422" s="74">
        <v>0</v>
      </c>
      <c r="H422" s="74">
        <v>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36425.86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0</v>
      </c>
      <c r="D425" s="74">
        <v>0</v>
      </c>
      <c r="E425" s="74">
        <v>0</v>
      </c>
      <c r="F425" s="74">
        <v>0</v>
      </c>
      <c r="G425" s="74">
        <v>300.5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300.5</v>
      </c>
    </row>
    <row r="426" spans="1:15" x14ac:dyDescent="0.25">
      <c r="A426" s="71" t="s">
        <v>410</v>
      </c>
      <c r="B426" s="74"/>
      <c r="C426" s="74">
        <v>9610.27</v>
      </c>
      <c r="D426" s="74">
        <v>8779.2900000000009</v>
      </c>
      <c r="E426" s="74">
        <v>10233.030000000001</v>
      </c>
      <c r="F426" s="74">
        <v>3867.18</v>
      </c>
      <c r="G426" s="74">
        <v>-8175.73</v>
      </c>
      <c r="H426" s="74">
        <v>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24314.040000000005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0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0</v>
      </c>
      <c r="E430" s="74">
        <v>105.69</v>
      </c>
      <c r="F430" s="74">
        <v>308.93</v>
      </c>
      <c r="G430" s="74">
        <v>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414.62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174.51</v>
      </c>
      <c r="D432" s="74">
        <v>274.66000000000003</v>
      </c>
      <c r="E432" s="74">
        <v>193.53</v>
      </c>
      <c r="F432" s="74">
        <v>278.76</v>
      </c>
      <c r="G432" s="74">
        <v>325.17</v>
      </c>
      <c r="H432" s="74">
        <v>0.25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1246.8800000000001</v>
      </c>
    </row>
    <row r="433" spans="1:16" x14ac:dyDescent="0.25">
      <c r="A433" s="71" t="s">
        <v>416</v>
      </c>
      <c r="B433" s="74"/>
      <c r="C433" s="74">
        <v>21447</v>
      </c>
      <c r="D433" s="74">
        <v>21447</v>
      </c>
      <c r="E433" s="74">
        <v>21447</v>
      </c>
      <c r="F433" s="74">
        <v>21447</v>
      </c>
      <c r="G433" s="74">
        <v>0</v>
      </c>
      <c r="H433" s="74">
        <v>0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85788</v>
      </c>
    </row>
    <row r="434" spans="1:16" x14ac:dyDescent="0.25">
      <c r="A434" s="71" t="s">
        <v>417</v>
      </c>
      <c r="B434" s="74"/>
      <c r="C434" s="74">
        <v>2057.06</v>
      </c>
      <c r="D434" s="74">
        <v>1831.3</v>
      </c>
      <c r="E434" s="74">
        <v>1935.5</v>
      </c>
      <c r="F434" s="74">
        <v>2528.42</v>
      </c>
      <c r="G434" s="74">
        <v>37.22</v>
      </c>
      <c r="H434" s="74">
        <v>0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8389.4999999999982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168</v>
      </c>
      <c r="D436" s="74">
        <v>180.04</v>
      </c>
      <c r="E436" s="74">
        <v>180.04</v>
      </c>
      <c r="F436" s="74">
        <v>2616.16</v>
      </c>
      <c r="G436" s="74">
        <v>180.17</v>
      </c>
      <c r="H436" s="74">
        <v>180.17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3504.58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177.83</v>
      </c>
      <c r="E439" s="100">
        <v>0</v>
      </c>
      <c r="F439" s="100">
        <v>0</v>
      </c>
      <c r="G439" s="100">
        <v>87083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87260.83</v>
      </c>
    </row>
    <row r="440" spans="1:16" x14ac:dyDescent="0.25">
      <c r="A440" s="71" t="s">
        <v>423</v>
      </c>
      <c r="C440" s="74">
        <v>68230.100000000006</v>
      </c>
      <c r="D440" s="74">
        <v>68294.78</v>
      </c>
      <c r="E440" s="74">
        <v>74927.459999999992</v>
      </c>
      <c r="F440" s="74">
        <v>40093.89</v>
      </c>
      <c r="G440" s="74">
        <v>84339.38</v>
      </c>
      <c r="H440" s="74">
        <v>2949.57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338835.18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6755.47</v>
      </c>
      <c r="D443" s="74">
        <v>6018.41</v>
      </c>
      <c r="E443" s="74">
        <v>6879.38</v>
      </c>
      <c r="F443" s="74">
        <v>0</v>
      </c>
      <c r="G443" s="74">
        <v>0</v>
      </c>
      <c r="H443" s="74">
        <v>0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19653.260000000002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2810.68</v>
      </c>
      <c r="D445" s="74">
        <v>2810.68</v>
      </c>
      <c r="E445" s="74">
        <v>2810.68</v>
      </c>
      <c r="F445" s="74">
        <v>2810.68</v>
      </c>
      <c r="G445" s="74">
        <v>2810.68</v>
      </c>
      <c r="H445" s="74">
        <v>2810.68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16864.079999999998</v>
      </c>
    </row>
    <row r="446" spans="1:16" x14ac:dyDescent="0.25">
      <c r="A446" s="71" t="s">
        <v>428</v>
      </c>
      <c r="B446" s="74"/>
      <c r="C446" s="74">
        <v>42625.4</v>
      </c>
      <c r="D446" s="74">
        <v>42625.4</v>
      </c>
      <c r="E446" s="74">
        <v>46678.58</v>
      </c>
      <c r="F446" s="74">
        <v>44651.99</v>
      </c>
      <c r="G446" s="74">
        <v>44651.99</v>
      </c>
      <c r="H446" s="74">
        <v>44651.99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265885.34999999998</v>
      </c>
    </row>
    <row r="447" spans="1:16" x14ac:dyDescent="0.25">
      <c r="A447" s="71" t="s">
        <v>429</v>
      </c>
      <c r="B447" s="74"/>
      <c r="C447" s="74">
        <v>2311.38</v>
      </c>
      <c r="D447" s="74">
        <v>1951.89</v>
      </c>
      <c r="E447" s="74">
        <v>308.89</v>
      </c>
      <c r="F447" s="74">
        <v>2318.54</v>
      </c>
      <c r="G447" s="74">
        <v>1097.6099999999999</v>
      </c>
      <c r="H447" s="74">
        <v>0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7988.31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5233</v>
      </c>
      <c r="D451" s="83">
        <v>5233</v>
      </c>
      <c r="E451" s="83">
        <v>5233</v>
      </c>
      <c r="F451" s="83">
        <v>5141.4799999999996</v>
      </c>
      <c r="G451" s="83">
        <v>5141.4799999999996</v>
      </c>
      <c r="H451" s="83">
        <v>5141.4799999999996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31123.439999999999</v>
      </c>
      <c r="P451" s="86"/>
    </row>
    <row r="452" spans="1:16" x14ac:dyDescent="0.25">
      <c r="A452" s="71" t="s">
        <v>434</v>
      </c>
      <c r="C452" s="74">
        <v>0</v>
      </c>
      <c r="D452" s="74">
        <v>91.52</v>
      </c>
      <c r="E452" s="74">
        <v>91.52</v>
      </c>
      <c r="F452" s="74">
        <v>91.52</v>
      </c>
      <c r="G452" s="74">
        <v>91.52</v>
      </c>
      <c r="H452" s="74">
        <v>91.52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457.59999999999997</v>
      </c>
    </row>
    <row r="453" spans="1:16" ht="18.75" thickBot="1" x14ac:dyDescent="0.3">
      <c r="A453" s="85" t="s">
        <v>435</v>
      </c>
      <c r="B453" s="85"/>
      <c r="C453" s="81">
        <v>59735.93</v>
      </c>
      <c r="D453" s="81">
        <v>58730.9</v>
      </c>
      <c r="E453" s="81">
        <v>62002.049999999996</v>
      </c>
      <c r="F453" s="81">
        <v>55014.21</v>
      </c>
      <c r="G453" s="81">
        <v>53793.279999999992</v>
      </c>
      <c r="H453" s="81">
        <v>52695.669999999991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341972.03999999992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316203.3</v>
      </c>
      <c r="D455" s="71">
        <v>292153.02999999997</v>
      </c>
      <c r="E455" s="71">
        <v>343155.95</v>
      </c>
      <c r="F455" s="71">
        <v>179773.55</v>
      </c>
      <c r="G455" s="71">
        <v>177266.84999999998</v>
      </c>
      <c r="H455" s="71">
        <v>75894.48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1384447.16</v>
      </c>
      <c r="P455" s="71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55"/>
  <sheetViews>
    <sheetView view="pageBreakPreview" zoomScale="60" zoomScaleNormal="100" workbookViewId="0"/>
  </sheetViews>
  <sheetFormatPr defaultColWidth="8.85546875" defaultRowHeight="18" x14ac:dyDescent="0.25"/>
  <cols>
    <col min="1" max="1" width="57.28515625" style="71" customWidth="1"/>
    <col min="2" max="2" width="2.7109375" style="71" customWidth="1"/>
    <col min="3" max="15" width="21.7109375" style="71" customWidth="1"/>
    <col min="16" max="16" width="15.140625" style="71" bestFit="1" customWidth="1"/>
    <col min="17" max="17" width="8.85546875" style="71"/>
    <col min="18" max="18" width="16.5703125" style="71" bestFit="1" customWidth="1"/>
    <col min="19" max="16384" width="8.85546875" style="71"/>
  </cols>
  <sheetData>
    <row r="1" spans="1:15" x14ac:dyDescent="0.25">
      <c r="C1" s="74"/>
      <c r="D1" s="74"/>
      <c r="E1" s="74"/>
      <c r="F1" s="74"/>
      <c r="G1" s="74"/>
      <c r="H1" s="75" t="s">
        <v>505</v>
      </c>
      <c r="I1" s="74"/>
      <c r="J1" s="74"/>
      <c r="K1" s="74"/>
      <c r="L1" s="74"/>
      <c r="M1" s="74"/>
      <c r="N1" s="74"/>
      <c r="O1" s="74"/>
    </row>
    <row r="2" spans="1:15" x14ac:dyDescent="0.25">
      <c r="C2" s="74"/>
      <c r="D2" s="74"/>
      <c r="E2" s="74"/>
      <c r="F2" s="74"/>
      <c r="G2" s="74"/>
      <c r="H2" s="76" t="s">
        <v>24</v>
      </c>
      <c r="I2" s="74"/>
      <c r="J2" s="74"/>
      <c r="K2" s="74"/>
      <c r="L2" s="74"/>
      <c r="M2" s="74"/>
      <c r="N2" s="74"/>
      <c r="O2" s="74"/>
    </row>
    <row r="3" spans="1:15" x14ac:dyDescent="0.25">
      <c r="B3" s="84"/>
      <c r="C3" s="74"/>
      <c r="D3" s="74"/>
      <c r="E3" s="74"/>
      <c r="F3" s="74"/>
      <c r="G3" s="74"/>
      <c r="H3" s="77">
        <v>2022</v>
      </c>
      <c r="I3" s="74"/>
      <c r="J3" s="74"/>
      <c r="K3" s="74"/>
      <c r="L3" s="74"/>
      <c r="M3" s="74"/>
      <c r="N3" s="74"/>
      <c r="O3" s="74"/>
    </row>
    <row r="4" spans="1:15" x14ac:dyDescent="0.25">
      <c r="B4" s="84"/>
      <c r="C4" s="74"/>
      <c r="D4" s="74"/>
      <c r="E4" s="74"/>
      <c r="F4" s="74"/>
      <c r="G4" s="74"/>
      <c r="H4" s="75"/>
      <c r="I4" s="74"/>
      <c r="J4" s="74"/>
      <c r="K4" s="74"/>
      <c r="L4" s="74"/>
      <c r="M4" s="74"/>
      <c r="N4" s="74"/>
      <c r="O4" s="74"/>
    </row>
    <row r="5" spans="1:15" x14ac:dyDescent="0.25">
      <c r="C5" s="78" t="s">
        <v>25</v>
      </c>
      <c r="D5" s="78" t="s">
        <v>26</v>
      </c>
      <c r="E5" s="78" t="s">
        <v>27</v>
      </c>
      <c r="F5" s="78" t="s">
        <v>28</v>
      </c>
      <c r="G5" s="78" t="s">
        <v>29</v>
      </c>
      <c r="H5" s="78" t="s">
        <v>30</v>
      </c>
      <c r="I5" s="78" t="s">
        <v>31</v>
      </c>
      <c r="J5" s="78" t="s">
        <v>32</v>
      </c>
      <c r="K5" s="78" t="s">
        <v>33</v>
      </c>
      <c r="L5" s="78" t="s">
        <v>34</v>
      </c>
      <c r="M5" s="78" t="s">
        <v>35</v>
      </c>
      <c r="N5" s="78" t="s">
        <v>36</v>
      </c>
      <c r="O5" s="78" t="s">
        <v>37</v>
      </c>
    </row>
    <row r="6" spans="1:15" x14ac:dyDescent="0.25">
      <c r="A6" s="71" t="s">
        <v>10</v>
      </c>
      <c r="C6" s="74">
        <v>31</v>
      </c>
      <c r="D6" s="74">
        <v>28</v>
      </c>
      <c r="E6" s="74">
        <v>31</v>
      </c>
      <c r="F6" s="74">
        <v>30</v>
      </c>
      <c r="G6" s="74">
        <v>31</v>
      </c>
      <c r="H6" s="74">
        <v>30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181</v>
      </c>
    </row>
    <row r="7" spans="1:15" x14ac:dyDescent="0.25"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1:15" x14ac:dyDescent="0.25">
      <c r="A8" s="85" t="s">
        <v>38</v>
      </c>
      <c r="B8" s="85"/>
      <c r="C8" s="97">
        <v>46.935483870967744</v>
      </c>
      <c r="D8" s="97">
        <v>47.214285714285715</v>
      </c>
      <c r="E8" s="97">
        <v>43.774193548387096</v>
      </c>
      <c r="F8" s="97">
        <v>38.133333333333333</v>
      </c>
      <c r="G8" s="97">
        <v>37.322580645161288</v>
      </c>
      <c r="H8" s="97">
        <v>37.233333333333334</v>
      </c>
      <c r="I8" s="97" t="e">
        <v>#DIV/0!</v>
      </c>
      <c r="J8" s="97" t="e">
        <v>#DIV/0!</v>
      </c>
      <c r="K8" s="97" t="e">
        <v>#DIV/0!</v>
      </c>
      <c r="L8" s="97" t="e">
        <v>#DIV/0!</v>
      </c>
      <c r="M8" s="97" t="e">
        <v>#DIV/0!</v>
      </c>
      <c r="N8" s="97" t="e">
        <v>#DIV/0!</v>
      </c>
      <c r="O8" s="98" t="s">
        <v>39</v>
      </c>
    </row>
    <row r="9" spans="1:15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8"/>
    </row>
    <row r="10" spans="1:15" x14ac:dyDescent="0.25">
      <c r="A10" s="85" t="s">
        <v>40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8"/>
    </row>
    <row r="11" spans="1:15" x14ac:dyDescent="0.25">
      <c r="A11" s="71" t="s">
        <v>41</v>
      </c>
      <c r="C11" s="74">
        <v>129</v>
      </c>
      <c r="D11" s="74">
        <v>48</v>
      </c>
      <c r="E11" s="74">
        <v>106</v>
      </c>
      <c r="F11" s="74">
        <v>60</v>
      </c>
      <c r="G11" s="74">
        <v>62</v>
      </c>
      <c r="H11" s="74">
        <v>60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465</v>
      </c>
    </row>
    <row r="12" spans="1:15" x14ac:dyDescent="0.25">
      <c r="A12" s="71" t="s">
        <v>42</v>
      </c>
      <c r="C12" s="74">
        <v>0</v>
      </c>
      <c r="D12" s="74">
        <v>0</v>
      </c>
      <c r="E12" s="74">
        <v>24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24</v>
      </c>
    </row>
    <row r="13" spans="1:15" x14ac:dyDescent="0.25">
      <c r="A13" s="71" t="s">
        <v>43</v>
      </c>
      <c r="C13" s="74">
        <v>756</v>
      </c>
      <c r="D13" s="74">
        <v>751</v>
      </c>
      <c r="E13" s="74">
        <v>738</v>
      </c>
      <c r="F13" s="74">
        <v>623</v>
      </c>
      <c r="G13" s="74">
        <v>618</v>
      </c>
      <c r="H13" s="74">
        <v>675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4161</v>
      </c>
    </row>
    <row r="14" spans="1:15" x14ac:dyDescent="0.25">
      <c r="A14" s="71" t="s">
        <v>44</v>
      </c>
      <c r="C14" s="74">
        <v>31</v>
      </c>
      <c r="D14" s="74">
        <v>55</v>
      </c>
      <c r="E14" s="74">
        <v>-5</v>
      </c>
      <c r="F14" s="74">
        <v>37</v>
      </c>
      <c r="G14" s="74">
        <v>46</v>
      </c>
      <c r="H14" s="74">
        <v>22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186</v>
      </c>
    </row>
    <row r="15" spans="1:15" x14ac:dyDescent="0.25">
      <c r="A15" s="71" t="s">
        <v>45</v>
      </c>
      <c r="C15" s="74">
        <v>1</v>
      </c>
      <c r="D15" s="74">
        <v>6</v>
      </c>
      <c r="E15" s="74">
        <v>4</v>
      </c>
      <c r="F15" s="74">
        <v>2</v>
      </c>
      <c r="G15" s="74">
        <v>2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15</v>
      </c>
    </row>
    <row r="16" spans="1:15" x14ac:dyDescent="0.25">
      <c r="A16" s="71" t="s">
        <v>46</v>
      </c>
      <c r="C16" s="74">
        <v>304</v>
      </c>
      <c r="D16" s="74">
        <v>251</v>
      </c>
      <c r="E16" s="74">
        <v>269</v>
      </c>
      <c r="F16" s="74">
        <v>150</v>
      </c>
      <c r="G16" s="74">
        <v>162</v>
      </c>
      <c r="H16" s="74">
        <v>114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1250</v>
      </c>
    </row>
    <row r="17" spans="1:18" x14ac:dyDescent="0.25">
      <c r="A17" s="71" t="s">
        <v>47</v>
      </c>
      <c r="C17" s="74">
        <v>234</v>
      </c>
      <c r="D17" s="74">
        <v>211</v>
      </c>
      <c r="E17" s="74">
        <v>221</v>
      </c>
      <c r="F17" s="74">
        <v>272</v>
      </c>
      <c r="G17" s="74">
        <v>267</v>
      </c>
      <c r="H17" s="74">
        <v>246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1451</v>
      </c>
    </row>
    <row r="18" spans="1:18" x14ac:dyDescent="0.25">
      <c r="A18" s="71" t="s">
        <v>48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8" x14ac:dyDescent="0.25">
      <c r="A19" s="71" t="s">
        <v>49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8" x14ac:dyDescent="0.25">
      <c r="A20" s="71" t="s">
        <v>50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8" x14ac:dyDescent="0.25">
      <c r="A21" s="71" t="s">
        <v>51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8" x14ac:dyDescent="0.25">
      <c r="A22" s="71" t="s">
        <v>52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8" ht="18.75" thickBot="1" x14ac:dyDescent="0.3">
      <c r="A23" s="71" t="s">
        <v>53</v>
      </c>
      <c r="C23" s="79">
        <v>1455</v>
      </c>
      <c r="D23" s="79">
        <v>1322</v>
      </c>
      <c r="E23" s="79">
        <v>1357</v>
      </c>
      <c r="F23" s="79">
        <v>1144</v>
      </c>
      <c r="G23" s="79">
        <v>1157</v>
      </c>
      <c r="H23" s="79">
        <v>1117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7552</v>
      </c>
      <c r="P23" s="86">
        <v>7552</v>
      </c>
      <c r="Q23" s="86">
        <v>0</v>
      </c>
    </row>
    <row r="24" spans="1:18" ht="18.75" thickTop="1" x14ac:dyDescent="0.25">
      <c r="A24" s="71" t="s">
        <v>54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8" x14ac:dyDescent="0.25">
      <c r="A25" s="85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8" x14ac:dyDescent="0.25">
      <c r="A26" s="71" t="s">
        <v>56</v>
      </c>
      <c r="C26" s="74">
        <v>317464.37000000005</v>
      </c>
      <c r="D26" s="74">
        <v>284512.44</v>
      </c>
      <c r="E26" s="74">
        <v>320367.8</v>
      </c>
      <c r="F26" s="74">
        <v>239801.72999999998</v>
      </c>
      <c r="G26" s="74">
        <v>246116.09</v>
      </c>
      <c r="H26" s="74">
        <v>232434.63000000003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1640697.0600000003</v>
      </c>
      <c r="P26" s="86"/>
    </row>
    <row r="27" spans="1:18" x14ac:dyDescent="0.25">
      <c r="A27" s="71" t="s">
        <v>57</v>
      </c>
      <c r="C27" s="74">
        <v>9023.3300000000017</v>
      </c>
      <c r="D27" s="74">
        <v>13865</v>
      </c>
      <c r="E27" s="74">
        <v>16580.849999999999</v>
      </c>
      <c r="F27" s="74">
        <v>12886.7</v>
      </c>
      <c r="G27" s="74">
        <v>11293.740000000002</v>
      </c>
      <c r="H27" s="74">
        <v>7520.7800000000007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71170.400000000009</v>
      </c>
      <c r="P27" s="86"/>
    </row>
    <row r="28" spans="1:18" x14ac:dyDescent="0.25">
      <c r="A28" s="71" t="s">
        <v>58</v>
      </c>
      <c r="C28" s="74">
        <v>-19286.45</v>
      </c>
      <c r="D28" s="74">
        <v>-12846.52</v>
      </c>
      <c r="E28" s="74">
        <v>-15657.45</v>
      </c>
      <c r="F28" s="74">
        <v>-13848.45</v>
      </c>
      <c r="G28" s="74">
        <v>-19700.22</v>
      </c>
      <c r="H28" s="74">
        <v>-7971.95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-89311.039999999994</v>
      </c>
      <c r="P28" s="86"/>
    </row>
    <row r="29" spans="1:18" ht="18.75" thickBot="1" x14ac:dyDescent="0.3">
      <c r="A29" s="71" t="s">
        <v>59</v>
      </c>
      <c r="C29" s="80">
        <v>307201.25000000006</v>
      </c>
      <c r="D29" s="80">
        <v>285530.92</v>
      </c>
      <c r="E29" s="80">
        <v>321291.19999999995</v>
      </c>
      <c r="F29" s="80">
        <v>238839.97999999998</v>
      </c>
      <c r="G29" s="80">
        <v>237709.61</v>
      </c>
      <c r="H29" s="80">
        <v>231983.46000000002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1622556.4200000002</v>
      </c>
      <c r="P29" s="86">
        <v>1622556.4200000002</v>
      </c>
      <c r="Q29" s="86">
        <v>0</v>
      </c>
      <c r="R29" s="87"/>
    </row>
    <row r="30" spans="1:18" ht="18.75" thickTop="1" x14ac:dyDescent="0.25"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8" x14ac:dyDescent="0.25">
      <c r="A31" s="85" t="s">
        <v>60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18" x14ac:dyDescent="0.25">
      <c r="A32" s="71" t="s">
        <v>61</v>
      </c>
      <c r="C32" s="74">
        <v>111478.43000000001</v>
      </c>
      <c r="D32" s="74">
        <v>99019.54</v>
      </c>
      <c r="E32" s="74">
        <v>107632.99999999999</v>
      </c>
      <c r="F32" s="74">
        <v>95426.11</v>
      </c>
      <c r="G32" s="74">
        <v>100597.07000000002</v>
      </c>
      <c r="H32" s="74">
        <v>95351.439999999988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609505.59</v>
      </c>
      <c r="P32" s="86"/>
    </row>
    <row r="33" spans="1:18" x14ac:dyDescent="0.25">
      <c r="A33" s="71" t="s">
        <v>62</v>
      </c>
      <c r="C33" s="74">
        <v>29563.200000000004</v>
      </c>
      <c r="D33" s="74">
        <v>23940.66</v>
      </c>
      <c r="E33" s="74">
        <v>25326.030000000006</v>
      </c>
      <c r="F33" s="74">
        <v>23388.39</v>
      </c>
      <c r="G33" s="74">
        <v>27195.999999999993</v>
      </c>
      <c r="H33" s="74">
        <v>23150.560000000005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152564.84</v>
      </c>
      <c r="P33" s="86"/>
    </row>
    <row r="34" spans="1:18" x14ac:dyDescent="0.25">
      <c r="A34" s="71" t="s">
        <v>57</v>
      </c>
      <c r="C34" s="74">
        <v>34577.969999999987</v>
      </c>
      <c r="D34" s="74">
        <v>27946.44</v>
      </c>
      <c r="E34" s="74">
        <v>36344.620000000003</v>
      </c>
      <c r="F34" s="74">
        <v>24915.5</v>
      </c>
      <c r="G34" s="74">
        <v>26657.680000000008</v>
      </c>
      <c r="H34" s="74">
        <v>25307.699999999993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175749.91</v>
      </c>
      <c r="P34" s="86"/>
    </row>
    <row r="35" spans="1:18" x14ac:dyDescent="0.25">
      <c r="A35" s="71" t="s">
        <v>63</v>
      </c>
      <c r="C35" s="74">
        <v>2578.5899999999997</v>
      </c>
      <c r="D35" s="74">
        <v>1483.28</v>
      </c>
      <c r="E35" s="74">
        <v>1424.8999999999999</v>
      </c>
      <c r="F35" s="74">
        <v>935.9</v>
      </c>
      <c r="G35" s="74">
        <v>1416.98</v>
      </c>
      <c r="H35" s="74">
        <v>1035.44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8875.09</v>
      </c>
      <c r="P35" s="86"/>
    </row>
    <row r="36" spans="1:18" x14ac:dyDescent="0.25">
      <c r="A36" s="71" t="s">
        <v>64</v>
      </c>
      <c r="C36" s="74">
        <v>17889.829999999998</v>
      </c>
      <c r="D36" s="74">
        <v>13869.399999999998</v>
      </c>
      <c r="E36" s="74">
        <v>13221.029999999999</v>
      </c>
      <c r="F36" s="74">
        <v>9917.2099999999991</v>
      </c>
      <c r="G36" s="74">
        <v>13267.16</v>
      </c>
      <c r="H36" s="74">
        <v>10074.39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78239.01999999999</v>
      </c>
      <c r="P36" s="86"/>
    </row>
    <row r="37" spans="1:18" x14ac:dyDescent="0.25">
      <c r="A37" s="71" t="s">
        <v>65</v>
      </c>
      <c r="C37" s="74">
        <v>16369.580000000002</v>
      </c>
      <c r="D37" s="74">
        <v>18999.270000000004</v>
      </c>
      <c r="E37" s="74">
        <v>19730.780000000002</v>
      </c>
      <c r="F37" s="74">
        <v>13753.519999999999</v>
      </c>
      <c r="G37" s="74">
        <v>16950.62</v>
      </c>
      <c r="H37" s="74">
        <v>15646.91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101450.68000000001</v>
      </c>
      <c r="P37" s="86"/>
    </row>
    <row r="38" spans="1:18" x14ac:dyDescent="0.25">
      <c r="A38" s="71" t="s">
        <v>66</v>
      </c>
      <c r="C38" s="74">
        <v>70777.790000000008</v>
      </c>
      <c r="D38" s="74">
        <v>65116.87</v>
      </c>
      <c r="E38" s="74">
        <v>67383.680000000008</v>
      </c>
      <c r="F38" s="74">
        <v>60846.23</v>
      </c>
      <c r="G38" s="74">
        <v>81053.950000000012</v>
      </c>
      <c r="H38" s="74">
        <v>58457.14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403635.66000000003</v>
      </c>
      <c r="P38" s="86"/>
    </row>
    <row r="39" spans="1:18" x14ac:dyDescent="0.25">
      <c r="A39" s="71" t="s">
        <v>67</v>
      </c>
      <c r="C39" s="74">
        <v>83023.48</v>
      </c>
      <c r="D39" s="74">
        <v>82469.929999999993</v>
      </c>
      <c r="E39" s="74">
        <v>91301.440000000002</v>
      </c>
      <c r="F39" s="74">
        <v>84037.45</v>
      </c>
      <c r="G39" s="74">
        <v>84579.91</v>
      </c>
      <c r="H39" s="74">
        <v>83268.310000000012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508680.51999999996</v>
      </c>
      <c r="P39" s="86"/>
    </row>
    <row r="40" spans="1:18" ht="18.75" thickBot="1" x14ac:dyDescent="0.3">
      <c r="A40" s="71" t="s">
        <v>68</v>
      </c>
      <c r="C40" s="80">
        <v>366258.87</v>
      </c>
      <c r="D40" s="80">
        <v>332845.38999999996</v>
      </c>
      <c r="E40" s="80">
        <v>362365.48</v>
      </c>
      <c r="F40" s="80">
        <v>313220.31</v>
      </c>
      <c r="G40" s="80">
        <v>351719.37</v>
      </c>
      <c r="H40" s="80">
        <v>312291.88999999996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2038701.31</v>
      </c>
      <c r="P40" s="86">
        <v>2038701.31</v>
      </c>
      <c r="Q40" s="86">
        <v>0</v>
      </c>
    </row>
    <row r="41" spans="1:18" ht="19.5" thickTop="1" thickBot="1" x14ac:dyDescent="0.3">
      <c r="A41" s="85" t="s">
        <v>69</v>
      </c>
      <c r="B41" s="85"/>
      <c r="C41" s="81">
        <v>-59057.619999999937</v>
      </c>
      <c r="D41" s="81">
        <v>-47314.469999999972</v>
      </c>
      <c r="E41" s="81">
        <v>-41074.280000000028</v>
      </c>
      <c r="F41" s="81">
        <v>-74380.330000000016</v>
      </c>
      <c r="G41" s="81">
        <v>-114009.76000000001</v>
      </c>
      <c r="H41" s="81">
        <v>-80308.429999999935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-416144.8899999999</v>
      </c>
      <c r="P41" s="86">
        <v>-416144.8899999999</v>
      </c>
      <c r="Q41" s="86">
        <v>0</v>
      </c>
      <c r="R41" s="87"/>
    </row>
    <row r="42" spans="1:18" ht="18.75" thickTop="1" x14ac:dyDescent="0.25">
      <c r="C42" s="74"/>
      <c r="D42" s="74"/>
      <c r="E42" s="74"/>
      <c r="F42" s="74"/>
      <c r="G42" s="74"/>
      <c r="H42" s="75"/>
      <c r="I42" s="74"/>
      <c r="J42" s="74"/>
      <c r="K42" s="74"/>
      <c r="L42" s="74"/>
      <c r="M42" s="74"/>
      <c r="N42" s="74"/>
      <c r="O42" s="74"/>
    </row>
    <row r="43" spans="1:18" x14ac:dyDescent="0.25">
      <c r="A43" s="71" t="s">
        <v>12</v>
      </c>
      <c r="C43" s="74">
        <v>37446.780000000057</v>
      </c>
      <c r="D43" s="74">
        <v>46748.210000000021</v>
      </c>
      <c r="E43" s="74">
        <v>61045.529999999977</v>
      </c>
      <c r="F43" s="74">
        <v>19427.259999999984</v>
      </c>
      <c r="G43" s="74">
        <v>-19828.710000000006</v>
      </c>
      <c r="H43" s="76">
        <v>12423.520000000064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157262.59000000014</v>
      </c>
      <c r="P43" s="71">
        <v>157262.59000000017</v>
      </c>
      <c r="Q43" s="71">
        <v>0</v>
      </c>
    </row>
    <row r="44" spans="1:18" x14ac:dyDescent="0.25">
      <c r="B44" s="84"/>
      <c r="C44" s="74"/>
      <c r="D44" s="74"/>
      <c r="E44" s="74"/>
      <c r="F44" s="74"/>
      <c r="G44" s="74"/>
      <c r="H44" s="77" t="s">
        <v>505</v>
      </c>
      <c r="I44" s="74"/>
      <c r="J44" s="74"/>
      <c r="K44" s="74"/>
      <c r="L44" s="74"/>
      <c r="M44" s="74"/>
      <c r="N44" s="74"/>
      <c r="O44" s="74"/>
    </row>
    <row r="45" spans="1:18" x14ac:dyDescent="0.25">
      <c r="B45" s="84"/>
      <c r="C45" s="74"/>
      <c r="D45" s="74"/>
      <c r="E45" s="74"/>
      <c r="F45" s="74"/>
      <c r="G45" s="74"/>
      <c r="H45" s="75" t="s">
        <v>70</v>
      </c>
      <c r="I45" s="74"/>
      <c r="J45" s="74"/>
      <c r="K45" s="74"/>
      <c r="L45" s="74"/>
      <c r="M45" s="74"/>
      <c r="N45" s="74"/>
      <c r="O45" s="74"/>
    </row>
    <row r="46" spans="1:18" x14ac:dyDescent="0.25">
      <c r="C46" s="78"/>
      <c r="D46" s="78"/>
      <c r="E46" s="78"/>
      <c r="F46" s="78"/>
      <c r="G46" s="78"/>
      <c r="H46" s="78">
        <v>2022</v>
      </c>
      <c r="I46" s="78"/>
      <c r="J46" s="78"/>
      <c r="K46" s="78"/>
      <c r="L46" s="78"/>
      <c r="M46" s="78"/>
      <c r="N46" s="78"/>
      <c r="O46" s="78"/>
    </row>
    <row r="47" spans="1:18" x14ac:dyDescent="0.25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8" x14ac:dyDescent="0.25">
      <c r="B48" s="82"/>
      <c r="C48" s="74" t="s">
        <v>25</v>
      </c>
      <c r="D48" s="74" t="s">
        <v>26</v>
      </c>
      <c r="E48" s="74" t="s">
        <v>27</v>
      </c>
      <c r="F48" s="74" t="s">
        <v>28</v>
      </c>
      <c r="G48" s="74" t="s">
        <v>29</v>
      </c>
      <c r="H48" s="74" t="s">
        <v>30</v>
      </c>
      <c r="I48" s="74" t="s">
        <v>31</v>
      </c>
      <c r="J48" s="74" t="s">
        <v>32</v>
      </c>
      <c r="K48" s="74" t="s">
        <v>33</v>
      </c>
      <c r="L48" s="74" t="s">
        <v>34</v>
      </c>
      <c r="M48" s="74" t="s">
        <v>35</v>
      </c>
      <c r="N48" s="74" t="s">
        <v>36</v>
      </c>
      <c r="O48" s="74" t="s">
        <v>37</v>
      </c>
    </row>
    <row r="49" spans="1:15" x14ac:dyDescent="0.25">
      <c r="A49" s="71" t="s">
        <v>71</v>
      </c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1" t="s">
        <v>72</v>
      </c>
      <c r="B50" s="82"/>
      <c r="C50" s="74">
        <v>123890.62</v>
      </c>
      <c r="D50" s="74">
        <v>123726.96</v>
      </c>
      <c r="E50" s="74">
        <v>134855.84</v>
      </c>
      <c r="F50" s="74">
        <v>102287.5</v>
      </c>
      <c r="G50" s="74">
        <v>101469.2</v>
      </c>
      <c r="H50" s="74">
        <v>110470.5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696700.62</v>
      </c>
    </row>
    <row r="51" spans="1:15" x14ac:dyDescent="0.25">
      <c r="A51" s="71" t="s">
        <v>73</v>
      </c>
      <c r="B51" s="82"/>
      <c r="C51" s="74">
        <v>5073.46</v>
      </c>
      <c r="D51" s="74">
        <v>8847.82</v>
      </c>
      <c r="E51" s="74">
        <v>-30093.08</v>
      </c>
      <c r="F51" s="74">
        <v>6873.72</v>
      </c>
      <c r="G51" s="74">
        <v>7528.36</v>
      </c>
      <c r="H51" s="74">
        <v>3600.52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1830.7999999999979</v>
      </c>
    </row>
    <row r="52" spans="1:15" x14ac:dyDescent="0.25">
      <c r="A52" s="71" t="s">
        <v>74</v>
      </c>
      <c r="B52" s="82"/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5">
      <c r="A53" s="71" t="s">
        <v>75</v>
      </c>
      <c r="B53" s="82"/>
      <c r="C53" s="74">
        <v>0</v>
      </c>
      <c r="D53" s="74">
        <v>0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5">
      <c r="A54" s="71" t="s">
        <v>76</v>
      </c>
      <c r="B54" s="82"/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5">
      <c r="A55" s="71" t="s">
        <v>77</v>
      </c>
      <c r="B55" s="82"/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5">
      <c r="A56" s="71" t="s">
        <v>78</v>
      </c>
      <c r="B56" s="82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5">
      <c r="A57" s="71" t="s">
        <v>79</v>
      </c>
      <c r="B57" s="82"/>
      <c r="C57" s="74">
        <v>0</v>
      </c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5">
      <c r="A58" s="71" t="s">
        <v>80</v>
      </c>
      <c r="B58" s="82"/>
      <c r="C58" s="74">
        <v>0</v>
      </c>
      <c r="D58" s="74">
        <v>15792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15792</v>
      </c>
    </row>
    <row r="59" spans="1:15" x14ac:dyDescent="0.25">
      <c r="A59" s="71" t="s">
        <v>81</v>
      </c>
      <c r="B59" s="82"/>
      <c r="C59" s="74">
        <v>0</v>
      </c>
      <c r="D59" s="74">
        <v>0</v>
      </c>
      <c r="E59" s="74">
        <v>2468.86</v>
      </c>
      <c r="F59" s="74">
        <v>-2468.86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5">
      <c r="A60" s="71" t="s">
        <v>82</v>
      </c>
      <c r="B60" s="82"/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5">
      <c r="A61" s="71" t="s">
        <v>83</v>
      </c>
      <c r="B61" s="82"/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5">
      <c r="A62" s="71" t="s">
        <v>84</v>
      </c>
      <c r="B62" s="82"/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5">
      <c r="A63" s="71" t="s">
        <v>85</v>
      </c>
      <c r="B63" s="82"/>
      <c r="C63" s="74">
        <v>122000</v>
      </c>
      <c r="D63" s="74">
        <v>66400</v>
      </c>
      <c r="E63" s="74">
        <v>102800</v>
      </c>
      <c r="F63" s="74">
        <v>60000</v>
      </c>
      <c r="G63" s="74">
        <v>64800</v>
      </c>
      <c r="H63" s="74">
        <v>45600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461600</v>
      </c>
    </row>
    <row r="64" spans="1:15" x14ac:dyDescent="0.25">
      <c r="A64" s="71" t="s">
        <v>86</v>
      </c>
      <c r="B64" s="82"/>
      <c r="C64" s="74">
        <v>21075.47</v>
      </c>
      <c r="D64" s="74">
        <v>10894.76</v>
      </c>
      <c r="E64" s="74">
        <v>22314.53</v>
      </c>
      <c r="F64" s="74">
        <v>13827.15</v>
      </c>
      <c r="G64" s="74">
        <v>13007.34</v>
      </c>
      <c r="H64" s="74">
        <v>9781.93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90901.18</v>
      </c>
    </row>
    <row r="65" spans="1:15" x14ac:dyDescent="0.25">
      <c r="A65" s="71" t="s">
        <v>87</v>
      </c>
      <c r="B65" s="82"/>
      <c r="C65" s="74">
        <v>28257.02</v>
      </c>
      <c r="D65" s="74">
        <v>-7418.48</v>
      </c>
      <c r="E65" s="74">
        <v>27313.69</v>
      </c>
      <c r="F65" s="74">
        <v>19257.03</v>
      </c>
      <c r="G65" s="74">
        <v>20295.7</v>
      </c>
      <c r="H65" s="74">
        <v>14943.97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102648.93</v>
      </c>
    </row>
    <row r="66" spans="1:15" x14ac:dyDescent="0.25">
      <c r="A66" s="71" t="s">
        <v>88</v>
      </c>
      <c r="B66" s="82"/>
      <c r="C66" s="74">
        <v>25880.2</v>
      </c>
      <c r="D66" s="74">
        <v>-6928.87</v>
      </c>
      <c r="E66" s="74">
        <v>27573.98</v>
      </c>
      <c r="F66" s="74">
        <v>17396.55</v>
      </c>
      <c r="G66" s="74">
        <v>17891.189999999999</v>
      </c>
      <c r="H66" s="74">
        <v>15037.94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96850.99</v>
      </c>
    </row>
    <row r="67" spans="1:15" x14ac:dyDescent="0.25">
      <c r="A67" s="71" t="s">
        <v>89</v>
      </c>
      <c r="B67" s="82"/>
      <c r="C67" s="74">
        <v>12792.54</v>
      </c>
      <c r="D67" s="74">
        <v>1751.7</v>
      </c>
      <c r="E67" s="74">
        <v>3409.72</v>
      </c>
      <c r="F67" s="74">
        <v>121.35</v>
      </c>
      <c r="G67" s="74">
        <v>1356.96</v>
      </c>
      <c r="H67" s="74">
        <v>3902.26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23334.53</v>
      </c>
    </row>
    <row r="68" spans="1:15" x14ac:dyDescent="0.25">
      <c r="A68" s="71" t="s">
        <v>90</v>
      </c>
      <c r="B68" s="82"/>
      <c r="C68" s="74">
        <v>0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5">
      <c r="A69" s="71" t="s">
        <v>91</v>
      </c>
      <c r="B69" s="82"/>
      <c r="C69" s="74">
        <v>0</v>
      </c>
      <c r="D69" s="74">
        <v>-139.24</v>
      </c>
      <c r="E69" s="74">
        <v>4623.05</v>
      </c>
      <c r="F69" s="74">
        <v>0</v>
      </c>
      <c r="G69" s="74">
        <v>2536.69</v>
      </c>
      <c r="H69" s="74">
        <v>3392.41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10412.91</v>
      </c>
    </row>
    <row r="70" spans="1:15" x14ac:dyDescent="0.25">
      <c r="A70" s="71" t="s">
        <v>92</v>
      </c>
      <c r="B70" s="82"/>
      <c r="C70" s="74">
        <v>0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5">
      <c r="A71" s="71" t="s">
        <v>93</v>
      </c>
      <c r="B71" s="82"/>
      <c r="C71" s="74">
        <v>0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5">
      <c r="A72" s="71" t="s">
        <v>94</v>
      </c>
      <c r="B72" s="82"/>
      <c r="C72" s="74">
        <v>0</v>
      </c>
      <c r="D72" s="74">
        <v>-137.07</v>
      </c>
      <c r="E72" s="74">
        <v>0</v>
      </c>
      <c r="F72" s="74">
        <v>0</v>
      </c>
      <c r="G72" s="74">
        <v>167.56</v>
      </c>
      <c r="H72" s="74">
        <v>175.76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206.25</v>
      </c>
    </row>
    <row r="73" spans="1:15" x14ac:dyDescent="0.25">
      <c r="A73" s="71" t="s">
        <v>95</v>
      </c>
      <c r="B73" s="82"/>
      <c r="C73" s="74">
        <v>0</v>
      </c>
      <c r="D73" s="74">
        <v>0</v>
      </c>
      <c r="E73" s="74">
        <v>0</v>
      </c>
      <c r="F73" s="74">
        <v>288</v>
      </c>
      <c r="G73" s="74">
        <v>346.5</v>
      </c>
      <c r="H73" s="74">
        <v>346.5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981</v>
      </c>
    </row>
    <row r="74" spans="1:15" x14ac:dyDescent="0.25">
      <c r="A74" s="71" t="s">
        <v>96</v>
      </c>
      <c r="B74" s="82"/>
      <c r="C74" s="74">
        <v>0</v>
      </c>
      <c r="D74" s="74">
        <v>0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5">
      <c r="A75" s="71" t="s">
        <v>479</v>
      </c>
      <c r="B75" s="82"/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5">
      <c r="A76" s="71" t="s">
        <v>97</v>
      </c>
      <c r="B76" s="82"/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5">
      <c r="A77" s="71" t="s">
        <v>480</v>
      </c>
      <c r="B77" s="82"/>
      <c r="C77" s="74">
        <v>10480</v>
      </c>
      <c r="D77" s="74">
        <v>10480</v>
      </c>
      <c r="E77" s="74">
        <v>15720</v>
      </c>
      <c r="F77" s="74">
        <v>10430</v>
      </c>
      <c r="G77" s="74">
        <v>10380</v>
      </c>
      <c r="H77" s="74">
        <v>10380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67870</v>
      </c>
    </row>
    <row r="78" spans="1:15" x14ac:dyDescent="0.25">
      <c r="A78" s="71" t="s">
        <v>99</v>
      </c>
      <c r="B78" s="82"/>
      <c r="C78" s="74">
        <v>-66929.759999999995</v>
      </c>
      <c r="D78" s="74">
        <v>12871.96</v>
      </c>
      <c r="E78" s="74">
        <v>-62920.44</v>
      </c>
      <c r="F78" s="74">
        <v>-37062.93</v>
      </c>
      <c r="G78" s="74">
        <v>-42594.6</v>
      </c>
      <c r="H78" s="74">
        <v>-37798.839999999997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-234434.61</v>
      </c>
    </row>
    <row r="79" spans="1:15" x14ac:dyDescent="0.25">
      <c r="A79" s="71" t="s">
        <v>100</v>
      </c>
      <c r="B79" s="82"/>
      <c r="C79" s="74">
        <v>-0.24</v>
      </c>
      <c r="D79" s="74">
        <v>762.31</v>
      </c>
      <c r="E79" s="74">
        <v>0</v>
      </c>
      <c r="F79" s="74">
        <v>0.2</v>
      </c>
      <c r="G79" s="74">
        <v>-0.09</v>
      </c>
      <c r="H79" s="74">
        <v>5.35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767.53</v>
      </c>
    </row>
    <row r="80" spans="1:15" x14ac:dyDescent="0.25">
      <c r="A80" s="71" t="s">
        <v>101</v>
      </c>
      <c r="B80" s="82"/>
      <c r="C80" s="74">
        <v>0</v>
      </c>
      <c r="D80" s="74">
        <v>0</v>
      </c>
      <c r="E80" s="74">
        <v>0</v>
      </c>
      <c r="F80" s="74">
        <v>0</v>
      </c>
      <c r="G80" s="74">
        <v>-474.42</v>
      </c>
      <c r="H80" s="74">
        <v>-649.03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-1123.45</v>
      </c>
    </row>
    <row r="81" spans="1:15" x14ac:dyDescent="0.25">
      <c r="A81" s="71" t="s">
        <v>475</v>
      </c>
      <c r="B81" s="82"/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5">
      <c r="A82" s="71" t="s">
        <v>102</v>
      </c>
      <c r="B82" s="82"/>
      <c r="C82" s="74">
        <v>-664</v>
      </c>
      <c r="D82" s="74">
        <v>13818</v>
      </c>
      <c r="E82" s="74">
        <v>31606</v>
      </c>
      <c r="F82" s="74">
        <v>10482</v>
      </c>
      <c r="G82" s="74">
        <v>11222</v>
      </c>
      <c r="H82" s="74">
        <v>11100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77564</v>
      </c>
    </row>
    <row r="83" spans="1:15" x14ac:dyDescent="0.25">
      <c r="A83" s="71" t="s">
        <v>103</v>
      </c>
      <c r="B83" s="82"/>
      <c r="C83" s="74">
        <v>0</v>
      </c>
      <c r="D83" s="74">
        <v>0</v>
      </c>
      <c r="E83" s="74">
        <v>18621.66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18621.66</v>
      </c>
    </row>
    <row r="84" spans="1:15" x14ac:dyDescent="0.25">
      <c r="A84" s="71" t="s">
        <v>481</v>
      </c>
      <c r="B84" s="82"/>
      <c r="C84" s="74">
        <v>-5108.51</v>
      </c>
      <c r="D84" s="74">
        <v>-3918.21</v>
      </c>
      <c r="E84" s="74">
        <v>-17527.77</v>
      </c>
      <c r="F84" s="74">
        <v>-8385.7000000000007</v>
      </c>
      <c r="G84" s="74">
        <v>-6150.06</v>
      </c>
      <c r="H84" s="74">
        <v>-1505.2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-42595.45</v>
      </c>
    </row>
    <row r="85" spans="1:15" x14ac:dyDescent="0.25">
      <c r="A85" s="71" t="s">
        <v>482</v>
      </c>
      <c r="B85" s="82"/>
      <c r="C85" s="74">
        <v>0</v>
      </c>
      <c r="D85" s="74">
        <v>0</v>
      </c>
      <c r="E85" s="74">
        <v>652.32000000000005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652.32000000000005</v>
      </c>
    </row>
    <row r="86" spans="1:15" x14ac:dyDescent="0.25">
      <c r="A86" s="71" t="s">
        <v>483</v>
      </c>
      <c r="B86" s="82"/>
      <c r="C86" s="74">
        <v>3180</v>
      </c>
      <c r="D86" s="74">
        <v>3180</v>
      </c>
      <c r="E86" s="74">
        <v>3180</v>
      </c>
      <c r="F86" s="74">
        <v>2650</v>
      </c>
      <c r="G86" s="74">
        <v>1060</v>
      </c>
      <c r="H86" s="74">
        <v>3710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16960</v>
      </c>
    </row>
    <row r="87" spans="1:15" x14ac:dyDescent="0.25">
      <c r="A87" s="71" t="s">
        <v>105</v>
      </c>
      <c r="B87" s="82"/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5">
      <c r="A88" s="71" t="s">
        <v>484</v>
      </c>
      <c r="B88" s="82"/>
      <c r="C88" s="74">
        <v>0</v>
      </c>
      <c r="D88" s="74">
        <v>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5">
      <c r="A89" s="71" t="s">
        <v>485</v>
      </c>
      <c r="B89" s="82"/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5">
      <c r="A90" s="71" t="s">
        <v>106</v>
      </c>
      <c r="B90" s="82"/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5">
      <c r="A91" s="71" t="s">
        <v>107</v>
      </c>
      <c r="B91" s="82"/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5">
      <c r="A92" s="71" t="s">
        <v>108</v>
      </c>
      <c r="B92" s="82"/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5">
      <c r="A93" s="71" t="s">
        <v>109</v>
      </c>
      <c r="B93" s="82"/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5">
      <c r="A94" s="71" t="s">
        <v>110</v>
      </c>
      <c r="B94" s="82"/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5">
      <c r="A95" s="71" t="s">
        <v>111</v>
      </c>
      <c r="B95" s="82"/>
      <c r="C95" s="74">
        <v>38061.82</v>
      </c>
      <c r="D95" s="74">
        <v>34528.800000000003</v>
      </c>
      <c r="E95" s="74">
        <v>35772.720000000001</v>
      </c>
      <c r="F95" s="74">
        <v>44105.72</v>
      </c>
      <c r="G95" s="74">
        <v>43273.760000000002</v>
      </c>
      <c r="H95" s="74">
        <v>39940.559999999998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235683.38</v>
      </c>
    </row>
    <row r="96" spans="1:15" x14ac:dyDescent="0.25">
      <c r="A96" s="71" t="s">
        <v>112</v>
      </c>
      <c r="B96" s="82"/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6" x14ac:dyDescent="0.25">
      <c r="A97" s="71" t="s">
        <v>113</v>
      </c>
      <c r="B97" s="82"/>
      <c r="C97" s="74">
        <v>0</v>
      </c>
      <c r="D97" s="74">
        <v>0</v>
      </c>
      <c r="E97" s="74">
        <v>-3.28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-3.28</v>
      </c>
    </row>
    <row r="98" spans="1:16" x14ac:dyDescent="0.25">
      <c r="A98" s="71" t="s">
        <v>114</v>
      </c>
      <c r="B98" s="82"/>
      <c r="C98" s="74">
        <v>-524.25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-524.25</v>
      </c>
    </row>
    <row r="99" spans="1:16" x14ac:dyDescent="0.25">
      <c r="A99" s="71" t="s">
        <v>115</v>
      </c>
      <c r="B99" s="82"/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6" x14ac:dyDescent="0.25">
      <c r="A100" s="71" t="s">
        <v>116</v>
      </c>
      <c r="B100" s="82"/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6" x14ac:dyDescent="0.25">
      <c r="A101" s="71" t="s">
        <v>117</v>
      </c>
      <c r="B101" s="82"/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6" x14ac:dyDescent="0.25">
      <c r="A102" s="71" t="s">
        <v>118</v>
      </c>
      <c r="B102" s="82"/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6" x14ac:dyDescent="0.25">
      <c r="A103" s="71" t="s">
        <v>119</v>
      </c>
      <c r="B103" s="82"/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6" x14ac:dyDescent="0.25">
      <c r="A104" s="71" t="s">
        <v>120</v>
      </c>
      <c r="B104" s="82"/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6" x14ac:dyDescent="0.25">
      <c r="A105" s="71" t="s">
        <v>121</v>
      </c>
      <c r="B105" s="82"/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6" x14ac:dyDescent="0.25">
      <c r="A106" s="71" t="s">
        <v>122</v>
      </c>
      <c r="B106" s="82"/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6" x14ac:dyDescent="0.25">
      <c r="A107" s="71" t="s">
        <v>123</v>
      </c>
      <c r="B107" s="82"/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6" x14ac:dyDescent="0.25">
      <c r="A108" s="71" t="s">
        <v>124</v>
      </c>
      <c r="B108" s="82"/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6" x14ac:dyDescent="0.25">
      <c r="A109" s="71" t="s">
        <v>125</v>
      </c>
      <c r="B109" s="82"/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6"/>
    </row>
    <row r="110" spans="1:16" x14ac:dyDescent="0.25">
      <c r="A110" s="71" t="s">
        <v>126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6" x14ac:dyDescent="0.25">
      <c r="A111" s="71" t="s">
        <v>127</v>
      </c>
      <c r="C111" s="74">
        <v>317464.37000000005</v>
      </c>
      <c r="D111" s="74">
        <v>284512.44</v>
      </c>
      <c r="E111" s="74">
        <v>320367.79999999993</v>
      </c>
      <c r="F111" s="74">
        <v>239801.72999999998</v>
      </c>
      <c r="G111" s="74">
        <v>246116.09</v>
      </c>
      <c r="H111" s="74">
        <v>232434.63000000003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1640697.0599999998</v>
      </c>
      <c r="P111" s="71">
        <v>0</v>
      </c>
    </row>
    <row r="112" spans="1:16" x14ac:dyDescent="0.25">
      <c r="A112" s="71" t="s">
        <v>54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 x14ac:dyDescent="0.25">
      <c r="A113" s="71" t="s">
        <v>128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 x14ac:dyDescent="0.25">
      <c r="A114" s="71" t="s">
        <v>129</v>
      </c>
      <c r="B114" s="74"/>
      <c r="C114" s="74">
        <v>3458.9</v>
      </c>
      <c r="D114" s="74">
        <v>9001.89</v>
      </c>
      <c r="E114" s="74">
        <v>1286.3599999999999</v>
      </c>
      <c r="F114" s="74">
        <v>5507.68</v>
      </c>
      <c r="G114" s="74">
        <v>6772.25</v>
      </c>
      <c r="H114" s="74">
        <v>6436.58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32463.660000000003</v>
      </c>
    </row>
    <row r="115" spans="1:15" x14ac:dyDescent="0.25">
      <c r="A115" s="71" t="s">
        <v>130</v>
      </c>
      <c r="B115" s="74"/>
      <c r="C115" s="74">
        <v>2300.13</v>
      </c>
      <c r="D115" s="74">
        <v>9398.7900000000009</v>
      </c>
      <c r="E115" s="74">
        <v>1323.63</v>
      </c>
      <c r="F115" s="74">
        <v>2950.2</v>
      </c>
      <c r="G115" s="74">
        <v>2433.02</v>
      </c>
      <c r="H115" s="74">
        <v>2711.28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21117.050000000003</v>
      </c>
    </row>
    <row r="116" spans="1:15" x14ac:dyDescent="0.25">
      <c r="A116" s="71" t="s">
        <v>131</v>
      </c>
      <c r="B116" s="74"/>
      <c r="C116" s="74">
        <v>727.5</v>
      </c>
      <c r="D116" s="74">
        <v>0</v>
      </c>
      <c r="E116" s="74">
        <v>0</v>
      </c>
      <c r="F116" s="74">
        <v>0</v>
      </c>
      <c r="G116" s="74">
        <v>606.45000000000005</v>
      </c>
      <c r="H116" s="74">
        <v>3031.45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4365.3999999999996</v>
      </c>
    </row>
    <row r="117" spans="1:15" x14ac:dyDescent="0.25">
      <c r="A117" s="71" t="s">
        <v>486</v>
      </c>
      <c r="B117" s="74"/>
      <c r="C117" s="74">
        <v>0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5">
      <c r="A118" s="71" t="s">
        <v>132</v>
      </c>
      <c r="B118" s="74"/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5">
      <c r="A119" s="71" t="s">
        <v>133</v>
      </c>
      <c r="B119" s="74"/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5">
      <c r="A120" s="71" t="s">
        <v>134</v>
      </c>
      <c r="B120" s="74"/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5">
      <c r="A121" s="71" t="s">
        <v>487</v>
      </c>
      <c r="B121" s="74"/>
      <c r="C121" s="74">
        <v>0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5">
      <c r="A122" s="71" t="s">
        <v>135</v>
      </c>
      <c r="B122" s="74"/>
      <c r="C122" s="74">
        <v>-2884.06</v>
      </c>
      <c r="D122" s="74">
        <v>-8354.26</v>
      </c>
      <c r="E122" s="74">
        <v>-1210.6099999999999</v>
      </c>
      <c r="F122" s="74">
        <v>-3956.87</v>
      </c>
      <c r="G122" s="74">
        <v>-4690.18</v>
      </c>
      <c r="H122" s="74">
        <v>-5340.56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-26436.54</v>
      </c>
    </row>
    <row r="123" spans="1:15" x14ac:dyDescent="0.25">
      <c r="A123" s="71" t="s">
        <v>136</v>
      </c>
      <c r="B123" s="74"/>
      <c r="C123" s="74">
        <v>0</v>
      </c>
      <c r="D123" s="74">
        <v>-373.15</v>
      </c>
      <c r="E123" s="74">
        <v>1.1299999999999999</v>
      </c>
      <c r="F123" s="74">
        <v>-0.01</v>
      </c>
      <c r="G123" s="74">
        <v>-1.1299999999999999</v>
      </c>
      <c r="H123" s="74">
        <v>13.3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-359.85999999999996</v>
      </c>
    </row>
    <row r="124" spans="1:15" x14ac:dyDescent="0.25">
      <c r="A124" s="71" t="s">
        <v>137</v>
      </c>
      <c r="B124" s="74"/>
      <c r="C124" s="74">
        <v>0</v>
      </c>
      <c r="D124" s="74">
        <v>0</v>
      </c>
      <c r="E124" s="74">
        <v>0</v>
      </c>
      <c r="F124" s="74">
        <v>0</v>
      </c>
      <c r="G124" s="74">
        <v>-21.6</v>
      </c>
      <c r="H124" s="74">
        <v>-40.380000000000003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-61.980000000000004</v>
      </c>
    </row>
    <row r="125" spans="1:15" x14ac:dyDescent="0.25">
      <c r="A125" s="71" t="s">
        <v>138</v>
      </c>
      <c r="B125" s="74"/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5">
      <c r="A126" s="71" t="s">
        <v>488</v>
      </c>
      <c r="B126" s="74"/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5">
      <c r="A127" s="71" t="s">
        <v>489</v>
      </c>
      <c r="B127" s="74"/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5">
      <c r="A128" s="71" t="s">
        <v>490</v>
      </c>
      <c r="B128" s="74"/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6" x14ac:dyDescent="0.25">
      <c r="A129" s="71" t="s">
        <v>491</v>
      </c>
      <c r="B129" s="74"/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-1039.98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-1039.98</v>
      </c>
    </row>
    <row r="130" spans="1:16" x14ac:dyDescent="0.25">
      <c r="A130" s="71" t="s">
        <v>139</v>
      </c>
      <c r="B130" s="74"/>
      <c r="C130" s="74">
        <v>2959.2</v>
      </c>
      <c r="D130" s="74">
        <v>2505.56</v>
      </c>
      <c r="E130" s="74">
        <v>5336.63</v>
      </c>
      <c r="F130" s="74">
        <v>3090.85</v>
      </c>
      <c r="G130" s="74">
        <v>2926.17</v>
      </c>
      <c r="H130" s="74">
        <v>234.39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17052.8</v>
      </c>
    </row>
    <row r="131" spans="1:16" x14ac:dyDescent="0.25">
      <c r="A131" s="71" t="s">
        <v>140</v>
      </c>
      <c r="C131" s="83">
        <v>1491.56</v>
      </c>
      <c r="D131" s="83">
        <v>2656.27</v>
      </c>
      <c r="E131" s="83">
        <v>5428.83</v>
      </c>
      <c r="F131" s="83">
        <v>3233.5</v>
      </c>
      <c r="G131" s="83">
        <v>3268.76</v>
      </c>
      <c r="H131" s="83">
        <v>745.66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16824.580000000002</v>
      </c>
      <c r="P131" s="86"/>
    </row>
    <row r="132" spans="1:16" x14ac:dyDescent="0.25">
      <c r="A132" s="71" t="s">
        <v>141</v>
      </c>
      <c r="C132" s="74">
        <v>970.1</v>
      </c>
      <c r="D132" s="74">
        <v>-970.1</v>
      </c>
      <c r="E132" s="74">
        <v>4414.88</v>
      </c>
      <c r="F132" s="74">
        <v>2061.35</v>
      </c>
      <c r="G132" s="74">
        <v>0</v>
      </c>
      <c r="H132" s="74">
        <v>769.04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7245.2699999999995</v>
      </c>
    </row>
    <row r="133" spans="1:16" x14ac:dyDescent="0.25">
      <c r="A133" s="71" t="s">
        <v>142</v>
      </c>
      <c r="C133" s="74">
        <v>9023.33</v>
      </c>
      <c r="D133" s="74">
        <v>13865</v>
      </c>
      <c r="E133" s="74">
        <v>16580.850000000002</v>
      </c>
      <c r="F133" s="74">
        <v>12886.7</v>
      </c>
      <c r="G133" s="74">
        <v>11293.740000000002</v>
      </c>
      <c r="H133" s="74">
        <v>7520.7800000000007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71170.400000000009</v>
      </c>
      <c r="P133" s="71">
        <v>0</v>
      </c>
    </row>
    <row r="134" spans="1:16" x14ac:dyDescent="0.25">
      <c r="A134" s="71" t="s">
        <v>54</v>
      </c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6" x14ac:dyDescent="0.25">
      <c r="A135" s="71" t="s">
        <v>143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6" x14ac:dyDescent="0.25">
      <c r="A136" s="71" t="s">
        <v>144</v>
      </c>
      <c r="B136" s="74"/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6" x14ac:dyDescent="0.25">
      <c r="A137" s="71" t="s">
        <v>145</v>
      </c>
      <c r="B137" s="74"/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6" x14ac:dyDescent="0.25">
      <c r="A138" s="71" t="s">
        <v>146</v>
      </c>
      <c r="B138" s="74"/>
      <c r="C138" s="74">
        <v>508</v>
      </c>
      <c r="D138" s="74">
        <v>440</v>
      </c>
      <c r="E138" s="74">
        <v>280</v>
      </c>
      <c r="F138" s="74">
        <v>260</v>
      </c>
      <c r="G138" s="74">
        <v>376</v>
      </c>
      <c r="H138" s="74">
        <v>496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2360</v>
      </c>
    </row>
    <row r="139" spans="1:16" x14ac:dyDescent="0.25">
      <c r="A139" s="71" t="s">
        <v>147</v>
      </c>
      <c r="B139" s="74"/>
      <c r="C139" s="74">
        <v>0</v>
      </c>
      <c r="D139" s="74">
        <v>15.43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15.43</v>
      </c>
    </row>
    <row r="140" spans="1:16" x14ac:dyDescent="0.25">
      <c r="A140" s="71" t="s">
        <v>148</v>
      </c>
      <c r="B140" s="74"/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6" x14ac:dyDescent="0.25">
      <c r="A141" s="71" t="s">
        <v>149</v>
      </c>
      <c r="B141" s="74"/>
      <c r="C141" s="74">
        <v>35.200000000000003</v>
      </c>
      <c r="D141" s="74">
        <v>35.200000000000003</v>
      </c>
      <c r="E141" s="74">
        <v>35.200000000000003</v>
      </c>
      <c r="F141" s="74">
        <v>35.200000000000003</v>
      </c>
      <c r="G141" s="74">
        <v>35.200000000000003</v>
      </c>
      <c r="H141" s="74">
        <v>35.200000000000003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211.2</v>
      </c>
    </row>
    <row r="142" spans="1:16" x14ac:dyDescent="0.25">
      <c r="A142" s="71" t="s">
        <v>150</v>
      </c>
      <c r="B142" s="74"/>
      <c r="C142" s="74">
        <v>-723.15</v>
      </c>
      <c r="D142" s="74">
        <v>-723.15</v>
      </c>
      <c r="E142" s="74">
        <v>-723.15</v>
      </c>
      <c r="F142" s="74">
        <v>-723.15</v>
      </c>
      <c r="G142" s="74">
        <v>-723.15</v>
      </c>
      <c r="H142" s="74">
        <v>-723.15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-4338.8999999999996</v>
      </c>
    </row>
    <row r="143" spans="1:16" x14ac:dyDescent="0.25">
      <c r="A143" s="71" t="s">
        <v>492</v>
      </c>
      <c r="B143" s="74"/>
      <c r="C143" s="74">
        <v>-19106.5</v>
      </c>
      <c r="D143" s="74">
        <v>-12614</v>
      </c>
      <c r="E143" s="74">
        <v>-15365.5</v>
      </c>
      <c r="F143" s="74">
        <v>-13420.5</v>
      </c>
      <c r="G143" s="74">
        <v>-21395</v>
      </c>
      <c r="H143" s="74">
        <v>-7780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-89681.5</v>
      </c>
    </row>
    <row r="144" spans="1:16" x14ac:dyDescent="0.25">
      <c r="A144" s="71" t="s">
        <v>493</v>
      </c>
      <c r="B144" s="74"/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6" x14ac:dyDescent="0.25">
      <c r="A145" s="71" t="s">
        <v>152</v>
      </c>
      <c r="B145" s="74"/>
      <c r="C145" s="74">
        <v>0</v>
      </c>
      <c r="D145" s="74">
        <v>0</v>
      </c>
      <c r="E145" s="74">
        <v>116</v>
      </c>
      <c r="F145" s="74">
        <v>0</v>
      </c>
      <c r="G145" s="74">
        <v>2006.73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2122.73</v>
      </c>
    </row>
    <row r="146" spans="1:16" x14ac:dyDescent="0.25">
      <c r="A146" s="71" t="s">
        <v>153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6"/>
    </row>
    <row r="147" spans="1:16" x14ac:dyDescent="0.25">
      <c r="A147" s="71" t="s">
        <v>476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6" ht="18.75" thickBot="1" x14ac:dyDescent="0.3">
      <c r="A148" s="85" t="s">
        <v>154</v>
      </c>
      <c r="B148" s="85"/>
      <c r="C148" s="81">
        <v>-19286.45</v>
      </c>
      <c r="D148" s="81">
        <v>-12846.52</v>
      </c>
      <c r="E148" s="81">
        <v>-15657.45</v>
      </c>
      <c r="F148" s="81">
        <v>-13848.45</v>
      </c>
      <c r="G148" s="81">
        <v>-19700.22</v>
      </c>
      <c r="H148" s="81">
        <v>-7971.95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-89311.040000000008</v>
      </c>
      <c r="P148" s="87">
        <v>0</v>
      </c>
    </row>
    <row r="149" spans="1:16" ht="18.75" thickTop="1" x14ac:dyDescent="0.25">
      <c r="A149" s="71" t="s">
        <v>54</v>
      </c>
      <c r="C149" s="74"/>
      <c r="D149" s="74"/>
      <c r="E149" s="74"/>
      <c r="F149" s="74"/>
      <c r="G149" s="74"/>
      <c r="H149" s="75"/>
      <c r="I149" s="74"/>
      <c r="J149" s="74"/>
      <c r="K149" s="74"/>
      <c r="L149" s="74"/>
      <c r="M149" s="74"/>
      <c r="N149" s="74"/>
      <c r="O149" s="74"/>
    </row>
    <row r="150" spans="1:16" x14ac:dyDescent="0.25">
      <c r="A150" s="71" t="s">
        <v>59</v>
      </c>
      <c r="C150" s="74">
        <v>307201.25000000006</v>
      </c>
      <c r="D150" s="74">
        <v>285530.92</v>
      </c>
      <c r="E150" s="74">
        <v>321291.19999999995</v>
      </c>
      <c r="F150" s="74">
        <v>238839.97999999998</v>
      </c>
      <c r="G150" s="74">
        <v>237709.61</v>
      </c>
      <c r="H150" s="76">
        <v>231983.46000000002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1622556.42</v>
      </c>
      <c r="P150" s="71">
        <v>0</v>
      </c>
    </row>
    <row r="151" spans="1:16" x14ac:dyDescent="0.25">
      <c r="B151" s="84"/>
      <c r="C151" s="74"/>
      <c r="D151" s="74"/>
      <c r="E151" s="74"/>
      <c r="F151" s="74"/>
      <c r="G151" s="74"/>
      <c r="H151" s="77" t="s">
        <v>505</v>
      </c>
      <c r="I151" s="74"/>
      <c r="J151" s="74"/>
      <c r="K151" s="74"/>
      <c r="L151" s="74"/>
      <c r="M151" s="74"/>
      <c r="N151" s="74"/>
      <c r="O151" s="74"/>
    </row>
    <row r="152" spans="1:16" x14ac:dyDescent="0.25">
      <c r="B152" s="84"/>
      <c r="C152" s="74"/>
      <c r="D152" s="74"/>
      <c r="E152" s="74"/>
      <c r="F152" s="74"/>
      <c r="G152" s="74"/>
      <c r="H152" s="75" t="s">
        <v>155</v>
      </c>
      <c r="I152" s="74"/>
      <c r="J152" s="74"/>
      <c r="K152" s="74"/>
      <c r="L152" s="74"/>
      <c r="M152" s="74"/>
      <c r="N152" s="74"/>
      <c r="O152" s="74"/>
    </row>
    <row r="153" spans="1:16" x14ac:dyDescent="0.25">
      <c r="C153" s="78"/>
      <c r="D153" s="78"/>
      <c r="E153" s="78"/>
      <c r="F153" s="78"/>
      <c r="G153" s="78"/>
      <c r="H153" s="78">
        <v>2022</v>
      </c>
      <c r="I153" s="78"/>
      <c r="J153" s="78"/>
      <c r="K153" s="78"/>
      <c r="L153" s="78"/>
      <c r="M153" s="78"/>
      <c r="N153" s="78"/>
      <c r="O153" s="78"/>
    </row>
    <row r="154" spans="1:16" x14ac:dyDescent="0.25"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6" x14ac:dyDescent="0.25">
      <c r="B155" s="74"/>
      <c r="C155" s="74" t="s">
        <v>25</v>
      </c>
      <c r="D155" s="74" t="s">
        <v>26</v>
      </c>
      <c r="E155" s="74" t="s">
        <v>27</v>
      </c>
      <c r="F155" s="74" t="s">
        <v>28</v>
      </c>
      <c r="G155" s="74" t="s">
        <v>29</v>
      </c>
      <c r="H155" s="74" t="s">
        <v>30</v>
      </c>
      <c r="I155" s="74" t="s">
        <v>31</v>
      </c>
      <c r="J155" s="74" t="s">
        <v>32</v>
      </c>
      <c r="K155" s="74" t="s">
        <v>33</v>
      </c>
      <c r="L155" s="74" t="s">
        <v>34</v>
      </c>
      <c r="M155" s="74" t="s">
        <v>35</v>
      </c>
      <c r="N155" s="74" t="s">
        <v>36</v>
      </c>
      <c r="O155" s="74" t="s">
        <v>37</v>
      </c>
    </row>
    <row r="156" spans="1:16" x14ac:dyDescent="0.25">
      <c r="A156" s="71" t="s">
        <v>156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6" x14ac:dyDescent="0.25">
      <c r="A157" s="71" t="s">
        <v>157</v>
      </c>
      <c r="B157" s="74"/>
      <c r="C157" s="74">
        <v>1000</v>
      </c>
      <c r="D157" s="74">
        <v>1000</v>
      </c>
      <c r="E157" s="74">
        <v>1000</v>
      </c>
      <c r="F157" s="74">
        <v>1000</v>
      </c>
      <c r="G157" s="74">
        <v>1000</v>
      </c>
      <c r="H157" s="74">
        <v>1000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6000</v>
      </c>
    </row>
    <row r="158" spans="1:16" x14ac:dyDescent="0.25">
      <c r="A158" s="71" t="s">
        <v>158</v>
      </c>
      <c r="B158" s="74"/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6" x14ac:dyDescent="0.25">
      <c r="A159" s="71" t="s">
        <v>159</v>
      </c>
      <c r="B159" s="74"/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6" x14ac:dyDescent="0.25">
      <c r="A160" s="71" t="s">
        <v>160</v>
      </c>
      <c r="B160" s="74"/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5">
      <c r="A161" s="71" t="s">
        <v>161</v>
      </c>
      <c r="B161" s="74"/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5">
      <c r="A162" s="71" t="s">
        <v>162</v>
      </c>
      <c r="B162" s="74"/>
      <c r="C162" s="74">
        <v>364</v>
      </c>
      <c r="D162" s="74">
        <v>367.5</v>
      </c>
      <c r="E162" s="74">
        <v>329</v>
      </c>
      <c r="F162" s="74">
        <v>332.5</v>
      </c>
      <c r="G162" s="74">
        <v>294</v>
      </c>
      <c r="H162" s="74">
        <v>390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2077</v>
      </c>
    </row>
    <row r="163" spans="1:15" x14ac:dyDescent="0.25">
      <c r="A163" s="71" t="s">
        <v>163</v>
      </c>
      <c r="B163" s="74"/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5">
      <c r="A164" s="71" t="s">
        <v>164</v>
      </c>
      <c r="B164" s="74"/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5">
      <c r="A165" s="71" t="s">
        <v>165</v>
      </c>
      <c r="B165" s="74"/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5">
      <c r="A166" s="71" t="s">
        <v>166</v>
      </c>
      <c r="B166" s="74"/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5">
      <c r="A167" s="71" t="s">
        <v>167</v>
      </c>
      <c r="B167" s="74"/>
      <c r="C167" s="74">
        <v>1327.17</v>
      </c>
      <c r="D167" s="74">
        <v>1231.5999999999999</v>
      </c>
      <c r="E167" s="74">
        <v>1378.2</v>
      </c>
      <c r="F167" s="74">
        <v>1518.13</v>
      </c>
      <c r="G167" s="74">
        <v>1378.21</v>
      </c>
      <c r="H167" s="74">
        <v>1356.14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8189.4500000000007</v>
      </c>
    </row>
    <row r="168" spans="1:15" x14ac:dyDescent="0.25">
      <c r="A168" s="71" t="s">
        <v>168</v>
      </c>
      <c r="B168" s="74"/>
      <c r="C168" s="74">
        <v>148.88999999999999</v>
      </c>
      <c r="D168" s="74">
        <v>188.46</v>
      </c>
      <c r="E168" s="74">
        <v>128.05000000000001</v>
      </c>
      <c r="F168" s="74">
        <v>76.62</v>
      </c>
      <c r="G168" s="74">
        <v>164.26</v>
      </c>
      <c r="H168" s="74">
        <v>143.33000000000001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849.61</v>
      </c>
    </row>
    <row r="169" spans="1:15" x14ac:dyDescent="0.25">
      <c r="A169" s="71" t="s">
        <v>169</v>
      </c>
      <c r="B169" s="74"/>
      <c r="C169" s="74">
        <v>33.9</v>
      </c>
      <c r="D169" s="74">
        <v>20.39</v>
      </c>
      <c r="E169" s="74">
        <v>-13.7</v>
      </c>
      <c r="F169" s="74">
        <v>72.14</v>
      </c>
      <c r="G169" s="74">
        <v>141.12</v>
      </c>
      <c r="H169" s="74">
        <v>21.65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275.5</v>
      </c>
    </row>
    <row r="170" spans="1:15" x14ac:dyDescent="0.25">
      <c r="A170" s="71" t="s">
        <v>170</v>
      </c>
      <c r="B170" s="74"/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5">
      <c r="A171" s="71" t="s">
        <v>171</v>
      </c>
      <c r="B171" s="74"/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5">
      <c r="A172" s="71" t="s">
        <v>172</v>
      </c>
      <c r="B172" s="74"/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5">
      <c r="A173" s="71" t="s">
        <v>173</v>
      </c>
      <c r="B173" s="74"/>
      <c r="C173" s="74">
        <v>0</v>
      </c>
      <c r="D173" s="74">
        <v>0</v>
      </c>
      <c r="E173" s="74">
        <v>0</v>
      </c>
      <c r="F173" s="74">
        <v>0</v>
      </c>
      <c r="G173" s="74">
        <v>583.20000000000005</v>
      </c>
      <c r="H173" s="74">
        <v>206.14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789.34</v>
      </c>
    </row>
    <row r="174" spans="1:15" x14ac:dyDescent="0.25">
      <c r="A174" s="71" t="s">
        <v>174</v>
      </c>
      <c r="B174" s="74"/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5">
      <c r="A175" s="71" t="s">
        <v>175</v>
      </c>
      <c r="B175" s="74"/>
      <c r="C175" s="74">
        <v>388.8</v>
      </c>
      <c r="D175" s="74">
        <v>0</v>
      </c>
      <c r="E175" s="74">
        <v>0</v>
      </c>
      <c r="F175" s="74">
        <v>97.2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486</v>
      </c>
    </row>
    <row r="176" spans="1:15" x14ac:dyDescent="0.25">
      <c r="A176" s="71" t="s">
        <v>176</v>
      </c>
      <c r="B176" s="74"/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</row>
    <row r="177" spans="1:15" x14ac:dyDescent="0.25">
      <c r="A177" s="71" t="s">
        <v>177</v>
      </c>
      <c r="B177" s="74"/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5">
      <c r="A178" s="71" t="s">
        <v>178</v>
      </c>
      <c r="B178" s="74"/>
      <c r="C178" s="74">
        <v>2055.65</v>
      </c>
      <c r="D178" s="74">
        <v>1744.58</v>
      </c>
      <c r="E178" s="74">
        <v>2654.42</v>
      </c>
      <c r="F178" s="74">
        <v>2315.38</v>
      </c>
      <c r="G178" s="74">
        <v>1796.33</v>
      </c>
      <c r="H178" s="74">
        <v>1580.97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12147.329999999998</v>
      </c>
    </row>
    <row r="179" spans="1:15" x14ac:dyDescent="0.25">
      <c r="A179" s="71" t="s">
        <v>179</v>
      </c>
      <c r="B179" s="74"/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5">
      <c r="A180" s="71" t="s">
        <v>180</v>
      </c>
      <c r="B180" s="74"/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5">
      <c r="A181" s="71" t="s">
        <v>181</v>
      </c>
      <c r="B181" s="74"/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5">
      <c r="A182" s="71" t="s">
        <v>182</v>
      </c>
      <c r="B182" s="74"/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5">
      <c r="A183" s="71" t="s">
        <v>183</v>
      </c>
      <c r="B183" s="74"/>
      <c r="C183" s="74">
        <v>236.32</v>
      </c>
      <c r="D183" s="74">
        <v>369.25</v>
      </c>
      <c r="E183" s="74">
        <v>0</v>
      </c>
      <c r="F183" s="74">
        <v>0</v>
      </c>
      <c r="G183" s="74">
        <v>590.79999999999995</v>
      </c>
      <c r="H183" s="74">
        <v>472.64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1669.0099999999998</v>
      </c>
    </row>
    <row r="184" spans="1:15" x14ac:dyDescent="0.25">
      <c r="A184" s="71" t="s">
        <v>184</v>
      </c>
      <c r="B184" s="74"/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5">
      <c r="A185" s="71" t="s">
        <v>185</v>
      </c>
      <c r="B185" s="74"/>
      <c r="C185" s="74">
        <v>118.16</v>
      </c>
      <c r="D185" s="74">
        <v>59.08</v>
      </c>
      <c r="E185" s="74">
        <v>0</v>
      </c>
      <c r="F185" s="74">
        <v>59.08</v>
      </c>
      <c r="G185" s="74">
        <v>88.62</v>
      </c>
      <c r="H185" s="74">
        <v>376.64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701.57999999999993</v>
      </c>
    </row>
    <row r="186" spans="1:15" x14ac:dyDescent="0.25">
      <c r="A186" s="71" t="s">
        <v>186</v>
      </c>
      <c r="B186" s="74"/>
      <c r="C186" s="74">
        <v>238.37</v>
      </c>
      <c r="D186" s="74">
        <v>238.37</v>
      </c>
      <c r="E186" s="74">
        <v>238.37</v>
      </c>
      <c r="F186" s="74">
        <v>238.37</v>
      </c>
      <c r="G186" s="74">
        <v>-252.34</v>
      </c>
      <c r="H186" s="74">
        <v>250.69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951.82999999999993</v>
      </c>
    </row>
    <row r="187" spans="1:15" x14ac:dyDescent="0.25">
      <c r="A187" s="71" t="s">
        <v>187</v>
      </c>
      <c r="B187" s="74"/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5">
      <c r="A188" s="71" t="s">
        <v>188</v>
      </c>
      <c r="B188" s="74"/>
      <c r="C188" s="74">
        <v>5546.68</v>
      </c>
      <c r="D188" s="74">
        <v>7546.68</v>
      </c>
      <c r="E188" s="74">
        <v>5546.68</v>
      </c>
      <c r="F188" s="74">
        <v>5546.68</v>
      </c>
      <c r="G188" s="74">
        <v>8546.68</v>
      </c>
      <c r="H188" s="74">
        <v>5786.68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38520.080000000002</v>
      </c>
    </row>
    <row r="189" spans="1:15" x14ac:dyDescent="0.25">
      <c r="A189" s="71" t="s">
        <v>189</v>
      </c>
      <c r="B189" s="74"/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5">
      <c r="A190" s="71" t="s">
        <v>190</v>
      </c>
      <c r="B190" s="74"/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5">
      <c r="A191" s="71" t="s">
        <v>191</v>
      </c>
      <c r="B191" s="74"/>
      <c r="C191" s="74">
        <v>357.26</v>
      </c>
      <c r="D191" s="74">
        <v>1279.77</v>
      </c>
      <c r="E191" s="74">
        <v>3901.2</v>
      </c>
      <c r="F191" s="74">
        <v>3590.07</v>
      </c>
      <c r="G191" s="74">
        <v>3594.59</v>
      </c>
      <c r="H191" s="74">
        <v>4027.48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16750.37</v>
      </c>
    </row>
    <row r="192" spans="1:15" x14ac:dyDescent="0.25">
      <c r="A192" s="71" t="s">
        <v>192</v>
      </c>
      <c r="B192" s="74"/>
      <c r="C192" s="74">
        <v>10638.16</v>
      </c>
      <c r="D192" s="74">
        <v>9995.2000000000007</v>
      </c>
      <c r="E192" s="74">
        <v>11636.06</v>
      </c>
      <c r="F192" s="74">
        <v>12053.26</v>
      </c>
      <c r="G192" s="74">
        <v>17657.21</v>
      </c>
      <c r="H192" s="74">
        <v>16418.34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78398.23</v>
      </c>
    </row>
    <row r="193" spans="1:15" x14ac:dyDescent="0.25">
      <c r="A193" s="71" t="s">
        <v>494</v>
      </c>
      <c r="B193" s="74"/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5">
      <c r="A194" s="71" t="s">
        <v>193</v>
      </c>
      <c r="B194" s="74"/>
      <c r="C194" s="74">
        <v>11266.67</v>
      </c>
      <c r="D194" s="74">
        <v>10402.64</v>
      </c>
      <c r="E194" s="74">
        <v>13546.78</v>
      </c>
      <c r="F194" s="74">
        <v>15309.04</v>
      </c>
      <c r="G194" s="74">
        <v>7718.3</v>
      </c>
      <c r="H194" s="74">
        <v>5959.43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64202.86</v>
      </c>
    </row>
    <row r="195" spans="1:15" x14ac:dyDescent="0.25">
      <c r="A195" s="71" t="s">
        <v>495</v>
      </c>
      <c r="B195" s="74"/>
      <c r="C195" s="74">
        <v>3205.43</v>
      </c>
      <c r="D195" s="74">
        <v>3443.45</v>
      </c>
      <c r="E195" s="74">
        <v>4131.2299999999996</v>
      </c>
      <c r="F195" s="74">
        <v>3724.36</v>
      </c>
      <c r="G195" s="74">
        <v>3527.6</v>
      </c>
      <c r="H195" s="74">
        <v>4062.84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22094.91</v>
      </c>
    </row>
    <row r="196" spans="1:15" x14ac:dyDescent="0.25">
      <c r="A196" s="71" t="s">
        <v>194</v>
      </c>
      <c r="B196" s="74"/>
      <c r="C196" s="74">
        <v>39634.120000000003</v>
      </c>
      <c r="D196" s="74">
        <v>36966.639999999999</v>
      </c>
      <c r="E196" s="74">
        <v>37515.629999999997</v>
      </c>
      <c r="F196" s="74">
        <v>31522.7</v>
      </c>
      <c r="G196" s="74">
        <v>29023.69</v>
      </c>
      <c r="H196" s="74">
        <v>38093.120000000003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212755.90000000002</v>
      </c>
    </row>
    <row r="197" spans="1:15" x14ac:dyDescent="0.25">
      <c r="A197" s="71" t="s">
        <v>195</v>
      </c>
      <c r="B197" s="74"/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5">
      <c r="A198" s="71" t="s">
        <v>196</v>
      </c>
      <c r="B198" s="74"/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5">
      <c r="A199" s="71" t="s">
        <v>496</v>
      </c>
      <c r="B199" s="74"/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5">
      <c r="A200" s="71" t="s">
        <v>197</v>
      </c>
      <c r="B200" s="74"/>
      <c r="C200" s="74">
        <v>9387.2900000000009</v>
      </c>
      <c r="D200" s="74">
        <v>5998.69</v>
      </c>
      <c r="E200" s="74">
        <v>6364.85</v>
      </c>
      <c r="F200" s="74">
        <v>6075.24</v>
      </c>
      <c r="G200" s="74">
        <v>10282.049999999999</v>
      </c>
      <c r="H200" s="74">
        <v>8178.81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46286.929999999993</v>
      </c>
    </row>
    <row r="201" spans="1:15" x14ac:dyDescent="0.25">
      <c r="A201" s="71" t="s">
        <v>497</v>
      </c>
      <c r="B201" s="74"/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5">
      <c r="A202" s="71" t="s">
        <v>198</v>
      </c>
      <c r="B202" s="74"/>
      <c r="C202" s="74">
        <v>2715.86</v>
      </c>
      <c r="D202" s="74">
        <v>2882.04</v>
      </c>
      <c r="E202" s="74">
        <v>3592.66</v>
      </c>
      <c r="F202" s="74">
        <v>2163</v>
      </c>
      <c r="G202" s="74">
        <v>3841.19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15194.75</v>
      </c>
    </row>
    <row r="203" spans="1:15" x14ac:dyDescent="0.25">
      <c r="A203" s="71" t="s">
        <v>199</v>
      </c>
      <c r="B203" s="74"/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5">
      <c r="A204" s="71" t="s">
        <v>200</v>
      </c>
      <c r="B204" s="74"/>
      <c r="C204" s="74">
        <v>8657.52</v>
      </c>
      <c r="D204" s="74">
        <v>3057.85</v>
      </c>
      <c r="E204" s="74">
        <v>3699.33</v>
      </c>
      <c r="F204" s="74">
        <v>3769.21</v>
      </c>
      <c r="G204" s="74">
        <v>2483.4899999999998</v>
      </c>
      <c r="H204" s="74">
        <v>50.95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21718.350000000002</v>
      </c>
    </row>
    <row r="205" spans="1:15" x14ac:dyDescent="0.25">
      <c r="A205" s="71" t="s">
        <v>201</v>
      </c>
      <c r="B205" s="74"/>
      <c r="C205" s="74">
        <v>3373.56</v>
      </c>
      <c r="D205" s="74">
        <v>866.29</v>
      </c>
      <c r="E205" s="74">
        <v>5792.37</v>
      </c>
      <c r="F205" s="74">
        <v>737.95</v>
      </c>
      <c r="G205" s="74">
        <v>1126.04</v>
      </c>
      <c r="H205" s="74">
        <v>3538.6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15434.810000000003</v>
      </c>
    </row>
    <row r="206" spans="1:15" x14ac:dyDescent="0.25">
      <c r="A206" s="71" t="s">
        <v>202</v>
      </c>
      <c r="B206" s="74"/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5">
      <c r="A207" s="71" t="s">
        <v>203</v>
      </c>
      <c r="B207" s="74"/>
      <c r="C207" s="74">
        <v>653.5</v>
      </c>
      <c r="D207" s="74">
        <v>549.5</v>
      </c>
      <c r="E207" s="74">
        <v>1303.5</v>
      </c>
      <c r="F207" s="74">
        <v>0</v>
      </c>
      <c r="G207" s="74">
        <v>579.5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3086</v>
      </c>
    </row>
    <row r="208" spans="1:15" x14ac:dyDescent="0.25">
      <c r="A208" s="71" t="s">
        <v>204</v>
      </c>
      <c r="B208" s="74"/>
      <c r="C208" s="74">
        <v>102.75</v>
      </c>
      <c r="D208" s="74">
        <v>0</v>
      </c>
      <c r="E208" s="74">
        <v>0</v>
      </c>
      <c r="F208" s="74">
        <v>0</v>
      </c>
      <c r="G208" s="74">
        <v>83.65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186.4</v>
      </c>
    </row>
    <row r="209" spans="1:15" x14ac:dyDescent="0.25">
      <c r="A209" s="71" t="s">
        <v>205</v>
      </c>
      <c r="B209" s="74"/>
      <c r="C209" s="74">
        <v>300.49</v>
      </c>
      <c r="D209" s="74">
        <v>-5.42</v>
      </c>
      <c r="E209" s="74">
        <v>-67.010000000000005</v>
      </c>
      <c r="F209" s="74">
        <v>-225.07</v>
      </c>
      <c r="G209" s="74">
        <v>11.88</v>
      </c>
      <c r="H209" s="74">
        <v>411.67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426.54</v>
      </c>
    </row>
    <row r="210" spans="1:15" x14ac:dyDescent="0.25">
      <c r="A210" s="71" t="s">
        <v>206</v>
      </c>
      <c r="B210" s="74"/>
      <c r="C210" s="74">
        <v>267</v>
      </c>
      <c r="D210" s="74">
        <v>1661.04</v>
      </c>
      <c r="E210" s="74">
        <v>325</v>
      </c>
      <c r="F210" s="74">
        <v>285.52</v>
      </c>
      <c r="G210" s="74">
        <v>521.02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3059.58</v>
      </c>
    </row>
    <row r="211" spans="1:15" x14ac:dyDescent="0.25">
      <c r="A211" s="71" t="s">
        <v>207</v>
      </c>
      <c r="B211" s="74"/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5">
      <c r="A212" s="71" t="s">
        <v>208</v>
      </c>
      <c r="B212" s="74"/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</row>
    <row r="213" spans="1:15" x14ac:dyDescent="0.25">
      <c r="A213" s="71" t="s">
        <v>209</v>
      </c>
      <c r="B213" s="74"/>
      <c r="C213" s="74">
        <v>0</v>
      </c>
      <c r="D213" s="74">
        <v>0</v>
      </c>
      <c r="E213" s="74">
        <v>258.23</v>
      </c>
      <c r="F213" s="74">
        <v>0</v>
      </c>
      <c r="G213" s="74">
        <v>0</v>
      </c>
      <c r="H213" s="74">
        <v>188.67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446.9</v>
      </c>
    </row>
    <row r="214" spans="1:15" x14ac:dyDescent="0.25">
      <c r="A214" s="71" t="s">
        <v>516</v>
      </c>
      <c r="B214" s="74"/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5">
      <c r="A215" s="71" t="s">
        <v>211</v>
      </c>
      <c r="B215" s="74"/>
      <c r="C215" s="74">
        <v>5548.96</v>
      </c>
      <c r="D215" s="74">
        <v>4780.47</v>
      </c>
      <c r="E215" s="74">
        <v>612.47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10941.9</v>
      </c>
    </row>
    <row r="216" spans="1:15" x14ac:dyDescent="0.25">
      <c r="A216" s="71" t="s">
        <v>212</v>
      </c>
      <c r="B216" s="74"/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5">
      <c r="A217" s="71" t="s">
        <v>213</v>
      </c>
      <c r="B217" s="74"/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5">
      <c r="A218" s="71" t="s">
        <v>214</v>
      </c>
      <c r="B218" s="74"/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5">
      <c r="A219" s="71" t="s">
        <v>215</v>
      </c>
      <c r="B219" s="74"/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5">
      <c r="A220" s="71" t="s">
        <v>216</v>
      </c>
      <c r="B220" s="74"/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5">
      <c r="A221" s="71" t="s">
        <v>217</v>
      </c>
      <c r="B221" s="74"/>
      <c r="C221" s="74">
        <v>1170</v>
      </c>
      <c r="D221" s="74">
        <v>457.6</v>
      </c>
      <c r="E221" s="74">
        <v>457.4</v>
      </c>
      <c r="F221" s="74">
        <v>2628.5</v>
      </c>
      <c r="G221" s="74">
        <v>2594.52</v>
      </c>
      <c r="H221" s="74">
        <v>112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7420.02</v>
      </c>
    </row>
    <row r="222" spans="1:15" x14ac:dyDescent="0.25">
      <c r="A222" s="71" t="s">
        <v>218</v>
      </c>
      <c r="B222" s="74"/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5">
      <c r="A223" s="71" t="s">
        <v>219</v>
      </c>
      <c r="B223" s="74"/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5">
      <c r="A224" s="71" t="s">
        <v>220</v>
      </c>
      <c r="B224" s="74"/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5">
      <c r="A225" s="71" t="s">
        <v>221</v>
      </c>
      <c r="B225" s="74"/>
      <c r="C225" s="74">
        <v>314.39999999999998</v>
      </c>
      <c r="D225" s="74">
        <v>802.4</v>
      </c>
      <c r="E225" s="74">
        <v>351</v>
      </c>
      <c r="F225" s="74">
        <v>206.7</v>
      </c>
      <c r="G225" s="74">
        <v>970.8</v>
      </c>
      <c r="H225" s="74">
        <v>340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2985.3</v>
      </c>
    </row>
    <row r="226" spans="1:15" x14ac:dyDescent="0.25">
      <c r="A226" s="71" t="s">
        <v>222</v>
      </c>
      <c r="B226" s="74"/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5">
      <c r="A227" s="71" t="s">
        <v>223</v>
      </c>
      <c r="B227" s="74"/>
      <c r="C227" s="74">
        <v>2427.52</v>
      </c>
      <c r="D227" s="74">
        <v>3115.47</v>
      </c>
      <c r="E227" s="74">
        <v>2951.28</v>
      </c>
      <c r="F227" s="74">
        <v>2329.5300000000002</v>
      </c>
      <c r="G227" s="74">
        <v>2250.66</v>
      </c>
      <c r="H227" s="74">
        <v>2384.65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15459.11</v>
      </c>
    </row>
    <row r="228" spans="1:15" x14ac:dyDescent="0.25">
      <c r="A228" s="71" t="s">
        <v>224</v>
      </c>
      <c r="B228" s="74"/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5">
      <c r="A229" s="71" t="s">
        <v>498</v>
      </c>
      <c r="B229" s="74"/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5">
      <c r="A230" s="71" t="s">
        <v>226</v>
      </c>
      <c r="B230" s="74"/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5">
      <c r="A231" s="71" t="s">
        <v>227</v>
      </c>
      <c r="B231" s="74"/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5">
      <c r="A232" s="71" t="s">
        <v>228</v>
      </c>
      <c r="B232" s="74"/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5">
      <c r="A233" s="71" t="s">
        <v>229</v>
      </c>
      <c r="B233" s="74"/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5">
      <c r="A234" s="71" t="s">
        <v>230</v>
      </c>
      <c r="B234" s="74"/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5">
      <c r="A235" s="71" t="s">
        <v>231</v>
      </c>
      <c r="B235" s="74"/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5">
      <c r="A236" s="71" t="s">
        <v>232</v>
      </c>
      <c r="B236" s="74"/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5">
      <c r="A237" s="71" t="s">
        <v>233</v>
      </c>
      <c r="B237" s="74"/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5">
      <c r="A238" s="71" t="s">
        <v>234</v>
      </c>
      <c r="B238" s="74"/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5">
      <c r="A239" s="71" t="s">
        <v>235</v>
      </c>
      <c r="B239" s="74"/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5">
      <c r="A240" s="71" t="s">
        <v>236</v>
      </c>
      <c r="B240" s="74"/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6" x14ac:dyDescent="0.25">
      <c r="A241" s="71" t="s">
        <v>237</v>
      </c>
      <c r="B241" s="74"/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6" x14ac:dyDescent="0.25">
      <c r="A242" s="71" t="s">
        <v>238</v>
      </c>
      <c r="C242" s="83">
        <v>0</v>
      </c>
      <c r="D242" s="83">
        <v>0</v>
      </c>
      <c r="E242" s="83">
        <v>0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  <c r="K242" s="83">
        <v>0</v>
      </c>
      <c r="L242" s="83">
        <v>0</v>
      </c>
      <c r="M242" s="83">
        <v>0</v>
      </c>
      <c r="N242" s="83">
        <v>0</v>
      </c>
      <c r="O242" s="83">
        <v>0</v>
      </c>
      <c r="P242" s="86"/>
    </row>
    <row r="243" spans="1:16" x14ac:dyDescent="0.25">
      <c r="A243" s="71" t="s">
        <v>239</v>
      </c>
      <c r="C243" s="100">
        <v>0</v>
      </c>
      <c r="D243" s="100">
        <v>0</v>
      </c>
      <c r="E243" s="100">
        <v>0</v>
      </c>
      <c r="F243" s="100">
        <v>0</v>
      </c>
      <c r="G243" s="100">
        <v>0</v>
      </c>
      <c r="H243" s="100">
        <v>0</v>
      </c>
      <c r="I243" s="100">
        <v>0</v>
      </c>
      <c r="J243" s="100">
        <v>0</v>
      </c>
      <c r="K243" s="100">
        <v>0</v>
      </c>
      <c r="L243" s="100">
        <v>0</v>
      </c>
      <c r="M243" s="100">
        <v>0</v>
      </c>
      <c r="N243" s="100">
        <v>0</v>
      </c>
      <c r="O243" s="100">
        <v>0</v>
      </c>
    </row>
    <row r="244" spans="1:16" x14ac:dyDescent="0.25">
      <c r="A244" s="71" t="s">
        <v>240</v>
      </c>
      <c r="C244" s="74">
        <v>111478.43000000001</v>
      </c>
      <c r="D244" s="74">
        <v>99019.54</v>
      </c>
      <c r="E244" s="74">
        <v>107632.99999999999</v>
      </c>
      <c r="F244" s="74">
        <v>95426.11</v>
      </c>
      <c r="G244" s="74">
        <v>100597.07000000002</v>
      </c>
      <c r="H244" s="74">
        <v>95351.439999999988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609505.59000000008</v>
      </c>
      <c r="P244" s="71">
        <v>0</v>
      </c>
    </row>
    <row r="245" spans="1:16" x14ac:dyDescent="0.25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spans="1:16" x14ac:dyDescent="0.25">
      <c r="A246" s="71" t="s">
        <v>241</v>
      </c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spans="1:16" x14ac:dyDescent="0.25">
      <c r="A247" s="71" t="s">
        <v>242</v>
      </c>
      <c r="B247" s="74"/>
      <c r="C247" s="74">
        <v>14148.58</v>
      </c>
      <c r="D247" s="74">
        <v>13189.96</v>
      </c>
      <c r="E247" s="74">
        <v>13975.27</v>
      </c>
      <c r="F247" s="74">
        <v>13261.34</v>
      </c>
      <c r="G247" s="74">
        <v>14200.48</v>
      </c>
      <c r="H247" s="74">
        <v>11953.78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80729.409999999989</v>
      </c>
    </row>
    <row r="248" spans="1:16" x14ac:dyDescent="0.25">
      <c r="A248" s="71" t="s">
        <v>243</v>
      </c>
      <c r="B248" s="74"/>
      <c r="C248" s="74">
        <v>120</v>
      </c>
      <c r="D248" s="74">
        <v>120</v>
      </c>
      <c r="E248" s="74">
        <v>120</v>
      </c>
      <c r="F248" s="74">
        <v>120</v>
      </c>
      <c r="G248" s="74">
        <v>120</v>
      </c>
      <c r="H248" s="74">
        <v>120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720</v>
      </c>
    </row>
    <row r="249" spans="1:16" x14ac:dyDescent="0.25">
      <c r="A249" s="71" t="s">
        <v>244</v>
      </c>
      <c r="B249" s="74"/>
      <c r="C249" s="74">
        <v>0</v>
      </c>
      <c r="D249" s="74">
        <v>237.45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237.45</v>
      </c>
    </row>
    <row r="250" spans="1:16" x14ac:dyDescent="0.25">
      <c r="A250" s="71" t="s">
        <v>245</v>
      </c>
      <c r="B250" s="74"/>
      <c r="C250" s="74">
        <v>2666.37</v>
      </c>
      <c r="D250" s="74">
        <v>728.25</v>
      </c>
      <c r="E250" s="74">
        <v>326.25</v>
      </c>
      <c r="F250" s="74">
        <v>262.92</v>
      </c>
      <c r="G250" s="74">
        <v>441.92</v>
      </c>
      <c r="H250" s="74">
        <v>493.88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4919.59</v>
      </c>
    </row>
    <row r="251" spans="1:16" x14ac:dyDescent="0.25">
      <c r="A251" s="71" t="s">
        <v>246</v>
      </c>
      <c r="B251" s="74"/>
      <c r="C251" s="74">
        <v>11102.04</v>
      </c>
      <c r="D251" s="74">
        <v>8956.48</v>
      </c>
      <c r="E251" s="74">
        <v>9239.7800000000007</v>
      </c>
      <c r="F251" s="74">
        <v>8896.35</v>
      </c>
      <c r="G251" s="74">
        <v>11473.23</v>
      </c>
      <c r="H251" s="74">
        <v>8721.52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58389.400000000009</v>
      </c>
    </row>
    <row r="252" spans="1:16" x14ac:dyDescent="0.25">
      <c r="A252" s="71" t="s">
        <v>247</v>
      </c>
      <c r="B252" s="74"/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6" x14ac:dyDescent="0.25">
      <c r="A253" s="71" t="s">
        <v>248</v>
      </c>
      <c r="B253" s="74"/>
      <c r="C253" s="74">
        <v>1107.8499999999999</v>
      </c>
      <c r="D253" s="74">
        <v>335.69</v>
      </c>
      <c r="E253" s="74">
        <v>283.45</v>
      </c>
      <c r="F253" s="74">
        <v>136.47999999999999</v>
      </c>
      <c r="G253" s="74">
        <v>216.76</v>
      </c>
      <c r="H253" s="74">
        <v>1401.29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3481.52</v>
      </c>
    </row>
    <row r="254" spans="1:16" x14ac:dyDescent="0.25">
      <c r="A254" s="71" t="s">
        <v>249</v>
      </c>
      <c r="B254" s="74"/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6" x14ac:dyDescent="0.25">
      <c r="A255" s="71" t="s">
        <v>250</v>
      </c>
      <c r="B255" s="74"/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6" x14ac:dyDescent="0.25">
      <c r="A256" s="71" t="s">
        <v>251</v>
      </c>
      <c r="B256" s="74"/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6" x14ac:dyDescent="0.25">
      <c r="A257" s="71" t="s">
        <v>252</v>
      </c>
      <c r="B257" s="74"/>
      <c r="C257" s="74">
        <v>194.4</v>
      </c>
      <c r="D257" s="74">
        <v>337.2</v>
      </c>
      <c r="E257" s="74">
        <v>1151.25</v>
      </c>
      <c r="F257" s="74">
        <v>0</v>
      </c>
      <c r="G257" s="74">
        <v>60.75</v>
      </c>
      <c r="H257" s="74">
        <v>194.4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1938</v>
      </c>
    </row>
    <row r="258" spans="1:16" x14ac:dyDescent="0.25">
      <c r="A258" s="71" t="s">
        <v>253</v>
      </c>
      <c r="B258" s="74"/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6" x14ac:dyDescent="0.25">
      <c r="A259" s="71" t="s">
        <v>254</v>
      </c>
      <c r="B259" s="74"/>
      <c r="C259" s="74">
        <v>188.33</v>
      </c>
      <c r="D259" s="74">
        <v>0</v>
      </c>
      <c r="E259" s="74">
        <v>194.4</v>
      </c>
      <c r="F259" s="74">
        <v>291.60000000000002</v>
      </c>
      <c r="G259" s="74">
        <v>470.85</v>
      </c>
      <c r="H259" s="74">
        <v>194.4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1339.5800000000002</v>
      </c>
    </row>
    <row r="260" spans="1:16" x14ac:dyDescent="0.25">
      <c r="A260" s="71" t="s">
        <v>255</v>
      </c>
      <c r="C260" s="83">
        <v>35.630000000000003</v>
      </c>
      <c r="D260" s="83">
        <v>35.630000000000003</v>
      </c>
      <c r="E260" s="83">
        <v>35.630000000000003</v>
      </c>
      <c r="F260" s="83">
        <v>419.7</v>
      </c>
      <c r="G260" s="83">
        <v>212.01</v>
      </c>
      <c r="H260" s="83">
        <v>71.290000000000006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809.89</v>
      </c>
      <c r="P260" s="86"/>
    </row>
    <row r="261" spans="1:16" x14ac:dyDescent="0.25">
      <c r="A261" s="71" t="s">
        <v>256</v>
      </c>
      <c r="C261" s="98">
        <v>0</v>
      </c>
      <c r="D261" s="98">
        <v>0</v>
      </c>
      <c r="E261" s="98">
        <v>0</v>
      </c>
      <c r="F261" s="98">
        <v>0</v>
      </c>
      <c r="G261" s="98">
        <v>0</v>
      </c>
      <c r="H261" s="98">
        <v>0</v>
      </c>
      <c r="I261" s="98">
        <v>0</v>
      </c>
      <c r="J261" s="98">
        <v>0</v>
      </c>
      <c r="K261" s="98">
        <v>0</v>
      </c>
      <c r="L261" s="98">
        <v>0</v>
      </c>
      <c r="M261" s="98">
        <v>0</v>
      </c>
      <c r="N261" s="98">
        <v>0</v>
      </c>
      <c r="O261" s="98">
        <v>0</v>
      </c>
    </row>
    <row r="262" spans="1:16" x14ac:dyDescent="0.25">
      <c r="A262" s="71" t="s">
        <v>257</v>
      </c>
      <c r="C262" s="74">
        <v>29563.200000000004</v>
      </c>
      <c r="D262" s="74">
        <v>23940.66</v>
      </c>
      <c r="E262" s="74">
        <v>25326.030000000006</v>
      </c>
      <c r="F262" s="74">
        <v>23388.39</v>
      </c>
      <c r="G262" s="74">
        <v>27195.999999999993</v>
      </c>
      <c r="H262" s="74">
        <v>23150.560000000005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152564.83999999997</v>
      </c>
      <c r="P262" s="71">
        <v>0</v>
      </c>
    </row>
    <row r="263" spans="1:16" x14ac:dyDescent="0.25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spans="1:16" x14ac:dyDescent="0.25">
      <c r="A264" s="71" t="s">
        <v>128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spans="1:16" x14ac:dyDescent="0.25">
      <c r="A265" s="71" t="s">
        <v>258</v>
      </c>
      <c r="B265" s="74"/>
      <c r="C265" s="74">
        <v>1106</v>
      </c>
      <c r="D265" s="74">
        <v>2734</v>
      </c>
      <c r="E265" s="74">
        <v>2710</v>
      </c>
      <c r="F265" s="74">
        <v>2300</v>
      </c>
      <c r="G265" s="74">
        <v>2318</v>
      </c>
      <c r="H265" s="74">
        <v>1675.5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12843.5</v>
      </c>
    </row>
    <row r="266" spans="1:16" x14ac:dyDescent="0.25">
      <c r="A266" s="71" t="s">
        <v>259</v>
      </c>
      <c r="B266" s="74"/>
      <c r="C266" s="74">
        <v>0</v>
      </c>
      <c r="D266" s="74">
        <v>0</v>
      </c>
      <c r="E266" s="74">
        <v>0</v>
      </c>
      <c r="F266" s="74">
        <v>0</v>
      </c>
      <c r="G266" s="74">
        <v>13.55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13.55</v>
      </c>
    </row>
    <row r="267" spans="1:16" x14ac:dyDescent="0.25">
      <c r="A267" s="71" t="s">
        <v>260</v>
      </c>
      <c r="B267" s="74"/>
      <c r="C267" s="74">
        <v>11682.73</v>
      </c>
      <c r="D267" s="74">
        <v>9114.16</v>
      </c>
      <c r="E267" s="74">
        <v>11449.15</v>
      </c>
      <c r="F267" s="74">
        <v>6831.46</v>
      </c>
      <c r="G267" s="74">
        <v>6821.66</v>
      </c>
      <c r="H267" s="74">
        <v>4592.1400000000003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50491.3</v>
      </c>
    </row>
    <row r="268" spans="1:16" x14ac:dyDescent="0.25">
      <c r="A268" s="71" t="s">
        <v>261</v>
      </c>
      <c r="B268" s="74"/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6" x14ac:dyDescent="0.25">
      <c r="A269" s="71" t="s">
        <v>262</v>
      </c>
      <c r="B269" s="74"/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6" x14ac:dyDescent="0.25">
      <c r="A270" s="71" t="s">
        <v>263</v>
      </c>
      <c r="B270" s="74"/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6" x14ac:dyDescent="0.25">
      <c r="A271" s="71" t="s">
        <v>264</v>
      </c>
      <c r="B271" s="74"/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6" x14ac:dyDescent="0.25">
      <c r="A272" s="71" t="s">
        <v>265</v>
      </c>
      <c r="B272" s="74"/>
      <c r="C272" s="74">
        <v>10440.16</v>
      </c>
      <c r="D272" s="74">
        <v>9422.68</v>
      </c>
      <c r="E272" s="74">
        <v>11586.99</v>
      </c>
      <c r="F272" s="74">
        <v>6382.83</v>
      </c>
      <c r="G272" s="74">
        <v>6549.23</v>
      </c>
      <c r="H272" s="74">
        <v>4383.32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48765.21</v>
      </c>
    </row>
    <row r="273" spans="1:15" x14ac:dyDescent="0.25">
      <c r="A273" s="71" t="s">
        <v>266</v>
      </c>
      <c r="B273" s="74"/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5">
      <c r="A274" s="71" t="s">
        <v>267</v>
      </c>
      <c r="B274" s="74"/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5">
      <c r="A275" s="71" t="s">
        <v>268</v>
      </c>
      <c r="B275" s="74"/>
      <c r="C275" s="74">
        <v>0</v>
      </c>
      <c r="D275" s="74">
        <v>206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206</v>
      </c>
    </row>
    <row r="276" spans="1:15" x14ac:dyDescent="0.25">
      <c r="A276" s="71" t="s">
        <v>269</v>
      </c>
      <c r="B276" s="74"/>
      <c r="C276" s="74">
        <v>5.17</v>
      </c>
      <c r="D276" s="74">
        <v>0</v>
      </c>
      <c r="E276" s="74">
        <v>4468.93</v>
      </c>
      <c r="F276" s="74">
        <v>1670.75</v>
      </c>
      <c r="G276" s="74">
        <v>2524.2399999999998</v>
      </c>
      <c r="H276" s="74">
        <v>3391.83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12060.92</v>
      </c>
    </row>
    <row r="277" spans="1:15" x14ac:dyDescent="0.25">
      <c r="A277" s="71" t="s">
        <v>270</v>
      </c>
      <c r="B277" s="74"/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5">
      <c r="A278" s="71" t="s">
        <v>271</v>
      </c>
      <c r="B278" s="74"/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5">
      <c r="A279" s="71" t="s">
        <v>272</v>
      </c>
      <c r="B279" s="74"/>
      <c r="C279" s="74">
        <v>4147.21</v>
      </c>
      <c r="D279" s="74">
        <v>2084.5100000000002</v>
      </c>
      <c r="E279" s="74">
        <v>1499</v>
      </c>
      <c r="F279" s="74">
        <v>0</v>
      </c>
      <c r="G279" s="74">
        <v>359.34</v>
      </c>
      <c r="H279" s="74">
        <v>921.4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9011.4600000000009</v>
      </c>
    </row>
    <row r="280" spans="1:15" x14ac:dyDescent="0.25">
      <c r="A280" s="71" t="s">
        <v>273</v>
      </c>
      <c r="B280" s="74"/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5">
      <c r="A281" s="71" t="s">
        <v>274</v>
      </c>
      <c r="B281" s="74"/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5">
      <c r="A282" s="71" t="s">
        <v>275</v>
      </c>
      <c r="B282" s="74"/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5">
      <c r="A283" s="71" t="s">
        <v>276</v>
      </c>
      <c r="B283" s="74"/>
      <c r="C283" s="74">
        <v>325.76</v>
      </c>
      <c r="D283" s="74">
        <v>294.42</v>
      </c>
      <c r="E283" s="74">
        <v>605.44000000000005</v>
      </c>
      <c r="F283" s="74">
        <v>178.64</v>
      </c>
      <c r="G283" s="74">
        <v>187.56</v>
      </c>
      <c r="H283" s="74">
        <v>175.76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1767.5800000000002</v>
      </c>
    </row>
    <row r="284" spans="1:15" x14ac:dyDescent="0.25">
      <c r="A284" s="71" t="s">
        <v>277</v>
      </c>
      <c r="B284" s="74"/>
      <c r="C284" s="74">
        <v>1083.3599999999999</v>
      </c>
      <c r="D284" s="74">
        <v>0</v>
      </c>
      <c r="E284" s="74">
        <v>102.91</v>
      </c>
      <c r="F284" s="74">
        <v>504</v>
      </c>
      <c r="G284" s="74">
        <v>346.5</v>
      </c>
      <c r="H284" s="74">
        <v>346.5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2383.27</v>
      </c>
    </row>
    <row r="285" spans="1:15" x14ac:dyDescent="0.25">
      <c r="A285" s="71" t="s">
        <v>278</v>
      </c>
      <c r="B285" s="74"/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5">
      <c r="A286" s="71" t="s">
        <v>279</v>
      </c>
      <c r="B286" s="74"/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5">
      <c r="A287" s="71" t="s">
        <v>280</v>
      </c>
      <c r="B287" s="74"/>
      <c r="C287" s="74">
        <v>0</v>
      </c>
      <c r="D287" s="74">
        <v>0</v>
      </c>
      <c r="E287" s="74">
        <v>0</v>
      </c>
      <c r="F287" s="74">
        <v>0</v>
      </c>
      <c r="G287" s="74">
        <v>637.99</v>
      </c>
      <c r="H287" s="74">
        <v>2144.4499999999998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2782.4399999999996</v>
      </c>
    </row>
    <row r="288" spans="1:15" x14ac:dyDescent="0.25">
      <c r="A288" s="71" t="s">
        <v>281</v>
      </c>
      <c r="B288" s="74"/>
      <c r="C288" s="74">
        <v>1285.5</v>
      </c>
      <c r="D288" s="74">
        <v>576.5</v>
      </c>
      <c r="E288" s="74">
        <v>0</v>
      </c>
      <c r="F288" s="74">
        <v>952.45</v>
      </c>
      <c r="G288" s="74">
        <v>526</v>
      </c>
      <c r="H288" s="74">
        <v>1259.5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4599.95</v>
      </c>
    </row>
    <row r="289" spans="1:15" x14ac:dyDescent="0.25">
      <c r="A289" s="71" t="s">
        <v>282</v>
      </c>
      <c r="B289" s="74"/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5">
      <c r="A290" s="71" t="s">
        <v>283</v>
      </c>
      <c r="B290" s="74"/>
      <c r="C290" s="74">
        <v>0</v>
      </c>
      <c r="D290" s="74">
        <v>89.75</v>
      </c>
      <c r="E290" s="74">
        <v>0</v>
      </c>
      <c r="F290" s="74">
        <v>0</v>
      </c>
      <c r="G290" s="74">
        <v>176.7</v>
      </c>
      <c r="H290" s="74">
        <v>431.1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697.55</v>
      </c>
    </row>
    <row r="291" spans="1:15" x14ac:dyDescent="0.25">
      <c r="A291" s="71" t="s">
        <v>284</v>
      </c>
      <c r="B291" s="74"/>
      <c r="C291" s="74">
        <v>1554.53</v>
      </c>
      <c r="D291" s="74">
        <v>331.8</v>
      </c>
      <c r="E291" s="74">
        <v>933.05</v>
      </c>
      <c r="F291" s="74">
        <v>2478.56</v>
      </c>
      <c r="G291" s="74">
        <v>2859.92</v>
      </c>
      <c r="H291" s="74">
        <v>2854.01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11011.87</v>
      </c>
    </row>
    <row r="292" spans="1:15" x14ac:dyDescent="0.25">
      <c r="A292" s="71" t="s">
        <v>285</v>
      </c>
      <c r="B292" s="74"/>
      <c r="C292" s="74">
        <v>339.48</v>
      </c>
      <c r="D292" s="74">
        <v>0</v>
      </c>
      <c r="E292" s="74">
        <v>0</v>
      </c>
      <c r="F292" s="74">
        <v>0</v>
      </c>
      <c r="G292" s="74">
        <v>283</v>
      </c>
      <c r="H292" s="74">
        <v>1414.6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2037.08</v>
      </c>
    </row>
    <row r="293" spans="1:15" x14ac:dyDescent="0.25">
      <c r="A293" s="71" t="s">
        <v>286</v>
      </c>
      <c r="B293" s="74"/>
      <c r="C293" s="74">
        <v>1052.67</v>
      </c>
      <c r="D293" s="74">
        <v>360.33</v>
      </c>
      <c r="E293" s="74">
        <v>907.64</v>
      </c>
      <c r="F293" s="74">
        <v>1376.63</v>
      </c>
      <c r="G293" s="74">
        <v>1125.9000000000001</v>
      </c>
      <c r="H293" s="74">
        <v>1265.1099999999999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6088.28</v>
      </c>
    </row>
    <row r="294" spans="1:15" x14ac:dyDescent="0.25">
      <c r="A294" s="71" t="s">
        <v>287</v>
      </c>
      <c r="B294" s="74"/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5">
      <c r="A295" s="71" t="s">
        <v>288</v>
      </c>
      <c r="B295" s="74"/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5">
      <c r="A296" s="71" t="s">
        <v>289</v>
      </c>
      <c r="B296" s="74"/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5">
      <c r="A297" s="71" t="s">
        <v>290</v>
      </c>
      <c r="B297" s="74"/>
      <c r="C297" s="74">
        <v>0</v>
      </c>
      <c r="D297" s="74">
        <v>923.38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923.38</v>
      </c>
    </row>
    <row r="298" spans="1:15" x14ac:dyDescent="0.25">
      <c r="A298" s="71" t="s">
        <v>291</v>
      </c>
      <c r="B298" s="74"/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5">
      <c r="A299" s="71" t="s">
        <v>292</v>
      </c>
      <c r="B299" s="74"/>
      <c r="C299" s="74">
        <v>0</v>
      </c>
      <c r="D299" s="74">
        <v>0</v>
      </c>
      <c r="E299" s="74">
        <v>0</v>
      </c>
      <c r="F299" s="74">
        <v>0</v>
      </c>
      <c r="G299" s="74">
        <v>45.45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45.45</v>
      </c>
    </row>
    <row r="300" spans="1:15" x14ac:dyDescent="0.25">
      <c r="A300" s="71" t="s">
        <v>293</v>
      </c>
      <c r="B300" s="74"/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5">
      <c r="A301" s="71" t="s">
        <v>294</v>
      </c>
      <c r="B301" s="74"/>
      <c r="C301" s="74">
        <v>449.45</v>
      </c>
      <c r="D301" s="74">
        <v>0</v>
      </c>
      <c r="E301" s="74">
        <v>600.29999999999995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1049.75</v>
      </c>
    </row>
    <row r="302" spans="1:15" x14ac:dyDescent="0.25">
      <c r="A302" s="71" t="s">
        <v>295</v>
      </c>
      <c r="B302" s="74"/>
      <c r="C302" s="74">
        <v>227.25</v>
      </c>
      <c r="D302" s="74">
        <v>373.7</v>
      </c>
      <c r="E302" s="74">
        <v>121.2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722.15000000000009</v>
      </c>
    </row>
    <row r="303" spans="1:15" x14ac:dyDescent="0.25">
      <c r="A303" s="71" t="s">
        <v>296</v>
      </c>
      <c r="B303" s="74"/>
      <c r="C303" s="74">
        <v>0</v>
      </c>
      <c r="D303" s="74">
        <v>0</v>
      </c>
      <c r="E303" s="74">
        <v>617.66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617.66</v>
      </c>
    </row>
    <row r="304" spans="1:15" x14ac:dyDescent="0.25">
      <c r="A304" s="71" t="s">
        <v>499</v>
      </c>
      <c r="B304" s="74"/>
      <c r="C304" s="74">
        <v>493.89</v>
      </c>
      <c r="D304" s="74">
        <v>716.09</v>
      </c>
      <c r="E304" s="74">
        <v>343.4</v>
      </c>
      <c r="F304" s="74">
        <v>969.6</v>
      </c>
      <c r="G304" s="74">
        <v>942.33</v>
      </c>
      <c r="H304" s="74">
        <v>126.25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3591.56</v>
      </c>
    </row>
    <row r="305" spans="1:16" x14ac:dyDescent="0.25">
      <c r="A305" s="71" t="s">
        <v>500</v>
      </c>
      <c r="B305" s="74"/>
      <c r="C305" s="74">
        <v>0</v>
      </c>
      <c r="D305" s="74">
        <v>0</v>
      </c>
      <c r="E305" s="74">
        <v>60.6</v>
      </c>
      <c r="F305" s="74">
        <v>262.60000000000002</v>
      </c>
      <c r="G305" s="74">
        <v>0</v>
      </c>
      <c r="H305" s="74">
        <v>121.2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444.40000000000003</v>
      </c>
    </row>
    <row r="306" spans="1:16" x14ac:dyDescent="0.25">
      <c r="A306" s="71" t="s">
        <v>501</v>
      </c>
      <c r="B306" s="74"/>
      <c r="C306" s="74">
        <v>0</v>
      </c>
      <c r="D306" s="74">
        <v>719.12</v>
      </c>
      <c r="E306" s="74">
        <v>338.35</v>
      </c>
      <c r="F306" s="74">
        <v>1007.98</v>
      </c>
      <c r="G306" s="74">
        <v>940.31</v>
      </c>
      <c r="H306" s="74">
        <v>205.03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3210.79</v>
      </c>
    </row>
    <row r="307" spans="1:16" x14ac:dyDescent="0.25">
      <c r="A307" s="71" t="s">
        <v>297</v>
      </c>
      <c r="B307" s="74"/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6" x14ac:dyDescent="0.25">
      <c r="A308" s="71" t="s">
        <v>298</v>
      </c>
      <c r="B308" s="74"/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6" x14ac:dyDescent="0.25">
      <c r="A309" s="71" t="s">
        <v>299</v>
      </c>
      <c r="B309" s="74"/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6" x14ac:dyDescent="0.25">
      <c r="A310" s="71" t="s">
        <v>300</v>
      </c>
      <c r="B310" s="74"/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6" x14ac:dyDescent="0.25">
      <c r="A311" s="71" t="s">
        <v>301</v>
      </c>
      <c r="B311" s="74"/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6" x14ac:dyDescent="0.25">
      <c r="A312" s="71" t="s">
        <v>302</v>
      </c>
      <c r="B312" s="74"/>
      <c r="C312" s="74">
        <v>384.81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384.81</v>
      </c>
    </row>
    <row r="313" spans="1:16" x14ac:dyDescent="0.25">
      <c r="A313" s="71" t="s">
        <v>303</v>
      </c>
      <c r="B313" s="74"/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6" x14ac:dyDescent="0.25">
      <c r="A314" s="71" t="s">
        <v>304</v>
      </c>
      <c r="B314" s="74"/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6" x14ac:dyDescent="0.25">
      <c r="A315" s="71" t="s">
        <v>305</v>
      </c>
      <c r="B315" s="74"/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6" x14ac:dyDescent="0.25">
      <c r="A316" s="71" t="s">
        <v>306</v>
      </c>
      <c r="B316" s="74"/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6" x14ac:dyDescent="0.25">
      <c r="A317" s="71" t="s">
        <v>307</v>
      </c>
      <c r="B317" s="74"/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6" x14ac:dyDescent="0.25">
      <c r="A318" s="71" t="s">
        <v>308</v>
      </c>
      <c r="B318" s="74"/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6" x14ac:dyDescent="0.25">
      <c r="A319" s="71" t="s">
        <v>309</v>
      </c>
      <c r="C319" s="83">
        <v>0</v>
      </c>
      <c r="D319" s="83">
        <v>0</v>
      </c>
      <c r="E319" s="83">
        <v>0</v>
      </c>
      <c r="F319" s="83">
        <v>0</v>
      </c>
      <c r="G319" s="83">
        <v>0</v>
      </c>
      <c r="H319" s="83">
        <v>0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6"/>
    </row>
    <row r="320" spans="1:16" x14ac:dyDescent="0.25">
      <c r="A320" s="71" t="s">
        <v>310</v>
      </c>
      <c r="C320" s="98">
        <v>0</v>
      </c>
      <c r="D320" s="98">
        <v>0</v>
      </c>
      <c r="E320" s="98">
        <v>0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98">
        <v>0</v>
      </c>
      <c r="M320" s="98">
        <v>0</v>
      </c>
      <c r="N320" s="98">
        <v>0</v>
      </c>
      <c r="O320" s="98">
        <v>0</v>
      </c>
    </row>
    <row r="321" spans="1:16" x14ac:dyDescent="0.25">
      <c r="A321" s="71" t="s">
        <v>142</v>
      </c>
      <c r="C321" s="74">
        <v>34577.969999999987</v>
      </c>
      <c r="D321" s="74">
        <v>27946.44</v>
      </c>
      <c r="E321" s="74">
        <v>36344.620000000003</v>
      </c>
      <c r="F321" s="74">
        <v>24915.5</v>
      </c>
      <c r="G321" s="74">
        <v>26657.680000000008</v>
      </c>
      <c r="H321" s="74">
        <v>25307.699999999993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175749.90999999997</v>
      </c>
      <c r="P321" s="71">
        <v>0</v>
      </c>
    </row>
    <row r="322" spans="1:16" x14ac:dyDescent="0.25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spans="1:16" x14ac:dyDescent="0.25">
      <c r="A323" s="71" t="s">
        <v>311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spans="1:16" x14ac:dyDescent="0.25">
      <c r="A324" s="71" t="s">
        <v>312</v>
      </c>
      <c r="B324" s="74"/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</row>
    <row r="325" spans="1:16" x14ac:dyDescent="0.25">
      <c r="A325" s="71" t="s">
        <v>313</v>
      </c>
      <c r="B325" s="74"/>
      <c r="C325" s="74">
        <v>432.28</v>
      </c>
      <c r="D325" s="74">
        <v>582.36</v>
      </c>
      <c r="E325" s="74">
        <v>0</v>
      </c>
      <c r="F325" s="74">
        <v>85.91</v>
      </c>
      <c r="G325" s="74">
        <v>322.70999999999998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1423.26</v>
      </c>
    </row>
    <row r="326" spans="1:16" x14ac:dyDescent="0.25">
      <c r="A326" s="71" t="s">
        <v>314</v>
      </c>
      <c r="B326" s="74"/>
      <c r="C326" s="74">
        <v>1733.46</v>
      </c>
      <c r="D326" s="74">
        <v>434.4</v>
      </c>
      <c r="E326" s="74">
        <v>502.32</v>
      </c>
      <c r="F326" s="74">
        <v>27.34</v>
      </c>
      <c r="G326" s="74">
        <v>413.71</v>
      </c>
      <c r="H326" s="74">
        <v>382.69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3493.9200000000005</v>
      </c>
    </row>
    <row r="327" spans="1:16" x14ac:dyDescent="0.25">
      <c r="A327" s="71" t="s">
        <v>315</v>
      </c>
      <c r="B327" s="74"/>
      <c r="C327" s="74">
        <v>327.36</v>
      </c>
      <c r="D327" s="74">
        <v>277.2</v>
      </c>
      <c r="E327" s="74">
        <v>320.54000000000002</v>
      </c>
      <c r="F327" s="74">
        <v>0</v>
      </c>
      <c r="G327" s="74">
        <v>264</v>
      </c>
      <c r="H327" s="74">
        <v>244.2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1433.3</v>
      </c>
    </row>
    <row r="328" spans="1:16" x14ac:dyDescent="0.25">
      <c r="A328" s="71" t="s">
        <v>316</v>
      </c>
      <c r="B328" s="74"/>
      <c r="C328" s="74">
        <v>0</v>
      </c>
      <c r="D328" s="74">
        <v>103.83</v>
      </c>
      <c r="E328" s="74">
        <v>516.54999999999995</v>
      </c>
      <c r="F328" s="74">
        <v>737.16</v>
      </c>
      <c r="G328" s="74">
        <v>416.56</v>
      </c>
      <c r="H328" s="74">
        <v>408.55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2182.65</v>
      </c>
    </row>
    <row r="329" spans="1:16" x14ac:dyDescent="0.25">
      <c r="A329" s="71" t="s">
        <v>317</v>
      </c>
      <c r="B329" s="74"/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6" x14ac:dyDescent="0.25">
      <c r="A330" s="71" t="s">
        <v>318</v>
      </c>
      <c r="B330" s="74"/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6" x14ac:dyDescent="0.25">
      <c r="A331" s="71" t="s">
        <v>319</v>
      </c>
      <c r="B331" s="74"/>
      <c r="C331" s="74">
        <v>0</v>
      </c>
      <c r="D331" s="74">
        <v>0</v>
      </c>
      <c r="E331" s="74">
        <v>0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6" x14ac:dyDescent="0.25">
      <c r="A332" s="71" t="s">
        <v>320</v>
      </c>
      <c r="B332" s="74"/>
      <c r="C332" s="74">
        <v>0</v>
      </c>
      <c r="D332" s="74">
        <v>0</v>
      </c>
      <c r="E332" s="74">
        <v>0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6" x14ac:dyDescent="0.25">
      <c r="A333" s="71" t="s">
        <v>321</v>
      </c>
      <c r="B333" s="74"/>
      <c r="C333" s="74">
        <v>0</v>
      </c>
      <c r="D333" s="74">
        <v>0</v>
      </c>
      <c r="E333" s="74">
        <v>0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6" x14ac:dyDescent="0.25">
      <c r="A334" s="71" t="s">
        <v>322</v>
      </c>
      <c r="B334" s="74"/>
      <c r="C334" s="74">
        <v>0</v>
      </c>
      <c r="D334" s="74">
        <v>0</v>
      </c>
      <c r="E334" s="74">
        <v>0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6" x14ac:dyDescent="0.25">
      <c r="A335" s="71" t="s">
        <v>323</v>
      </c>
      <c r="B335" s="74"/>
      <c r="C335" s="74">
        <v>0</v>
      </c>
      <c r="D335" s="74">
        <v>0</v>
      </c>
      <c r="E335" s="74">
        <v>0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6" x14ac:dyDescent="0.25">
      <c r="A336" s="71" t="s">
        <v>324</v>
      </c>
      <c r="C336" s="83">
        <v>85.49</v>
      </c>
      <c r="D336" s="83">
        <v>85.49</v>
      </c>
      <c r="E336" s="83">
        <v>85.49</v>
      </c>
      <c r="F336" s="83">
        <v>85.49</v>
      </c>
      <c r="G336" s="83">
        <v>0</v>
      </c>
      <c r="H336" s="83">
        <v>0</v>
      </c>
      <c r="I336" s="83">
        <v>0</v>
      </c>
      <c r="J336" s="83">
        <v>0</v>
      </c>
      <c r="K336" s="83">
        <v>0</v>
      </c>
      <c r="L336" s="83">
        <v>0</v>
      </c>
      <c r="M336" s="83">
        <v>0</v>
      </c>
      <c r="N336" s="83">
        <v>0</v>
      </c>
      <c r="O336" s="83">
        <v>341.96</v>
      </c>
      <c r="P336" s="86"/>
    </row>
    <row r="337" spans="1:16" x14ac:dyDescent="0.25">
      <c r="A337" s="71" t="s">
        <v>325</v>
      </c>
      <c r="C337" s="98">
        <v>0</v>
      </c>
      <c r="D337" s="98">
        <v>0</v>
      </c>
      <c r="E337" s="98">
        <v>0</v>
      </c>
      <c r="F337" s="98">
        <v>0</v>
      </c>
      <c r="G337" s="98">
        <v>0</v>
      </c>
      <c r="H337" s="98">
        <v>0</v>
      </c>
      <c r="I337" s="98">
        <v>0</v>
      </c>
      <c r="J337" s="98">
        <v>0</v>
      </c>
      <c r="K337" s="98">
        <v>0</v>
      </c>
      <c r="L337" s="98">
        <v>0</v>
      </c>
      <c r="M337" s="98">
        <v>0</v>
      </c>
      <c r="N337" s="98">
        <v>0</v>
      </c>
      <c r="O337" s="98">
        <v>0</v>
      </c>
    </row>
    <row r="338" spans="1:16" x14ac:dyDescent="0.25">
      <c r="A338" s="71" t="s">
        <v>326</v>
      </c>
      <c r="C338" s="74">
        <v>2578.5899999999997</v>
      </c>
      <c r="D338" s="74">
        <v>1483.28</v>
      </c>
      <c r="E338" s="74">
        <v>1424.8999999999999</v>
      </c>
      <c r="F338" s="74">
        <v>935.9</v>
      </c>
      <c r="G338" s="74">
        <v>1416.98</v>
      </c>
      <c r="H338" s="74">
        <v>1035.44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8875.09</v>
      </c>
      <c r="P338" s="71">
        <v>0</v>
      </c>
    </row>
    <row r="339" spans="1:16" x14ac:dyDescent="0.25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spans="1:16" x14ac:dyDescent="0.25">
      <c r="A340" s="71" t="s">
        <v>327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spans="1:16" x14ac:dyDescent="0.25">
      <c r="A341" s="71" t="s">
        <v>328</v>
      </c>
      <c r="B341" s="74"/>
      <c r="C341" s="74">
        <v>15329.48</v>
      </c>
      <c r="D341" s="74">
        <v>12387.67</v>
      </c>
      <c r="E341" s="74">
        <v>12252.95</v>
      </c>
      <c r="F341" s="74">
        <v>9334</v>
      </c>
      <c r="G341" s="74">
        <v>11535.66</v>
      </c>
      <c r="H341" s="74">
        <v>9053.36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69893.12000000001</v>
      </c>
    </row>
    <row r="342" spans="1:16" x14ac:dyDescent="0.25">
      <c r="A342" s="71" t="s">
        <v>329</v>
      </c>
      <c r="B342" s="74"/>
      <c r="C342" s="74">
        <v>1078.44</v>
      </c>
      <c r="D342" s="74">
        <v>454.72</v>
      </c>
      <c r="E342" s="74">
        <v>501.47</v>
      </c>
      <c r="F342" s="74">
        <v>403.01</v>
      </c>
      <c r="G342" s="74">
        <v>683.85</v>
      </c>
      <c r="H342" s="74">
        <v>502.64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3624.13</v>
      </c>
    </row>
    <row r="343" spans="1:16" x14ac:dyDescent="0.25">
      <c r="A343" s="71" t="s">
        <v>330</v>
      </c>
      <c r="B343" s="74"/>
      <c r="C343" s="74">
        <v>491.04</v>
      </c>
      <c r="D343" s="74">
        <v>415.8</v>
      </c>
      <c r="E343" s="74">
        <v>480.81</v>
      </c>
      <c r="F343" s="74">
        <v>0</v>
      </c>
      <c r="G343" s="74">
        <v>396</v>
      </c>
      <c r="H343" s="74">
        <v>366.3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2149.9500000000003</v>
      </c>
    </row>
    <row r="344" spans="1:16" x14ac:dyDescent="0.25">
      <c r="A344" s="71" t="s">
        <v>331</v>
      </c>
      <c r="B344" s="74"/>
      <c r="C344" s="74">
        <v>337.45</v>
      </c>
      <c r="D344" s="74">
        <v>84.74</v>
      </c>
      <c r="E344" s="74">
        <v>0</v>
      </c>
      <c r="F344" s="74">
        <v>0</v>
      </c>
      <c r="G344" s="74">
        <v>405.7</v>
      </c>
      <c r="H344" s="74">
        <v>22.7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850.59</v>
      </c>
    </row>
    <row r="345" spans="1:16" x14ac:dyDescent="0.25">
      <c r="A345" s="71" t="s">
        <v>332</v>
      </c>
      <c r="B345" s="74"/>
      <c r="C345" s="74">
        <v>0</v>
      </c>
      <c r="D345" s="74">
        <v>0</v>
      </c>
      <c r="E345" s="74">
        <v>0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6" x14ac:dyDescent="0.25">
      <c r="A346" s="71" t="s">
        <v>333</v>
      </c>
      <c r="B346" s="74"/>
      <c r="C346" s="74">
        <v>0</v>
      </c>
      <c r="D346" s="74">
        <v>0</v>
      </c>
      <c r="E346" s="74">
        <v>0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6" x14ac:dyDescent="0.25">
      <c r="A347" s="71" t="s">
        <v>334</v>
      </c>
      <c r="B347" s="74"/>
      <c r="C347" s="74">
        <v>0</v>
      </c>
      <c r="D347" s="74">
        <v>0</v>
      </c>
      <c r="E347" s="74">
        <v>0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6" x14ac:dyDescent="0.25">
      <c r="A348" s="71" t="s">
        <v>335</v>
      </c>
      <c r="B348" s="74"/>
      <c r="C348" s="74">
        <v>0</v>
      </c>
      <c r="D348" s="74">
        <v>0</v>
      </c>
      <c r="E348" s="74">
        <v>0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6" x14ac:dyDescent="0.25">
      <c r="A349" s="71" t="s">
        <v>336</v>
      </c>
      <c r="B349" s="74"/>
      <c r="C349" s="74">
        <v>473.85</v>
      </c>
      <c r="D349" s="74">
        <v>388.8</v>
      </c>
      <c r="E349" s="74">
        <v>0</v>
      </c>
      <c r="F349" s="74">
        <v>194.4</v>
      </c>
      <c r="G349" s="74">
        <v>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1057.0500000000002</v>
      </c>
    </row>
    <row r="350" spans="1:16" x14ac:dyDescent="0.25">
      <c r="A350" s="71" t="s">
        <v>337</v>
      </c>
      <c r="B350" s="74"/>
      <c r="C350" s="74">
        <v>0</v>
      </c>
      <c r="D350" s="74">
        <v>0</v>
      </c>
      <c r="E350" s="74">
        <v>0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6" x14ac:dyDescent="0.25">
      <c r="A351" s="71" t="s">
        <v>338</v>
      </c>
      <c r="B351" s="74"/>
      <c r="C351" s="74">
        <v>97.2</v>
      </c>
      <c r="D351" s="74">
        <v>151.87</v>
      </c>
      <c r="E351" s="74">
        <v>0</v>
      </c>
      <c r="F351" s="74">
        <v>0</v>
      </c>
      <c r="G351" s="74">
        <v>255.15</v>
      </c>
      <c r="H351" s="74">
        <v>93.75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597.97</v>
      </c>
    </row>
    <row r="352" spans="1:16" x14ac:dyDescent="0.25">
      <c r="A352" s="71" t="s">
        <v>339</v>
      </c>
      <c r="C352" s="83">
        <v>82.37</v>
      </c>
      <c r="D352" s="83">
        <v>-14.2</v>
      </c>
      <c r="E352" s="83">
        <v>-14.2</v>
      </c>
      <c r="F352" s="83">
        <v>-14.2</v>
      </c>
      <c r="G352" s="83">
        <v>-9.1999999999999993</v>
      </c>
      <c r="H352" s="83">
        <v>35.64</v>
      </c>
      <c r="I352" s="83">
        <v>0</v>
      </c>
      <c r="J352" s="83">
        <v>0</v>
      </c>
      <c r="K352" s="83">
        <v>0</v>
      </c>
      <c r="L352" s="83">
        <v>0</v>
      </c>
      <c r="M352" s="83">
        <v>0</v>
      </c>
      <c r="N352" s="83">
        <v>0</v>
      </c>
      <c r="O352" s="83">
        <v>66.209999999999994</v>
      </c>
      <c r="P352" s="86"/>
    </row>
    <row r="353" spans="1:16" x14ac:dyDescent="0.25">
      <c r="A353" s="71" t="s">
        <v>340</v>
      </c>
      <c r="C353" s="74">
        <v>0</v>
      </c>
      <c r="D353" s="74">
        <v>0</v>
      </c>
      <c r="E353" s="74">
        <v>0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6" x14ac:dyDescent="0.25">
      <c r="A354" s="71" t="s">
        <v>341</v>
      </c>
      <c r="C354" s="74">
        <v>17889.829999999998</v>
      </c>
      <c r="D354" s="74">
        <v>13869.399999999998</v>
      </c>
      <c r="E354" s="74">
        <v>13221.029999999999</v>
      </c>
      <c r="F354" s="74">
        <v>9917.2099999999991</v>
      </c>
      <c r="G354" s="74">
        <v>13267.16</v>
      </c>
      <c r="H354" s="74">
        <v>10074.39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78239.020000000019</v>
      </c>
      <c r="P354" s="71">
        <v>0</v>
      </c>
    </row>
    <row r="355" spans="1:16" x14ac:dyDescent="0.25">
      <c r="A355" s="71" t="s">
        <v>54</v>
      </c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spans="1:16" x14ac:dyDescent="0.25">
      <c r="A356" s="71" t="s">
        <v>54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spans="1:16" x14ac:dyDescent="0.25">
      <c r="A357" s="71" t="s">
        <v>342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spans="1:16" x14ac:dyDescent="0.25">
      <c r="A358" s="71" t="s">
        <v>343</v>
      </c>
      <c r="B358" s="74"/>
      <c r="C358" s="74">
        <v>2188.25</v>
      </c>
      <c r="D358" s="74">
        <v>1690.85</v>
      </c>
      <c r="E358" s="74">
        <v>1957.14</v>
      </c>
      <c r="F358" s="74">
        <v>2382.2399999999998</v>
      </c>
      <c r="G358" s="74">
        <v>2455.81</v>
      </c>
      <c r="H358" s="74">
        <v>2003.8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12678.089999999998</v>
      </c>
    </row>
    <row r="359" spans="1:16" x14ac:dyDescent="0.25">
      <c r="A359" s="71" t="s">
        <v>344</v>
      </c>
      <c r="B359" s="74"/>
      <c r="C359" s="74">
        <v>1037.01</v>
      </c>
      <c r="D359" s="74">
        <v>0</v>
      </c>
      <c r="E359" s="74">
        <v>0</v>
      </c>
      <c r="F359" s="74">
        <v>0</v>
      </c>
      <c r="G359" s="74">
        <v>0</v>
      </c>
      <c r="H359" s="74">
        <v>1398.48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2435.4899999999998</v>
      </c>
    </row>
    <row r="360" spans="1:16" x14ac:dyDescent="0.25">
      <c r="A360" s="71" t="s">
        <v>345</v>
      </c>
      <c r="B360" s="74"/>
      <c r="C360" s="74">
        <v>1508.31</v>
      </c>
      <c r="D360" s="74">
        <v>292.73</v>
      </c>
      <c r="E360" s="74">
        <v>1017.02</v>
      </c>
      <c r="F360" s="74">
        <v>795.19</v>
      </c>
      <c r="G360" s="74">
        <v>914.57</v>
      </c>
      <c r="H360" s="74">
        <v>831.94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5359.76</v>
      </c>
    </row>
    <row r="361" spans="1:16" x14ac:dyDescent="0.25">
      <c r="A361" s="71" t="s">
        <v>346</v>
      </c>
      <c r="B361" s="74"/>
      <c r="C361" s="74">
        <v>0</v>
      </c>
      <c r="D361" s="74">
        <v>0</v>
      </c>
      <c r="E361" s="74">
        <v>0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6" x14ac:dyDescent="0.25">
      <c r="A362" s="71" t="s">
        <v>347</v>
      </c>
      <c r="B362" s="74"/>
      <c r="C362" s="74">
        <v>1282.5</v>
      </c>
      <c r="D362" s="74">
        <v>0</v>
      </c>
      <c r="E362" s="74">
        <v>0</v>
      </c>
      <c r="F362" s="74">
        <v>0</v>
      </c>
      <c r="G362" s="74">
        <v>765</v>
      </c>
      <c r="H362" s="74">
        <v>397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2444.5</v>
      </c>
    </row>
    <row r="363" spans="1:16" x14ac:dyDescent="0.25">
      <c r="A363" s="71" t="s">
        <v>348</v>
      </c>
      <c r="B363" s="74"/>
      <c r="C363" s="74">
        <v>0</v>
      </c>
      <c r="D363" s="74">
        <v>640</v>
      </c>
      <c r="E363" s="74">
        <v>320</v>
      </c>
      <c r="F363" s="74">
        <v>0</v>
      </c>
      <c r="G363" s="74">
        <v>320</v>
      </c>
      <c r="H363" s="74">
        <v>160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1440</v>
      </c>
    </row>
    <row r="364" spans="1:16" x14ac:dyDescent="0.25">
      <c r="A364" s="71" t="s">
        <v>349</v>
      </c>
      <c r="B364" s="74"/>
      <c r="C364" s="74">
        <v>2263.2600000000002</v>
      </c>
      <c r="D364" s="74">
        <v>1131.6300000000001</v>
      </c>
      <c r="E364" s="74">
        <v>1216.3699999999999</v>
      </c>
      <c r="F364" s="74">
        <v>1216.3699999999999</v>
      </c>
      <c r="G364" s="74">
        <v>1216.3699999999999</v>
      </c>
      <c r="H364" s="74">
        <v>1216.3699999999999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8260.369999999999</v>
      </c>
    </row>
    <row r="365" spans="1:16" x14ac:dyDescent="0.25">
      <c r="A365" s="71" t="s">
        <v>350</v>
      </c>
      <c r="B365" s="74"/>
      <c r="C365" s="74">
        <v>619.6</v>
      </c>
      <c r="D365" s="74">
        <v>500</v>
      </c>
      <c r="E365" s="74">
        <v>920</v>
      </c>
      <c r="F365" s="74">
        <v>500</v>
      </c>
      <c r="G365" s="74">
        <v>800</v>
      </c>
      <c r="H365" s="74">
        <v>800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4139.6000000000004</v>
      </c>
    </row>
    <row r="366" spans="1:16" x14ac:dyDescent="0.25">
      <c r="A366" s="71" t="s">
        <v>351</v>
      </c>
      <c r="B366" s="74"/>
      <c r="C366" s="74">
        <v>3435.36</v>
      </c>
      <c r="D366" s="74">
        <v>5784.17</v>
      </c>
      <c r="E366" s="74">
        <v>5956.06</v>
      </c>
      <c r="F366" s="74">
        <v>2470</v>
      </c>
      <c r="G366" s="74">
        <v>3141.71</v>
      </c>
      <c r="H366" s="74">
        <v>2272.71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23060.01</v>
      </c>
    </row>
    <row r="367" spans="1:16" x14ac:dyDescent="0.25">
      <c r="A367" s="71" t="s">
        <v>352</v>
      </c>
      <c r="B367" s="74"/>
      <c r="C367" s="74">
        <v>0</v>
      </c>
      <c r="D367" s="74">
        <v>0</v>
      </c>
      <c r="E367" s="74">
        <v>0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6" x14ac:dyDescent="0.25">
      <c r="A368" s="71" t="s">
        <v>353</v>
      </c>
      <c r="B368" s="74"/>
      <c r="C368" s="74">
        <v>-16.3</v>
      </c>
      <c r="D368" s="74">
        <v>0</v>
      </c>
      <c r="E368" s="74">
        <v>0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-16.3</v>
      </c>
    </row>
    <row r="369" spans="1:16" x14ac:dyDescent="0.25">
      <c r="A369" s="71" t="s">
        <v>354</v>
      </c>
      <c r="B369" s="74"/>
      <c r="C369" s="74">
        <v>0</v>
      </c>
      <c r="D369" s="74">
        <v>0</v>
      </c>
      <c r="E369" s="74">
        <v>0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6" x14ac:dyDescent="0.25">
      <c r="A370" s="71" t="s">
        <v>355</v>
      </c>
      <c r="B370" s="74"/>
      <c r="C370" s="74">
        <v>0</v>
      </c>
      <c r="D370" s="74">
        <v>112</v>
      </c>
      <c r="E370" s="74">
        <v>0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112</v>
      </c>
    </row>
    <row r="371" spans="1:16" x14ac:dyDescent="0.25">
      <c r="A371" s="71" t="s">
        <v>356</v>
      </c>
      <c r="B371" s="74"/>
      <c r="C371" s="74">
        <v>0</v>
      </c>
      <c r="D371" s="74">
        <v>0</v>
      </c>
      <c r="E371" s="74">
        <v>0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6" x14ac:dyDescent="0.25">
      <c r="A372" s="71" t="s">
        <v>357</v>
      </c>
      <c r="B372" s="74"/>
      <c r="C372" s="74">
        <v>0</v>
      </c>
      <c r="D372" s="74">
        <v>0</v>
      </c>
      <c r="E372" s="74">
        <v>0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6" x14ac:dyDescent="0.25">
      <c r="A373" s="71" t="s">
        <v>358</v>
      </c>
      <c r="B373" s="74"/>
      <c r="C373" s="74">
        <v>0</v>
      </c>
      <c r="D373" s="74">
        <v>0</v>
      </c>
      <c r="E373" s="74">
        <v>0</v>
      </c>
      <c r="F373" s="74">
        <v>0</v>
      </c>
      <c r="G373" s="74">
        <v>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0</v>
      </c>
    </row>
    <row r="374" spans="1:16" x14ac:dyDescent="0.25">
      <c r="A374" s="71" t="s">
        <v>359</v>
      </c>
      <c r="B374" s="74"/>
      <c r="C374" s="74">
        <v>0</v>
      </c>
      <c r="D374" s="74">
        <v>0</v>
      </c>
      <c r="E374" s="74">
        <v>0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6" x14ac:dyDescent="0.25">
      <c r="A375" s="71" t="s">
        <v>360</v>
      </c>
      <c r="B375" s="74"/>
      <c r="C375" s="74">
        <v>0</v>
      </c>
      <c r="D375" s="74">
        <v>0</v>
      </c>
      <c r="E375" s="74">
        <v>0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6" x14ac:dyDescent="0.25">
      <c r="A376" s="71" t="s">
        <v>361</v>
      </c>
      <c r="B376" s="74"/>
      <c r="C376" s="74">
        <v>4051.59</v>
      </c>
      <c r="D376" s="74">
        <v>4533.26</v>
      </c>
      <c r="E376" s="74">
        <v>4880.0600000000004</v>
      </c>
      <c r="F376" s="74">
        <v>3280.92</v>
      </c>
      <c r="G376" s="74">
        <v>3126.79</v>
      </c>
      <c r="H376" s="74">
        <v>3125.25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22997.870000000003</v>
      </c>
    </row>
    <row r="377" spans="1:16" x14ac:dyDescent="0.25">
      <c r="A377" s="71" t="s">
        <v>362</v>
      </c>
      <c r="C377" s="83">
        <v>0</v>
      </c>
      <c r="D377" s="83">
        <v>2354.46</v>
      </c>
      <c r="E377" s="83">
        <v>2362.7199999999998</v>
      </c>
      <c r="F377" s="83">
        <v>2104.5700000000002</v>
      </c>
      <c r="G377" s="83">
        <v>2077.14</v>
      </c>
      <c r="H377" s="83">
        <v>3258.74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O377" s="83">
        <v>12157.63</v>
      </c>
      <c r="P377" s="86"/>
    </row>
    <row r="378" spans="1:16" x14ac:dyDescent="0.25">
      <c r="A378" s="71" t="s">
        <v>363</v>
      </c>
      <c r="C378" s="98">
        <v>0</v>
      </c>
      <c r="D378" s="98">
        <v>1960.17</v>
      </c>
      <c r="E378" s="98">
        <v>1101.4100000000001</v>
      </c>
      <c r="F378" s="98">
        <v>1004.23</v>
      </c>
      <c r="G378" s="98">
        <v>2133.23</v>
      </c>
      <c r="H378" s="98">
        <v>182.62</v>
      </c>
      <c r="I378" s="98">
        <v>0</v>
      </c>
      <c r="J378" s="98">
        <v>0</v>
      </c>
      <c r="K378" s="98">
        <v>0</v>
      </c>
      <c r="L378" s="98">
        <v>0</v>
      </c>
      <c r="M378" s="98">
        <v>0</v>
      </c>
      <c r="N378" s="98">
        <v>0</v>
      </c>
      <c r="O378" s="98">
        <v>6381.66</v>
      </c>
    </row>
    <row r="379" spans="1:16" x14ac:dyDescent="0.25">
      <c r="A379" s="71" t="s">
        <v>364</v>
      </c>
      <c r="C379" s="74">
        <v>16369.580000000002</v>
      </c>
      <c r="D379" s="74">
        <v>18999.270000000004</v>
      </c>
      <c r="E379" s="74">
        <v>19730.780000000002</v>
      </c>
      <c r="F379" s="74">
        <v>13753.519999999999</v>
      </c>
      <c r="G379" s="74">
        <v>16950.62</v>
      </c>
      <c r="H379" s="74">
        <v>15646.91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101450.68</v>
      </c>
      <c r="P379" s="71">
        <v>0</v>
      </c>
    </row>
    <row r="380" spans="1:16" x14ac:dyDescent="0.25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spans="1:16" x14ac:dyDescent="0.25">
      <c r="A381" s="71" t="s">
        <v>365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spans="1:16" x14ac:dyDescent="0.25">
      <c r="A382" s="71" t="s">
        <v>366</v>
      </c>
      <c r="B382" s="74"/>
      <c r="C382" s="74">
        <v>5893.56</v>
      </c>
      <c r="D382" s="74">
        <v>5893.56</v>
      </c>
      <c r="E382" s="74">
        <v>5893.56</v>
      </c>
      <c r="F382" s="74">
        <v>5893.56</v>
      </c>
      <c r="G382" s="74">
        <v>5893.56</v>
      </c>
      <c r="H382" s="74">
        <v>5893.56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35361.360000000001</v>
      </c>
    </row>
    <row r="383" spans="1:16" x14ac:dyDescent="0.25">
      <c r="A383" s="71" t="s">
        <v>367</v>
      </c>
      <c r="B383" s="74"/>
      <c r="C383" s="74">
        <v>2286.52</v>
      </c>
      <c r="D383" s="74">
        <v>2368.4699999999998</v>
      </c>
      <c r="E383" s="74">
        <v>2398.9</v>
      </c>
      <c r="F383" s="74">
        <v>1782.68</v>
      </c>
      <c r="G383" s="74">
        <v>1866.31</v>
      </c>
      <c r="H383" s="74">
        <v>1639.45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12342.33</v>
      </c>
    </row>
    <row r="384" spans="1:16" x14ac:dyDescent="0.25">
      <c r="A384" s="71" t="s">
        <v>368</v>
      </c>
      <c r="B384" s="74"/>
      <c r="C384" s="74">
        <v>1213.9100000000001</v>
      </c>
      <c r="D384" s="74">
        <v>0</v>
      </c>
      <c r="E384" s="74">
        <v>1234.3900000000001</v>
      </c>
      <c r="F384" s="74">
        <v>613</v>
      </c>
      <c r="G384" s="74">
        <v>447.4</v>
      </c>
      <c r="H384" s="74">
        <v>133.80000000000001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3642.5000000000005</v>
      </c>
    </row>
    <row r="385" spans="1:15" x14ac:dyDescent="0.25">
      <c r="A385" s="71" t="s">
        <v>369</v>
      </c>
      <c r="B385" s="74"/>
      <c r="C385" s="74">
        <v>0</v>
      </c>
      <c r="D385" s="74">
        <v>0</v>
      </c>
      <c r="E385" s="74">
        <v>0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5">
      <c r="A386" s="71" t="s">
        <v>370</v>
      </c>
      <c r="B386" s="74"/>
      <c r="C386" s="74">
        <v>5752.84</v>
      </c>
      <c r="D386" s="74">
        <v>4359.8500000000004</v>
      </c>
      <c r="E386" s="74">
        <v>4626.46</v>
      </c>
      <c r="F386" s="74">
        <v>3651.58</v>
      </c>
      <c r="G386" s="74">
        <v>4363.16</v>
      </c>
      <c r="H386" s="74">
        <v>3046.77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25800.660000000003</v>
      </c>
    </row>
    <row r="387" spans="1:15" x14ac:dyDescent="0.25">
      <c r="A387" s="71" t="s">
        <v>371</v>
      </c>
      <c r="B387" s="74"/>
      <c r="C387" s="74">
        <v>0</v>
      </c>
      <c r="D387" s="74">
        <v>0</v>
      </c>
      <c r="E387" s="74">
        <v>0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5">
      <c r="A388" s="71" t="s">
        <v>372</v>
      </c>
      <c r="B388" s="74"/>
      <c r="C388" s="74">
        <v>0</v>
      </c>
      <c r="D388" s="74">
        <v>0</v>
      </c>
      <c r="E388" s="74">
        <v>0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5">
      <c r="A389" s="71" t="s">
        <v>373</v>
      </c>
      <c r="B389" s="74"/>
      <c r="C389" s="74">
        <v>0</v>
      </c>
      <c r="D389" s="74">
        <v>0</v>
      </c>
      <c r="E389" s="74">
        <v>0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5">
      <c r="A390" s="71" t="s">
        <v>374</v>
      </c>
      <c r="B390" s="74"/>
      <c r="C390" s="74">
        <v>0</v>
      </c>
      <c r="D390" s="74">
        <v>0</v>
      </c>
      <c r="E390" s="74">
        <v>0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5">
      <c r="A391" s="71" t="s">
        <v>375</v>
      </c>
      <c r="B391" s="74"/>
      <c r="C391" s="74">
        <v>120</v>
      </c>
      <c r="D391" s="74">
        <v>120</v>
      </c>
      <c r="E391" s="74">
        <v>120</v>
      </c>
      <c r="F391" s="74">
        <v>120</v>
      </c>
      <c r="G391" s="74">
        <v>120</v>
      </c>
      <c r="H391" s="74">
        <v>120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720</v>
      </c>
    </row>
    <row r="392" spans="1:15" x14ac:dyDescent="0.25">
      <c r="A392" s="71" t="s">
        <v>376</v>
      </c>
      <c r="B392" s="74"/>
      <c r="C392" s="74">
        <v>0</v>
      </c>
      <c r="D392" s="74">
        <v>0</v>
      </c>
      <c r="E392" s="74">
        <v>0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5">
      <c r="A393" s="71" t="s">
        <v>377</v>
      </c>
      <c r="B393" s="74"/>
      <c r="C393" s="74">
        <v>0</v>
      </c>
      <c r="D393" s="74">
        <v>0</v>
      </c>
      <c r="E393" s="74">
        <v>137.6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137.6</v>
      </c>
    </row>
    <row r="394" spans="1:15" x14ac:dyDescent="0.25">
      <c r="A394" s="71" t="s">
        <v>378</v>
      </c>
      <c r="B394" s="74"/>
      <c r="C394" s="74">
        <v>0</v>
      </c>
      <c r="D394" s="74">
        <v>0</v>
      </c>
      <c r="E394" s="74">
        <v>0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5">
      <c r="A395" s="71" t="s">
        <v>379</v>
      </c>
      <c r="B395" s="74"/>
      <c r="C395" s="74">
        <v>110</v>
      </c>
      <c r="D395" s="74">
        <v>0</v>
      </c>
      <c r="E395" s="74">
        <v>0</v>
      </c>
      <c r="F395" s="74">
        <v>82.5</v>
      </c>
      <c r="G395" s="74">
        <v>220.1</v>
      </c>
      <c r="H395" s="74">
        <v>110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522.6</v>
      </c>
    </row>
    <row r="396" spans="1:15" x14ac:dyDescent="0.25">
      <c r="A396" s="71" t="s">
        <v>380</v>
      </c>
      <c r="B396" s="74"/>
      <c r="C396" s="74">
        <v>0</v>
      </c>
      <c r="D396" s="74">
        <v>0</v>
      </c>
      <c r="E396" s="74">
        <v>0</v>
      </c>
      <c r="F396" s="74">
        <v>0</v>
      </c>
      <c r="G396" s="74">
        <v>413.69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413.69</v>
      </c>
    </row>
    <row r="397" spans="1:15" x14ac:dyDescent="0.25">
      <c r="A397" s="71" t="s">
        <v>381</v>
      </c>
      <c r="B397" s="74"/>
      <c r="C397" s="74">
        <v>0</v>
      </c>
      <c r="D397" s="74">
        <v>0</v>
      </c>
      <c r="E397" s="74">
        <v>0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5">
      <c r="A398" s="71" t="s">
        <v>382</v>
      </c>
      <c r="B398" s="74"/>
      <c r="C398" s="74">
        <v>0</v>
      </c>
      <c r="D398" s="74">
        <v>0</v>
      </c>
      <c r="E398" s="74">
        <v>0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5">
      <c r="A399" s="71" t="s">
        <v>383</v>
      </c>
      <c r="B399" s="74"/>
      <c r="C399" s="74">
        <v>0</v>
      </c>
      <c r="D399" s="74">
        <v>0</v>
      </c>
      <c r="E399" s="74">
        <v>0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5">
      <c r="A400" s="71" t="s">
        <v>384</v>
      </c>
      <c r="B400" s="74"/>
      <c r="C400" s="74">
        <v>0</v>
      </c>
      <c r="D400" s="74">
        <v>0</v>
      </c>
      <c r="E400" s="74">
        <v>0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5">
      <c r="A401" s="71" t="s">
        <v>385</v>
      </c>
      <c r="B401" s="74"/>
      <c r="C401" s="74">
        <v>0</v>
      </c>
      <c r="D401" s="74">
        <v>0</v>
      </c>
      <c r="E401" s="74">
        <v>0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5">
      <c r="A402" s="71" t="s">
        <v>386</v>
      </c>
      <c r="B402" s="74"/>
      <c r="C402" s="74">
        <v>60</v>
      </c>
      <c r="D402" s="74">
        <v>60</v>
      </c>
      <c r="E402" s="74">
        <v>60</v>
      </c>
      <c r="F402" s="74">
        <v>60</v>
      </c>
      <c r="G402" s="74">
        <v>60</v>
      </c>
      <c r="H402" s="74">
        <v>60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360</v>
      </c>
    </row>
    <row r="403" spans="1:15" x14ac:dyDescent="0.25">
      <c r="A403" s="71" t="s">
        <v>387</v>
      </c>
      <c r="B403" s="74"/>
      <c r="C403" s="74">
        <v>0</v>
      </c>
      <c r="D403" s="74">
        <v>0</v>
      </c>
      <c r="E403" s="74">
        <v>0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5">
      <c r="A404" s="71" t="s">
        <v>388</v>
      </c>
      <c r="B404" s="74"/>
      <c r="C404" s="74">
        <v>0</v>
      </c>
      <c r="D404" s="74">
        <v>0</v>
      </c>
      <c r="E404" s="74">
        <v>0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5">
      <c r="A405" s="71" t="s">
        <v>389</v>
      </c>
      <c r="B405" s="74"/>
      <c r="C405" s="74">
        <v>0</v>
      </c>
      <c r="D405" s="74">
        <v>0</v>
      </c>
      <c r="E405" s="74">
        <v>0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5">
      <c r="A406" s="71" t="s">
        <v>390</v>
      </c>
      <c r="B406" s="74"/>
      <c r="C406" s="74">
        <v>455</v>
      </c>
      <c r="D406" s="74">
        <v>455</v>
      </c>
      <c r="E406" s="74">
        <v>1505</v>
      </c>
      <c r="F406" s="74">
        <v>455</v>
      </c>
      <c r="G406" s="74">
        <v>455</v>
      </c>
      <c r="H406" s="74">
        <v>455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3780</v>
      </c>
    </row>
    <row r="407" spans="1:15" x14ac:dyDescent="0.25">
      <c r="A407" s="71" t="s">
        <v>391</v>
      </c>
      <c r="B407" s="74"/>
      <c r="C407" s="74">
        <v>0</v>
      </c>
      <c r="D407" s="74">
        <v>0</v>
      </c>
      <c r="E407" s="74">
        <v>0</v>
      </c>
      <c r="F407" s="74">
        <v>0</v>
      </c>
      <c r="G407" s="74">
        <v>428</v>
      </c>
      <c r="H407" s="74">
        <v>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428</v>
      </c>
    </row>
    <row r="408" spans="1:15" x14ac:dyDescent="0.25">
      <c r="A408" s="71" t="s">
        <v>392</v>
      </c>
      <c r="B408" s="74"/>
      <c r="C408" s="74">
        <v>243.29</v>
      </c>
      <c r="D408" s="74">
        <v>257.58999999999997</v>
      </c>
      <c r="E408" s="74">
        <v>261.29000000000002</v>
      </c>
      <c r="F408" s="74">
        <v>284.83999999999997</v>
      </c>
      <c r="G408" s="74">
        <v>0</v>
      </c>
      <c r="H408" s="74">
        <v>621.20000000000005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1668.21</v>
      </c>
    </row>
    <row r="409" spans="1:15" x14ac:dyDescent="0.25">
      <c r="A409" s="71" t="s">
        <v>393</v>
      </c>
      <c r="B409" s="74"/>
      <c r="C409" s="74">
        <v>15.1</v>
      </c>
      <c r="D409" s="74">
        <v>989.79</v>
      </c>
      <c r="E409" s="74">
        <v>666.86</v>
      </c>
      <c r="F409" s="74">
        <v>706.57</v>
      </c>
      <c r="G409" s="74">
        <v>624.26</v>
      </c>
      <c r="H409" s="74">
        <v>653.80999999999995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3656.39</v>
      </c>
    </row>
    <row r="410" spans="1:15" x14ac:dyDescent="0.25">
      <c r="A410" s="71" t="s">
        <v>394</v>
      </c>
      <c r="B410" s="74"/>
      <c r="C410" s="74">
        <v>0</v>
      </c>
      <c r="D410" s="74">
        <v>0</v>
      </c>
      <c r="E410" s="74">
        <v>49.7</v>
      </c>
      <c r="F410" s="74">
        <v>277.60000000000002</v>
      </c>
      <c r="G410" s="74">
        <v>0</v>
      </c>
      <c r="H410" s="74">
        <v>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327.3</v>
      </c>
    </row>
    <row r="411" spans="1:15" x14ac:dyDescent="0.25">
      <c r="A411" s="71" t="s">
        <v>395</v>
      </c>
      <c r="B411" s="74"/>
      <c r="C411" s="74">
        <v>0</v>
      </c>
      <c r="D411" s="74">
        <v>0</v>
      </c>
      <c r="E411" s="74">
        <v>0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5">
      <c r="A412" s="71" t="s">
        <v>396</v>
      </c>
      <c r="B412" s="74"/>
      <c r="C412" s="74">
        <v>156.08000000000001</v>
      </c>
      <c r="D412" s="74">
        <v>142.43</v>
      </c>
      <c r="E412" s="74">
        <v>328.36</v>
      </c>
      <c r="F412" s="74">
        <v>180.57</v>
      </c>
      <c r="G412" s="74">
        <v>310.89</v>
      </c>
      <c r="H412" s="74">
        <v>679.72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1798.05</v>
      </c>
    </row>
    <row r="413" spans="1:15" x14ac:dyDescent="0.25">
      <c r="A413" s="71" t="s">
        <v>397</v>
      </c>
      <c r="B413" s="74"/>
      <c r="C413" s="74">
        <v>0</v>
      </c>
      <c r="D413" s="74">
        <v>0</v>
      </c>
      <c r="E413" s="74">
        <v>0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5">
      <c r="A414" s="71" t="s">
        <v>398</v>
      </c>
      <c r="B414" s="74"/>
      <c r="C414" s="74">
        <v>0</v>
      </c>
      <c r="D414" s="74">
        <v>0</v>
      </c>
      <c r="E414" s="74">
        <v>0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5">
      <c r="A415" s="71" t="s">
        <v>399</v>
      </c>
      <c r="B415" s="74"/>
      <c r="C415" s="74">
        <v>1080.8699999999999</v>
      </c>
      <c r="D415" s="74">
        <v>1080.8699999999999</v>
      </c>
      <c r="E415" s="74">
        <v>1080.8699999999999</v>
      </c>
      <c r="F415" s="74">
        <v>1080.8699999999999</v>
      </c>
      <c r="G415" s="74">
        <v>1080.8699999999999</v>
      </c>
      <c r="H415" s="74">
        <v>1080.8699999999999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6485.2199999999993</v>
      </c>
    </row>
    <row r="416" spans="1:15" x14ac:dyDescent="0.25">
      <c r="A416" s="71" t="s">
        <v>400</v>
      </c>
      <c r="B416" s="74"/>
      <c r="C416" s="74">
        <v>1102.5</v>
      </c>
      <c r="D416" s="74">
        <v>1102.5</v>
      </c>
      <c r="E416" s="74">
        <v>1102.5</v>
      </c>
      <c r="F416" s="74">
        <v>1927.5</v>
      </c>
      <c r="G416" s="74">
        <v>1102.5</v>
      </c>
      <c r="H416" s="74">
        <v>1102.5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7440</v>
      </c>
    </row>
    <row r="417" spans="1:15" x14ac:dyDescent="0.25">
      <c r="A417" s="71" t="s">
        <v>401</v>
      </c>
      <c r="B417" s="74"/>
      <c r="C417" s="74">
        <v>143.88999999999999</v>
      </c>
      <c r="D417" s="74">
        <v>143.88999999999999</v>
      </c>
      <c r="E417" s="74">
        <v>143.88999999999999</v>
      </c>
      <c r="F417" s="74">
        <v>143.88999999999999</v>
      </c>
      <c r="G417" s="74">
        <v>143.88999999999999</v>
      </c>
      <c r="H417" s="74">
        <v>143.88999999999999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863.33999999999992</v>
      </c>
    </row>
    <row r="418" spans="1:15" x14ac:dyDescent="0.25">
      <c r="A418" s="71" t="s">
        <v>402</v>
      </c>
      <c r="B418" s="74"/>
      <c r="C418" s="74">
        <v>0</v>
      </c>
      <c r="D418" s="74">
        <v>0</v>
      </c>
      <c r="E418" s="74">
        <v>0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5">
      <c r="A419" s="71" t="s">
        <v>403</v>
      </c>
      <c r="B419" s="74"/>
      <c r="C419" s="74">
        <v>4765.1400000000003</v>
      </c>
      <c r="D419" s="74">
        <v>4347.45</v>
      </c>
      <c r="E419" s="74">
        <v>2719.05</v>
      </c>
      <c r="F419" s="74">
        <v>3638.57</v>
      </c>
      <c r="G419" s="74">
        <v>3952.84</v>
      </c>
      <c r="H419" s="74">
        <v>3614.26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23037.309999999998</v>
      </c>
    </row>
    <row r="420" spans="1:15" x14ac:dyDescent="0.25">
      <c r="A420" s="71" t="s">
        <v>404</v>
      </c>
      <c r="B420" s="74"/>
      <c r="C420" s="74">
        <v>107.07</v>
      </c>
      <c r="D420" s="74">
        <v>38</v>
      </c>
      <c r="E420" s="74">
        <v>65.5</v>
      </c>
      <c r="F420" s="74">
        <v>126.41</v>
      </c>
      <c r="G420" s="74">
        <v>31</v>
      </c>
      <c r="H420" s="74">
        <v>39.53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407.51</v>
      </c>
    </row>
    <row r="421" spans="1:15" x14ac:dyDescent="0.25">
      <c r="A421" s="71" t="s">
        <v>405</v>
      </c>
      <c r="B421" s="74"/>
      <c r="C421" s="74">
        <v>1622.12</v>
      </c>
      <c r="D421" s="74">
        <v>1001.15</v>
      </c>
      <c r="E421" s="74">
        <v>1535.95</v>
      </c>
      <c r="F421" s="74">
        <v>533.29</v>
      </c>
      <c r="G421" s="74">
        <v>437.52</v>
      </c>
      <c r="H421" s="74">
        <v>657.72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5787.7500000000009</v>
      </c>
    </row>
    <row r="422" spans="1:15" x14ac:dyDescent="0.25">
      <c r="A422" s="71" t="s">
        <v>406</v>
      </c>
      <c r="B422" s="74"/>
      <c r="C422" s="74">
        <v>15365.04</v>
      </c>
      <c r="D422" s="74">
        <v>13795.36</v>
      </c>
      <c r="E422" s="74">
        <v>14647.1</v>
      </c>
      <c r="F422" s="74">
        <v>11467.45</v>
      </c>
      <c r="G422" s="74">
        <v>11707.53</v>
      </c>
      <c r="H422" s="74">
        <v>10775.97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77758.45</v>
      </c>
    </row>
    <row r="423" spans="1:15" x14ac:dyDescent="0.25">
      <c r="A423" s="71" t="s">
        <v>407</v>
      </c>
      <c r="B423" s="74"/>
      <c r="C423" s="74">
        <v>0</v>
      </c>
      <c r="D423" s="74">
        <v>0</v>
      </c>
      <c r="E423" s="74">
        <v>0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5">
      <c r="A424" s="71" t="s">
        <v>408</v>
      </c>
      <c r="B424" s="74"/>
      <c r="C424" s="74">
        <v>0</v>
      </c>
      <c r="D424" s="74">
        <v>0</v>
      </c>
      <c r="E424" s="74">
        <v>0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5">
      <c r="A425" s="71" t="s">
        <v>409</v>
      </c>
      <c r="B425" s="74"/>
      <c r="C425" s="74">
        <v>600.5</v>
      </c>
      <c r="D425" s="74">
        <v>0</v>
      </c>
      <c r="E425" s="74">
        <v>0</v>
      </c>
      <c r="F425" s="74">
        <v>20</v>
      </c>
      <c r="G425" s="74">
        <v>60.5</v>
      </c>
      <c r="H425" s="74">
        <v>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681</v>
      </c>
    </row>
    <row r="426" spans="1:15" x14ac:dyDescent="0.25">
      <c r="A426" s="71" t="s">
        <v>410</v>
      </c>
      <c r="B426" s="74"/>
      <c r="C426" s="74">
        <v>11434.48</v>
      </c>
      <c r="D426" s="74">
        <v>10099.469999999999</v>
      </c>
      <c r="E426" s="74">
        <v>10740.78</v>
      </c>
      <c r="F426" s="74">
        <v>9677.6299999999992</v>
      </c>
      <c r="G426" s="74">
        <v>10386.99</v>
      </c>
      <c r="H426" s="74">
        <v>9360.73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61700.079999999987</v>
      </c>
    </row>
    <row r="427" spans="1:15" x14ac:dyDescent="0.25">
      <c r="A427" s="71" t="s">
        <v>411</v>
      </c>
      <c r="B427" s="74"/>
      <c r="C427" s="74">
        <v>0</v>
      </c>
      <c r="D427" s="74">
        <v>0</v>
      </c>
      <c r="E427" s="74">
        <v>0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5">
      <c r="A428" s="71" t="s">
        <v>412</v>
      </c>
      <c r="B428" s="74"/>
      <c r="C428" s="74">
        <v>0</v>
      </c>
      <c r="D428" s="74">
        <v>39.799999999999997</v>
      </c>
      <c r="E428" s="74">
        <v>0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39.799999999999997</v>
      </c>
    </row>
    <row r="429" spans="1:15" x14ac:dyDescent="0.25">
      <c r="A429" s="71" t="s">
        <v>413</v>
      </c>
      <c r="B429" s="74"/>
      <c r="C429" s="74">
        <v>0</v>
      </c>
      <c r="D429" s="74">
        <v>0</v>
      </c>
      <c r="E429" s="74">
        <v>0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5">
      <c r="A430" s="71" t="s">
        <v>414</v>
      </c>
      <c r="B430" s="74"/>
      <c r="C430" s="74">
        <v>0</v>
      </c>
      <c r="D430" s="74">
        <v>-0.54</v>
      </c>
      <c r="E430" s="74">
        <v>0</v>
      </c>
      <c r="F430" s="74">
        <v>0</v>
      </c>
      <c r="G430" s="74">
        <v>70</v>
      </c>
      <c r="H430" s="74">
        <v>0</v>
      </c>
      <c r="I430" s="74">
        <v>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69.459999999999994</v>
      </c>
    </row>
    <row r="431" spans="1:15" x14ac:dyDescent="0.25">
      <c r="A431" s="71" t="s">
        <v>415</v>
      </c>
      <c r="B431" s="74"/>
      <c r="C431" s="74">
        <v>0</v>
      </c>
      <c r="D431" s="74">
        <v>0</v>
      </c>
      <c r="E431" s="74">
        <v>0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5">
      <c r="A432" s="71" t="s">
        <v>502</v>
      </c>
      <c r="B432" s="74"/>
      <c r="C432" s="74">
        <v>120.91</v>
      </c>
      <c r="D432" s="74">
        <v>559.64</v>
      </c>
      <c r="E432" s="74">
        <v>298.77999999999997</v>
      </c>
      <c r="F432" s="74">
        <v>102.89</v>
      </c>
      <c r="G432" s="74">
        <v>395.03</v>
      </c>
      <c r="H432" s="74">
        <v>540.19000000000005</v>
      </c>
      <c r="I432" s="74">
        <v>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2017.44</v>
      </c>
    </row>
    <row r="433" spans="1:16" x14ac:dyDescent="0.25">
      <c r="A433" s="71" t="s">
        <v>416</v>
      </c>
      <c r="B433" s="74"/>
      <c r="C433" s="74">
        <v>17102</v>
      </c>
      <c r="D433" s="74">
        <v>17102</v>
      </c>
      <c r="E433" s="74">
        <v>17102</v>
      </c>
      <c r="F433" s="74">
        <v>17102</v>
      </c>
      <c r="G433" s="74">
        <v>17102</v>
      </c>
      <c r="H433" s="74">
        <v>17102</v>
      </c>
      <c r="I433" s="74">
        <v>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102612</v>
      </c>
    </row>
    <row r="434" spans="1:16" x14ac:dyDescent="0.25">
      <c r="A434" s="71" t="s">
        <v>417</v>
      </c>
      <c r="B434" s="74"/>
      <c r="C434" s="74">
        <v>1026.97</v>
      </c>
      <c r="D434" s="74">
        <v>785.32</v>
      </c>
      <c r="E434" s="74">
        <v>563.15</v>
      </c>
      <c r="F434" s="74">
        <v>917.83</v>
      </c>
      <c r="G434" s="74">
        <v>697.62</v>
      </c>
      <c r="H434" s="74">
        <v>524.17999999999995</v>
      </c>
      <c r="I434" s="74">
        <v>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4515.07</v>
      </c>
    </row>
    <row r="435" spans="1:16" x14ac:dyDescent="0.25">
      <c r="A435" s="71" t="s">
        <v>418</v>
      </c>
      <c r="B435" s="74"/>
      <c r="C435" s="74">
        <v>0</v>
      </c>
      <c r="D435" s="74">
        <v>0</v>
      </c>
      <c r="E435" s="74">
        <v>0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6" x14ac:dyDescent="0.25">
      <c r="A436" s="71" t="s">
        <v>419</v>
      </c>
      <c r="B436" s="74"/>
      <c r="C436" s="74">
        <v>0</v>
      </c>
      <c r="D436" s="74">
        <v>375.27</v>
      </c>
      <c r="E436" s="74">
        <v>101.99</v>
      </c>
      <c r="F436" s="74">
        <v>0</v>
      </c>
      <c r="G436" s="74">
        <v>95.29</v>
      </c>
      <c r="H436" s="74">
        <v>101.99</v>
      </c>
      <c r="I436" s="74">
        <v>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674.54</v>
      </c>
    </row>
    <row r="437" spans="1:16" x14ac:dyDescent="0.25">
      <c r="A437" s="71" t="s">
        <v>420</v>
      </c>
      <c r="B437" s="74"/>
      <c r="C437" s="74">
        <v>0</v>
      </c>
      <c r="D437" s="74">
        <v>0</v>
      </c>
      <c r="E437" s="74">
        <v>0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6" x14ac:dyDescent="0.25">
      <c r="A438" s="71" t="s">
        <v>421</v>
      </c>
      <c r="C438" s="83">
        <v>0</v>
      </c>
      <c r="D438" s="83">
        <v>0</v>
      </c>
      <c r="E438" s="83">
        <v>0</v>
      </c>
      <c r="F438" s="83">
        <v>0</v>
      </c>
      <c r="G438" s="83">
        <v>0</v>
      </c>
      <c r="H438" s="83">
        <v>0</v>
      </c>
      <c r="I438" s="83">
        <v>0</v>
      </c>
      <c r="J438" s="83">
        <v>0</v>
      </c>
      <c r="K438" s="83">
        <v>0</v>
      </c>
      <c r="L438" s="83">
        <v>0</v>
      </c>
      <c r="M438" s="83">
        <v>0</v>
      </c>
      <c r="N438" s="83">
        <v>0</v>
      </c>
      <c r="O438" s="83">
        <v>0</v>
      </c>
      <c r="P438" s="86"/>
    </row>
    <row r="439" spans="1:16" x14ac:dyDescent="0.25">
      <c r="A439" s="71" t="s">
        <v>422</v>
      </c>
      <c r="C439" s="100">
        <v>0</v>
      </c>
      <c r="D439" s="100">
        <v>0</v>
      </c>
      <c r="E439" s="100">
        <v>0</v>
      </c>
      <c r="F439" s="100">
        <v>0</v>
      </c>
      <c r="G439" s="100">
        <v>18588</v>
      </c>
      <c r="H439" s="100">
        <v>0</v>
      </c>
      <c r="I439" s="100">
        <v>0</v>
      </c>
      <c r="J439" s="100">
        <v>0</v>
      </c>
      <c r="K439" s="100">
        <v>0</v>
      </c>
      <c r="L439" s="100">
        <v>0</v>
      </c>
      <c r="M439" s="100">
        <v>0</v>
      </c>
      <c r="N439" s="100">
        <v>0</v>
      </c>
      <c r="O439" s="100">
        <v>18588</v>
      </c>
    </row>
    <row r="440" spans="1:16" x14ac:dyDescent="0.25">
      <c r="A440" s="71" t="s">
        <v>423</v>
      </c>
      <c r="C440" s="74">
        <v>70777.790000000008</v>
      </c>
      <c r="D440" s="74">
        <v>65116.87</v>
      </c>
      <c r="E440" s="74">
        <v>67383.680000000008</v>
      </c>
      <c r="F440" s="74">
        <v>60846.23</v>
      </c>
      <c r="G440" s="74">
        <v>81053.950000000012</v>
      </c>
      <c r="H440" s="74">
        <v>58457.14</v>
      </c>
      <c r="I440" s="74">
        <v>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403635.66</v>
      </c>
      <c r="P440" s="71">
        <v>0</v>
      </c>
    </row>
    <row r="441" spans="1:16" x14ac:dyDescent="0.25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spans="1:16" x14ac:dyDescent="0.25">
      <c r="A442" s="71" t="s">
        <v>424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spans="1:16" x14ac:dyDescent="0.25">
      <c r="A443" s="71" t="s">
        <v>503</v>
      </c>
      <c r="B443" s="74"/>
      <c r="C443" s="74">
        <v>8286.1299999999992</v>
      </c>
      <c r="D443" s="74">
        <v>7414.09</v>
      </c>
      <c r="E443" s="74">
        <v>7887.28</v>
      </c>
      <c r="F443" s="74">
        <v>6120.81</v>
      </c>
      <c r="G443" s="74">
        <v>6254.19</v>
      </c>
      <c r="H443" s="74">
        <v>5736.65</v>
      </c>
      <c r="I443" s="74">
        <v>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41699.15</v>
      </c>
    </row>
    <row r="444" spans="1:16" x14ac:dyDescent="0.25">
      <c r="A444" s="71" t="s">
        <v>426</v>
      </c>
      <c r="B444" s="74"/>
      <c r="C444" s="74">
        <v>0</v>
      </c>
      <c r="D444" s="74">
        <v>0</v>
      </c>
      <c r="E444" s="74">
        <v>0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6" x14ac:dyDescent="0.25">
      <c r="A445" s="71" t="s">
        <v>427</v>
      </c>
      <c r="B445" s="74"/>
      <c r="C445" s="74">
        <v>653.91999999999996</v>
      </c>
      <c r="D445" s="74">
        <v>653.91999999999996</v>
      </c>
      <c r="E445" s="74">
        <v>653.91999999999996</v>
      </c>
      <c r="F445" s="74">
        <v>653.91999999999996</v>
      </c>
      <c r="G445" s="74">
        <v>653.91999999999996</v>
      </c>
      <c r="H445" s="74">
        <v>653.91999999999996</v>
      </c>
      <c r="I445" s="74">
        <v>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3923.52</v>
      </c>
    </row>
    <row r="446" spans="1:16" x14ac:dyDescent="0.25">
      <c r="A446" s="71" t="s">
        <v>428</v>
      </c>
      <c r="B446" s="74"/>
      <c r="C446" s="74">
        <v>70799.399999999994</v>
      </c>
      <c r="D446" s="74">
        <v>70799.399999999994</v>
      </c>
      <c r="E446" s="74">
        <v>77531.600000000006</v>
      </c>
      <c r="F446" s="74">
        <v>74165.5</v>
      </c>
      <c r="G446" s="74">
        <v>74165.5</v>
      </c>
      <c r="H446" s="74">
        <v>74165.5</v>
      </c>
      <c r="I446" s="74">
        <v>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441626.9</v>
      </c>
    </row>
    <row r="447" spans="1:16" x14ac:dyDescent="0.25">
      <c r="A447" s="71" t="s">
        <v>429</v>
      </c>
      <c r="B447" s="74"/>
      <c r="C447" s="74">
        <v>1884.12</v>
      </c>
      <c r="D447" s="74">
        <v>2202.61</v>
      </c>
      <c r="E447" s="74">
        <v>3828.73</v>
      </c>
      <c r="F447" s="74">
        <v>1697.31</v>
      </c>
      <c r="G447" s="74">
        <v>2106.39</v>
      </c>
      <c r="H447" s="74">
        <v>1312.33</v>
      </c>
      <c r="I447" s="74">
        <v>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13031.49</v>
      </c>
    </row>
    <row r="448" spans="1:16" x14ac:dyDescent="0.25">
      <c r="A448" s="71" t="s">
        <v>430</v>
      </c>
      <c r="B448" s="74"/>
      <c r="C448" s="74">
        <v>0</v>
      </c>
      <c r="D448" s="74">
        <v>0</v>
      </c>
      <c r="E448" s="74">
        <v>0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6" x14ac:dyDescent="0.25">
      <c r="A449" s="71" t="s">
        <v>431</v>
      </c>
      <c r="B449" s="74"/>
      <c r="C449" s="74">
        <v>0</v>
      </c>
      <c r="D449" s="74">
        <v>0</v>
      </c>
      <c r="E449" s="74">
        <v>0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6" x14ac:dyDescent="0.25">
      <c r="A450" s="71" t="s">
        <v>432</v>
      </c>
      <c r="B450" s="74"/>
      <c r="C450" s="74">
        <v>0</v>
      </c>
      <c r="D450" s="74">
        <v>0</v>
      </c>
      <c r="E450" s="74">
        <v>0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6" x14ac:dyDescent="0.25">
      <c r="A451" s="71" t="s">
        <v>433</v>
      </c>
      <c r="C451" s="83">
        <v>1379</v>
      </c>
      <c r="D451" s="83">
        <v>1379</v>
      </c>
      <c r="E451" s="83">
        <v>1379</v>
      </c>
      <c r="F451" s="83">
        <v>1379</v>
      </c>
      <c r="G451" s="83">
        <v>1379</v>
      </c>
      <c r="H451" s="83">
        <v>1379</v>
      </c>
      <c r="I451" s="83">
        <v>0</v>
      </c>
      <c r="J451" s="83">
        <v>0</v>
      </c>
      <c r="K451" s="83">
        <v>0</v>
      </c>
      <c r="L451" s="83">
        <v>0</v>
      </c>
      <c r="M451" s="83">
        <v>0</v>
      </c>
      <c r="N451" s="83">
        <v>0</v>
      </c>
      <c r="O451" s="83">
        <v>8274</v>
      </c>
      <c r="P451" s="86"/>
    </row>
    <row r="452" spans="1:16" x14ac:dyDescent="0.25">
      <c r="A452" s="71" t="s">
        <v>434</v>
      </c>
      <c r="C452" s="74">
        <v>20.91</v>
      </c>
      <c r="D452" s="74">
        <v>20.91</v>
      </c>
      <c r="E452" s="74">
        <v>20.91</v>
      </c>
      <c r="F452" s="74">
        <v>20.91</v>
      </c>
      <c r="G452" s="74">
        <v>20.91</v>
      </c>
      <c r="H452" s="74">
        <v>20.91</v>
      </c>
      <c r="I452" s="74">
        <v>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125.46</v>
      </c>
    </row>
    <row r="453" spans="1:16" ht="18.75" thickBot="1" x14ac:dyDescent="0.3">
      <c r="A453" s="85" t="s">
        <v>435</v>
      </c>
      <c r="B453" s="85"/>
      <c r="C453" s="81">
        <v>83023.48</v>
      </c>
      <c r="D453" s="81">
        <v>82469.929999999993</v>
      </c>
      <c r="E453" s="81">
        <v>91301.440000000002</v>
      </c>
      <c r="F453" s="81">
        <v>84037.45</v>
      </c>
      <c r="G453" s="81">
        <v>84579.91</v>
      </c>
      <c r="H453" s="81">
        <v>83268.310000000012</v>
      </c>
      <c r="I453" s="81">
        <v>0</v>
      </c>
      <c r="J453" s="81">
        <v>0</v>
      </c>
      <c r="K453" s="81">
        <v>0</v>
      </c>
      <c r="L453" s="81">
        <v>0</v>
      </c>
      <c r="M453" s="81">
        <v>0</v>
      </c>
      <c r="N453" s="81">
        <v>0</v>
      </c>
      <c r="O453" s="81">
        <v>508680.52</v>
      </c>
      <c r="P453" s="87">
        <v>0</v>
      </c>
    </row>
    <row r="454" spans="1:16" ht="18.75" thickTop="1" x14ac:dyDescent="0.25">
      <c r="A454" s="71" t="s">
        <v>54</v>
      </c>
    </row>
    <row r="455" spans="1:16" x14ac:dyDescent="0.25">
      <c r="A455" s="71" t="s">
        <v>68</v>
      </c>
      <c r="C455" s="71">
        <v>366258.87</v>
      </c>
      <c r="D455" s="71">
        <v>332845.39</v>
      </c>
      <c r="E455" s="71">
        <v>362365.48</v>
      </c>
      <c r="F455" s="71">
        <v>313220.30999999994</v>
      </c>
      <c r="G455" s="71">
        <v>351719.37000000005</v>
      </c>
      <c r="H455" s="71">
        <v>312291.88999999996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2038701.3099999998</v>
      </c>
      <c r="P455" s="71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19B01B3569A4AB64731BE0E072FE7" ma:contentTypeVersion="7" ma:contentTypeDescription="Create a new document." ma:contentTypeScope="" ma:versionID="1d286fb156c8c27526f65cf5e663afd3">
  <xsd:schema xmlns:xsd="http://www.w3.org/2001/XMLSchema" xmlns:xs="http://www.w3.org/2001/XMLSchema" xmlns:p="http://schemas.microsoft.com/office/2006/metadata/properties" xmlns:ns2="6918f9be-eeb1-415b-9be3-654e90f201e2" xmlns:ns3="e0824a81-70f0-4b99-a206-b0e60c0f2e92" targetNamespace="http://schemas.microsoft.com/office/2006/metadata/properties" ma:root="true" ma:fieldsID="f63096334391a910ec4f899f17b79acf" ns2:_="" ns3:_="">
    <xsd:import namespace="6918f9be-eeb1-415b-9be3-654e90f201e2"/>
    <xsd:import namespace="e0824a81-70f0-4b99-a206-b0e60c0f2e92"/>
    <xsd:element name="properties">
      <xsd:complexType>
        <xsd:sequence>
          <xsd:element name="documentManagement">
            <xsd:complexType>
              <xsd:all>
                <xsd:element ref="ns2:Original_x0020_File_x0020_Name" minOccurs="0"/>
                <xsd:element ref="ns2:Language" minOccurs="0"/>
                <xsd:element ref="ns2:Bookmarked" minOccurs="0"/>
                <xsd:element ref="ns2:a2f4ca286ce34c3bbda5ce712bce9358" minOccurs="0"/>
                <xsd:element ref="ns3:TaxCatchAl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9be-eeb1-415b-9be3-654e90f201e2" elementFormDefault="qualified">
    <xsd:import namespace="http://schemas.microsoft.com/office/2006/documentManagement/types"/>
    <xsd:import namespace="http://schemas.microsoft.com/office/infopath/2007/PartnerControls"/>
    <xsd:element name="Original_x0020_File_x0020_Name" ma:index="8" nillable="true" ma:displayName="Original File Name" ma:internalName="Original_x0020_File_x0020_Name">
      <xsd:simpleType>
        <xsd:restriction base="dms:Text">
          <xsd:maxLength value="255"/>
        </xsd:restriction>
      </xsd:simpleType>
    </xsd:element>
    <xsd:element name="Language" ma:index="9" nillable="true" ma:displayName="Language" ma:internalName="Language">
      <xsd:simpleType>
        <xsd:restriction base="dms:Text">
          <xsd:maxLength value="255"/>
        </xsd:restriction>
      </xsd:simpleType>
    </xsd:element>
    <xsd:element name="Bookmarked" ma:index="10" nillable="true" ma:displayName="Bookmarked" ma:internalName="Bookmarked">
      <xsd:simpleType>
        <xsd:restriction base="dms:Text">
          <xsd:maxLength value="255"/>
        </xsd:restriction>
      </xsd:simpleType>
    </xsd:element>
    <xsd:element name="a2f4ca286ce34c3bbda5ce712bce9358" ma:index="12" nillable="true" ma:taxonomy="true" ma:internalName="a2f4ca286ce34c3bbda5ce712bce9358" ma:taxonomyFieldName="Tier_x0020_Type" ma:displayName="Tier Type" ma:default="1;#Tier1|cd280bf6-779a-4dbd-a719-e9e36283fb86" ma:fieldId="{a2f4ca28-6ce3-4c3b-bda5-ce712bce9358}" ma:sspId="f2cfcc6d-cc8f-4f2d-af56-00017de6e7f5" ma:termSetId="fbea8927-0f62-47b9-924d-dfde974728a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24a81-70f0-4b99-a206-b0e60c0f2e9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description="" ma:hidden="true" ma:list="{9217c8c8-c95e-4821-9c03-e654b7e04c8a}" ma:internalName="TaxCatchAll" ma:showField="CatchAllData" ma:web="e0824a81-70f0-4b99-a206-b0e60c0f2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2f4ca286ce34c3bbda5ce712bce9358 xmlns="6918f9be-eeb1-415b-9be3-654e90f201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Tier1</TermName>
          <TermId xmlns="http://schemas.microsoft.com/office/infopath/2007/PartnerControls">cd280bf6-779a-4dbd-a719-e9e36283fb86</TermId>
        </TermInfo>
      </Terms>
    </a2f4ca286ce34c3bbda5ce712bce9358>
    <TaxCatchAll xmlns="e0824a81-70f0-4b99-a206-b0e60c0f2e92">
      <Value>1</Value>
    </TaxCatchAll>
    <Bookmarked xmlns="6918f9be-eeb1-415b-9be3-654e90f201e2" xsi:nil="true"/>
    <Language xmlns="6918f9be-eeb1-415b-9be3-654e90f201e2" xsi:nil="true"/>
    <Original_x0020_File_x0020_Name xmlns="6918f9be-eeb1-415b-9be3-654e90f201e2" xsi:nil="true"/>
  </documentManagement>
</p:properties>
</file>

<file path=customXml/itemProps1.xml><?xml version="1.0" encoding="utf-8"?>
<ds:datastoreItem xmlns:ds="http://schemas.openxmlformats.org/officeDocument/2006/customXml" ds:itemID="{28E5CC01-93BB-46FE-A37F-D13CA76A2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177B3E-EF13-412C-A475-BEEA455304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8f9be-eeb1-415b-9be3-654e90f201e2"/>
    <ds:schemaRef ds:uri="e0824a81-70f0-4b99-a206-b0e60c0f2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C6C071-1A86-4FC2-A947-C7F31C177EC7}">
  <ds:schemaRefs>
    <ds:schemaRef ds:uri="http://schemas.microsoft.com/office/2006/metadata/properties"/>
    <ds:schemaRef ds:uri="http://schemas.microsoft.com/office/infopath/2007/PartnerControls"/>
    <ds:schemaRef ds:uri="6918f9be-eeb1-415b-9be3-654e90f201e2"/>
    <ds:schemaRef ds:uri="e0824a81-70f0-4b99-a206-b0e60c0f2e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Reconciliation</vt:lpstr>
      <vt:lpstr>BPC Data</vt:lpstr>
      <vt:lpstr>Summary</vt:lpstr>
      <vt:lpstr>Sheet1</vt:lpstr>
      <vt:lpstr>Totals</vt:lpstr>
      <vt:lpstr>Maryville</vt:lpstr>
      <vt:lpstr>Ashland</vt:lpstr>
      <vt:lpstr>Bellefontaine</vt:lpstr>
      <vt:lpstr>Current_River</vt:lpstr>
      <vt:lpstr>Dixon</vt:lpstr>
      <vt:lpstr>Forsyth</vt:lpstr>
      <vt:lpstr>Glenwood</vt:lpstr>
      <vt:lpstr>Silex</vt:lpstr>
      <vt:lpstr>S_Hampton</vt:lpstr>
      <vt:lpstr>Strafford</vt:lpstr>
      <vt:lpstr>Windsor</vt:lpstr>
      <vt:lpstr>PropertyList</vt:lpstr>
      <vt:lpstr>Summary!Print_Area</vt:lpstr>
      <vt:lpstr>Totals!Print_Area</vt:lpstr>
      <vt:lpstr>Summary!Print_Titles</vt:lpstr>
    </vt:vector>
  </TitlesOfParts>
  <Company>Cloudworks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Paquette</dc:creator>
  <cp:lastModifiedBy>Sha Li</cp:lastModifiedBy>
  <cp:lastPrinted>2018-05-04T19:02:25Z</cp:lastPrinted>
  <dcterms:created xsi:type="dcterms:W3CDTF">2018-05-03T20:26:04Z</dcterms:created>
  <dcterms:modified xsi:type="dcterms:W3CDTF">2022-07-30T05:59:04Z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{4F461820-7F2B-4134-8293-2511E79FF415}</vt:lpwstr>
  </property>
  <property fmtid="{D5CDD505-2E9C-101B-9397-08002B2CF9AE}" pid="3" name="ContentTypeId">
    <vt:lpwstr>0x010100BF619B01B3569A4AB64731BE0E072FE7</vt:lpwstr>
  </property>
  <property fmtid="{D5CDD505-2E9C-101B-9397-08002B2CF9AE}" pid="4" name="Tier Type">
    <vt:lpwstr>1;#Tier1|cd280bf6-779a-4dbd-a719-e9e36283fb86</vt:lpwstr>
  </property>
  <property fmtid="{D5CDD505-2E9C-101B-9397-08002B2CF9AE}" pid="5" name="SV_QUERY_LIST_4F35BF76-6C0D-4D9B-82B2-816C12CF3733">
    <vt:lpwstr>empty_477D106A-C0D6-4607-AEBD-E2C9D60EA279</vt:lpwstr>
  </property>
</Properties>
</file>