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ustomProperty5.bin" ContentType="application/vnd.openxmlformats-officedocument.spreadsheetml.customProperty"/>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drawings/drawing4.xml" ContentType="application/vnd.openxmlformats-officedocument.drawing+xml"/>
  <Override PartName="/xl/activeX/activeX7.xml" ContentType="application/vnd.ms-office.activeX+xml"/>
  <Override PartName="/xl/activeX/activeX7.bin" ContentType="application/vnd.ms-office.activeX"/>
  <Override PartName="/xl/customProperty9.bin" ContentType="application/vnd.openxmlformats-officedocument.spreadsheetml.customProperty"/>
  <Override PartName="/xl/drawings/drawing5.xml" ContentType="application/vnd.openxmlformats-officedocument.drawing+xml"/>
  <Override PartName="/xl/activeX/activeX8.xml" ContentType="application/vnd.ms-office.activeX+xml"/>
  <Override PartName="/xl/activeX/activeX8.bin" ContentType="application/vnd.ms-office.activeX"/>
  <Override PartName="/xl/drawings/drawing6.xml" ContentType="application/vnd.openxmlformats-officedocument.drawing+xml"/>
  <Override PartName="/xl/activeX/activeX9.xml" ContentType="application/vnd.ms-office.activeX+xml"/>
  <Override PartName="/xl/activeX/activeX9.bin" ContentType="application/vnd.ms-office.activeX"/>
  <Override PartName="/xl/drawings/drawing7.xml" ContentType="application/vnd.openxmlformats-officedocument.drawing+xml"/>
  <Override PartName="/xl/activeX/activeX10.xml" ContentType="application/vnd.ms-office.activeX+xml"/>
  <Override PartName="/xl/activeX/activeX10.bin" ContentType="application/vnd.ms-office.activeX"/>
  <Override PartName="/xl/drawings/drawing8.xml" ContentType="application/vnd.openxmlformats-officedocument.drawing+xml"/>
  <Override PartName="/xl/activeX/activeX11.xml" ContentType="application/vnd.ms-office.activeX+xml"/>
  <Override PartName="/xl/activeX/activeX11.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ha Li\Desktop\Uploading project\Reconciliation\"/>
    </mc:Choice>
  </mc:AlternateContent>
  <xr:revisionPtr revIDLastSave="0" documentId="13_ncr:1_{CE9BB36D-1F27-4E76-B2CF-C848DF9050B2}" xr6:coauthVersionLast="47" xr6:coauthVersionMax="47" xr10:uidLastSave="{00000000-0000-0000-0000-000000000000}"/>
  <bookViews>
    <workbookView xWindow="-240" yWindow="-240" windowWidth="29280" windowHeight="16080" tabRatio="689" activeTab="3" xr2:uid="{00000000-000D-0000-FFFF-FFFF00000000}"/>
  </bookViews>
  <sheets>
    <sheet name="Reconciliation" sheetId="33" r:id="rId1"/>
    <sheet name="BPC Data" sheetId="1" r:id="rId2"/>
    <sheet name="Summary" sheetId="2" r:id="rId3"/>
    <sheet name="YTD Summary" sheetId="98" r:id="rId4"/>
    <sheet name="TTM" sheetId="43" r:id="rId5"/>
    <sheet name="Variance Analysis Summary" sheetId="100" state="hidden" r:id="rId6"/>
    <sheet name="Jan 21 diff" sheetId="101" state="hidden" r:id="rId7"/>
    <sheet name="Feb 21 diff" sheetId="102" state="hidden" r:id="rId8"/>
    <sheet name="Mar 21 diff" sheetId="103" state="hidden" r:id="rId9"/>
    <sheet name="Apr 21 diff" sheetId="104" state="hidden" r:id="rId10"/>
    <sheet name="Variance Analysisold" sheetId="44" state="hidden" r:id="rId11"/>
    <sheet name="IS_Aug'19" sheetId="45" state="hidden" r:id="rId12"/>
    <sheet name="PropertyList" sheetId="3" r:id="rId13"/>
  </sheets>
  <externalReferences>
    <externalReference r:id="rId14"/>
    <externalReference r:id="rId15"/>
    <externalReference r:id="rId16"/>
  </externalReferences>
  <definedNames>
    <definedName name="__FPMExcelClient_CellBasedFunctionStatus" localSheetId="1" hidden="1">"2_2_2_2_2_2"</definedName>
    <definedName name="__FPMExcelClient_CellBasedFunctionStatus" localSheetId="2" hidden="1">"2_1_2_2_2_2"</definedName>
    <definedName name="__FPMExcelClient_Connection" localSheetId="1">"_FPM_BPCMS10_[http://13.88.16.109/sap/bpc/]_[Sabra]_[Finance]_[false]_[false]\1"</definedName>
    <definedName name="__FPMExcelClient_Connection" localSheetId="2">"_FPM_BPCMS10_[http://13.88.16.109/sap/bpc/]_[Sabra]_[Finance]_[false]_[false]\1"</definedName>
    <definedName name="__FPMExcelClient_RefreshTime" localSheetId="1">636669876614226000</definedName>
    <definedName name="__FPMExcelClient_RefreshTime" localSheetId="2">636622482894005000</definedName>
    <definedName name="_xlnm._FilterDatabase" localSheetId="1" hidden="1">'BPC Data'!$A$4:$E$345</definedName>
    <definedName name="_xlnm._FilterDatabase" localSheetId="11" hidden="1">'IS_Aug''19'!$A$5:$AB$390</definedName>
    <definedName name="APA" localSheetId="11">[1]ReportingTemplate!#REF!</definedName>
    <definedName name="APA">[2]ReportingTemplate!#REF!</definedName>
    <definedName name="APN" localSheetId="11">[1]ReportingTemplate!#REF!</definedName>
    <definedName name="APN">[2]ReportingTemplate!#REF!</definedName>
    <definedName name="Area1_Ledger" localSheetId="11">#REF!</definedName>
    <definedName name="Area1_Ledger">#REF!</definedName>
    <definedName name="Area1_nPlosion" localSheetId="11">#REF!</definedName>
    <definedName name="Area1_nPlosion">#REF!</definedName>
    <definedName name="Area1_TimeSpan" localSheetId="11">#REF!</definedName>
    <definedName name="Area1_TimeSpan">#REF!</definedName>
    <definedName name="Area2A_Ledger" localSheetId="11">#REF!</definedName>
    <definedName name="Area2A_Ledger">#REF!</definedName>
    <definedName name="Area2A_nPlosion" localSheetId="11">#REF!</definedName>
    <definedName name="Area2A_nPlosion">#REF!</definedName>
    <definedName name="Area2A_TimeSpan" localSheetId="11">#REF!</definedName>
    <definedName name="Area2A_TimeSpan">#REF!</definedName>
    <definedName name="Area2B_Ledger" localSheetId="11">#REF!</definedName>
    <definedName name="Area2B_Ledger">#REF!</definedName>
    <definedName name="Area2B_nPlosion" localSheetId="11">#REF!</definedName>
    <definedName name="Area2B_nPlosion">#REF!</definedName>
    <definedName name="Area2B_TimeSpan" localSheetId="11">#REF!</definedName>
    <definedName name="Area2B_TimeSpan">#REF!</definedName>
    <definedName name="Area3A_Ledger" localSheetId="11">#REF!</definedName>
    <definedName name="Area3A_Ledger">#REF!</definedName>
    <definedName name="Area3A_nPlosion" localSheetId="11">#REF!</definedName>
    <definedName name="Area3A_nPlosion">#REF!</definedName>
    <definedName name="Area3A_TimeSpan" localSheetId="11">#REF!</definedName>
    <definedName name="Area3A_TimeSpan">#REF!</definedName>
    <definedName name="Area3B_Ledger" localSheetId="11">#REF!</definedName>
    <definedName name="Area3B_Ledger">#REF!</definedName>
    <definedName name="Area3B_nPlosion" localSheetId="11">#REF!</definedName>
    <definedName name="Area3B_nPlosion">#REF!</definedName>
    <definedName name="Area3B_TimeSpan" localSheetId="11">#REF!</definedName>
    <definedName name="Area3B_TimeSpan">#REF!</definedName>
    <definedName name="ASD" localSheetId="11">[1]ReportingTemplate!#REF!</definedName>
    <definedName name="ASD">[2]ReportingTemplate!#REF!</definedName>
    <definedName name="ASDYY" localSheetId="11">[1]ReportingTemplate!#REF!</definedName>
    <definedName name="ASDYY">[2]ReportingTemplate!#REF!</definedName>
    <definedName name="AST" localSheetId="11">[1]ReportingTemplate!#REF!</definedName>
    <definedName name="AST">[2]ReportingTemplate!#REF!</definedName>
    <definedName name="BUN" localSheetId="11">[1]ReportingTemplate!#REF!</definedName>
    <definedName name="BUN">[2]ReportingTemplate!#REF!</definedName>
    <definedName name="BUV" localSheetId="11">[1]ReportingTemplate!#REF!</definedName>
    <definedName name="BUV">[2]ReportingTemplate!#REF!</definedName>
    <definedName name="Criteria_Ledger" localSheetId="11">#REF!</definedName>
    <definedName name="Criteria_Ledger">#REF!</definedName>
    <definedName name="Criteria_nPlosion" localSheetId="11">#REF!</definedName>
    <definedName name="Criteria_nPlosion">#REF!</definedName>
    <definedName name="Criteria_TimeSpan" localSheetId="11">#REF!</definedName>
    <definedName name="Criteria_TimeSpan">#REF!</definedName>
    <definedName name="Descr_Ledger" localSheetId="11">#REF!</definedName>
    <definedName name="Descr_Ledger">#REF!</definedName>
    <definedName name="Descr_nPlosion" localSheetId="11">#REF!</definedName>
    <definedName name="Descr_nPlosion">#REF!</definedName>
    <definedName name="Descr_TimeSpan" localSheetId="11">#REF!</definedName>
    <definedName name="Descr_TimeSpan">#REF!</definedName>
    <definedName name="EV__EVCOM_OPTIONS__" hidden="1">8</definedName>
    <definedName name="EV__EXPOPTIONS__" hidden="1">0</definedName>
    <definedName name="EV__LASTREFTIME__" hidden="1">41170.709525463</definedName>
    <definedName name="EV__MAXEXPCOLS__" hidden="1">100</definedName>
    <definedName name="EV__MAXEXPROWS__" hidden="1">1000</definedName>
    <definedName name="EV__MEMORYCVW__" hidden="1">0</definedName>
    <definedName name="EV__WBEVMODE__" hidden="1">1</definedName>
    <definedName name="EV__WBREFOPTIONS__" hidden="1">134217728</definedName>
    <definedName name="EV__WBVERSION__" hidden="1">0</definedName>
    <definedName name="Hardcode_Variables" localSheetId="11">[1]ReportingTemplate!#REF!</definedName>
    <definedName name="Hardcode_Variables">[2]ReportingTemplate!#REF!</definedName>
    <definedName name="Hook_Check" localSheetId="11">#REF!</definedName>
    <definedName name="Hook_Check">#REF!</definedName>
    <definedName name="LYN" localSheetId="11">[1]ReportingTemplate!#REF!</definedName>
    <definedName name="LYN">[2]ReportingTemplate!#REF!</definedName>
    <definedName name="NvsASD" localSheetId="11">"V2017-04-30"</definedName>
    <definedName name="NvsASD">"V2018-03-31"</definedName>
    <definedName name="NvsAutoDrillOk">"VN"</definedName>
    <definedName name="NvsElapsedTime" localSheetId="11">0.00020833333110204</definedName>
    <definedName name="NvsElapsedTime">0.0000462962998426519</definedName>
    <definedName name="NvsEndTime" localSheetId="11">42877.4305555556</definedName>
    <definedName name="NvsEndTime">43227.6196527778</definedName>
    <definedName name="NvsInstLang">"VENG"</definedName>
    <definedName name="NvsInstSpec" localSheetId="11">"%,FBUSINESS_UNIT,TCTRS_HCN,NLANDLORD_26"</definedName>
    <definedName name="NvsInstSpec">"%,FBUSINESS_UNIT,V90113"</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 localSheetId="11">"%,X,RZF..,CNF.."</definedName>
    <definedName name="NvsNplSpec">"%,X,RZF..,CZF.."</definedName>
    <definedName name="NvsPanelBusUnit">"V"</definedName>
    <definedName name="NvsPanelEffdt" localSheetId="11">"V2099-12-31"</definedName>
    <definedName name="NvsPanelEffdt">"V2003-11-20"</definedName>
    <definedName name="NvsPanelSetid" localSheetId="11">"VGHV01"</definedName>
    <definedName name="NvsPanelSetid">"VIHS"</definedName>
    <definedName name="NvsReqBU" localSheetId="11">"VRPT12"</definedName>
    <definedName name="NvsReqBU">"V90113"</definedName>
    <definedName name="NvsReqBUOnly" localSheetId="11">"VY"</definedName>
    <definedName name="NvsReqBUOnly">"VN"</definedName>
    <definedName name="NvsTransLed">"VN"</definedName>
    <definedName name="NvsTreeASD" localSheetId="11">"V2017-04-30"</definedName>
    <definedName name="NvsTreeASD">"V2018-03-31"</definedName>
    <definedName name="NvsValTbl.ACCOUNT">"GL_ACCOUNT_TBL"</definedName>
    <definedName name="NvsValTbl.BUSINESS_UNIT">"BUS_UNIT_TBL_FS"</definedName>
    <definedName name="NvsValTbl.CHARTFIELD1">"CHARTFIELD1_TBL"</definedName>
    <definedName name="NvsValTbl.CURRENCY_CD" localSheetId="11">"CURRENCY_CD_TBL"</definedName>
    <definedName name="NvsValTbl.CURRENCY_CD">"GL_ACCOUNT_TBL"</definedName>
    <definedName name="NvsValTbl.DEPTID">"DEPT_TBL"</definedName>
    <definedName name="NvsValTbl.DESCR">"FO_CSF_FLD_DTL"</definedName>
    <definedName name="NvsValTbl.OPER_UNIT">"OPER_UNIT_TBL"</definedName>
    <definedName name="NvsValTbl.PRODUCT">"PRODUCT_TBL"</definedName>
    <definedName name="NvsValTbl.SCENARIO">"BD_SCENARIO_TBL"</definedName>
    <definedName name="NvsValTbl.STATISTICS_CODE">"STAT_TBL"</definedName>
    <definedName name="OPR" localSheetId="11">[1]ReportingTemplate!#REF!</definedName>
    <definedName name="OPR">[2]ReportingTemplate!#REF!</definedName>
    <definedName name="PatientDays_Insurance">'[3]Operating Statement'!$A$100:$U$101</definedName>
    <definedName name="PatientDays_Medicaid">'[3]Operating Statement'!$A$102:$U$103</definedName>
    <definedName name="PERIOD" localSheetId="11">[1]ReportingTemplate!#REF!</definedName>
    <definedName name="PERIOD">[2]ReportingTemplate!#REF!</definedName>
    <definedName name="_xlnm.Print_Area" localSheetId="2">Summary!$F$4:$N$559</definedName>
    <definedName name="_xlnm.Print_Titles" localSheetId="2">Summary!$4:$8</definedName>
    <definedName name="_xlnm.Print_Titles" localSheetId="4">TTM!$4:$6</definedName>
    <definedName name="RBN" localSheetId="11">[1]ReportingTemplate!#REF!</definedName>
    <definedName name="RBN">[2]ReportingTemplate!#REF!</definedName>
    <definedName name="RBU" localSheetId="11">[1]ReportingTemplate!#REF!</definedName>
    <definedName name="RBU">[2]ReportingTemplate!#REF!</definedName>
    <definedName name="RID" localSheetId="11">[1]ReportingTemplate!#REF!</definedName>
    <definedName name="RID">[2]ReportingTemplate!#REF!</definedName>
    <definedName name="SCD" localSheetId="11">[1]ReportingTemplate!#REF!</definedName>
    <definedName name="SCD">[2]ReportingTemplate!#REF!</definedName>
    <definedName name="SCN" localSheetId="11">[1]ReportingTemplate!#REF!</definedName>
    <definedName name="SCN">[2]ReportingTemplate!#REF!</definedName>
    <definedName name="SFD" localSheetId="11">[1]ReportingTemplate!#REF!</definedName>
    <definedName name="SFD">[2]ReportingTemplate!#REF!</definedName>
    <definedName name="SFN" localSheetId="11">[1]ReportingTemplate!#REF!</definedName>
    <definedName name="SFN">[2]ReportingTemplate!#REF!</definedName>
    <definedName name="SFV" localSheetId="11">[1]ReportingTemplate!#REF!</definedName>
    <definedName name="SFV">[2]ReportingTemplate!#REF!</definedName>
    <definedName name="SLD" localSheetId="11">[1]ReportingTemplate!#REF!</definedName>
    <definedName name="SLD">[2]ReportingTemplate!#REF!</definedName>
    <definedName name="SLN" localSheetId="11">[1]ReportingTemplate!#REF!</definedName>
    <definedName name="SLN">[2]ReportingTemplate!#REF!</definedName>
    <definedName name="STD" localSheetId="11">[1]ReportingTemplate!#REF!</definedName>
    <definedName name="STD">[2]ReportingTemplate!#REF!</definedName>
    <definedName name="STN" localSheetId="11">[1]ReportingTemplate!#REF!</definedName>
    <definedName name="STN">[2]ReportingTemplate!#REF!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98" l="1"/>
  <c r="J10" i="98"/>
  <c r="I10" i="98"/>
  <c r="H10" i="98"/>
  <c r="G10" i="98"/>
  <c r="F10" i="98"/>
  <c r="E10" i="98"/>
  <c r="K8" i="98"/>
  <c r="J8" i="98"/>
  <c r="I8" i="98"/>
  <c r="H8" i="98"/>
  <c r="G8" i="98"/>
  <c r="F8" i="98"/>
  <c r="E8" i="98"/>
  <c r="F6" i="98"/>
  <c r="H5" i="98"/>
  <c r="I4" i="98"/>
  <c r="H4" i="98"/>
  <c r="D10" i="98"/>
  <c r="L10" i="98" s="1"/>
  <c r="D8" i="98"/>
  <c r="M98" i="43"/>
  <c r="M109" i="43" s="1"/>
  <c r="I98" i="43"/>
  <c r="I109" i="43" s="1"/>
  <c r="N62" i="43"/>
  <c r="N98" i="43" s="1"/>
  <c r="N109" i="43" s="1"/>
  <c r="M62" i="43"/>
  <c r="L62" i="43"/>
  <c r="L98" i="43" s="1"/>
  <c r="L109" i="43" s="1"/>
  <c r="K62" i="43"/>
  <c r="K98" i="43" s="1"/>
  <c r="K109" i="43" s="1"/>
  <c r="J62" i="43"/>
  <c r="J98" i="43" s="1"/>
  <c r="J109" i="43" s="1"/>
  <c r="I62" i="43"/>
  <c r="H62" i="43"/>
  <c r="H98" i="43" s="1"/>
  <c r="H109" i="43" s="1"/>
  <c r="G62" i="43"/>
  <c r="G98" i="43" s="1"/>
  <c r="G109" i="43" s="1"/>
  <c r="F62" i="43"/>
  <c r="F98" i="43" s="1"/>
  <c r="F109" i="43" s="1"/>
  <c r="E62" i="43"/>
  <c r="E98" i="43" s="1"/>
  <c r="E109" i="43" s="1"/>
  <c r="D62" i="43"/>
  <c r="D98" i="43" s="1"/>
  <c r="D109" i="43" s="1"/>
  <c r="C62" i="43"/>
  <c r="C98" i="43" s="1"/>
  <c r="C109" i="43" s="1"/>
  <c r="B62" i="43"/>
  <c r="B98" i="43" s="1"/>
  <c r="B109" i="43" s="1"/>
  <c r="N39" i="43"/>
  <c r="M39" i="43"/>
  <c r="L39" i="43"/>
  <c r="L111" i="43" s="1"/>
  <c r="K39" i="43"/>
  <c r="J39" i="43"/>
  <c r="I39" i="43"/>
  <c r="H39" i="43"/>
  <c r="H111" i="43" s="1"/>
  <c r="G39" i="43"/>
  <c r="G111" i="43" s="1"/>
  <c r="F39" i="43"/>
  <c r="D5" i="98" s="1"/>
  <c r="E39" i="43"/>
  <c r="D39" i="43"/>
  <c r="C39" i="43"/>
  <c r="C111" i="43" s="1"/>
  <c r="B39" i="43"/>
  <c r="N16" i="43"/>
  <c r="M16" i="43"/>
  <c r="K4" i="98" s="1"/>
  <c r="L16" i="43"/>
  <c r="J4" i="98" s="1"/>
  <c r="K16" i="43"/>
  <c r="J16" i="43"/>
  <c r="I16" i="43"/>
  <c r="G4" i="98" s="1"/>
  <c r="H16" i="43"/>
  <c r="F4" i="98" s="1"/>
  <c r="G16" i="43"/>
  <c r="E4" i="98" s="1"/>
  <c r="F16" i="43"/>
  <c r="D4" i="98" s="1"/>
  <c r="E16" i="43"/>
  <c r="D16" i="43"/>
  <c r="C16" i="43"/>
  <c r="B16" i="43"/>
  <c r="L4" i="98" l="1"/>
  <c r="H6" i="98"/>
  <c r="I6" i="98"/>
  <c r="I111" i="43"/>
  <c r="E5" i="98"/>
  <c r="J6" i="98"/>
  <c r="D6" i="98"/>
  <c r="F5" i="98"/>
  <c r="F7" i="98" s="1"/>
  <c r="F9" i="98" s="1"/>
  <c r="K6" i="98"/>
  <c r="G6" i="98"/>
  <c r="L6" i="98" s="1"/>
  <c r="K111" i="43"/>
  <c r="L8" i="98"/>
  <c r="G5" i="98"/>
  <c r="L5" i="98" s="1"/>
  <c r="H7" i="98"/>
  <c r="H9" i="98" s="1"/>
  <c r="M111" i="43"/>
  <c r="I5" i="98"/>
  <c r="I7" i="98" s="1"/>
  <c r="I9" i="98" s="1"/>
  <c r="J5" i="98"/>
  <c r="K5" i="98"/>
  <c r="D111" i="43"/>
  <c r="E6" i="98"/>
  <c r="E111" i="43"/>
  <c r="B111" i="43"/>
  <c r="F111" i="43"/>
  <c r="J111" i="43"/>
  <c r="N111" i="43"/>
  <c r="G7" i="98" l="1"/>
  <c r="G9" i="98" s="1"/>
  <c r="K7" i="98"/>
  <c r="K9" i="98" s="1"/>
  <c r="J7" i="98"/>
  <c r="J9" i="98" s="1"/>
  <c r="E7" i="98"/>
  <c r="E9" i="98" s="1"/>
  <c r="O549" i="2"/>
  <c r="O548" i="2"/>
  <c r="O240" i="2"/>
  <c r="M4" i="1"/>
  <c r="K4" i="1"/>
  <c r="L4" i="1"/>
  <c r="D2" i="1"/>
  <c r="D1" i="1"/>
  <c r="F130" i="100" l="1"/>
  <c r="E66" i="103"/>
  <c r="D66" i="103" s="1"/>
  <c r="E61" i="103"/>
  <c r="E70" i="103" s="1"/>
  <c r="E71" i="103" s="1"/>
  <c r="D71" i="103" s="1"/>
  <c r="D65" i="103"/>
  <c r="D60" i="103"/>
  <c r="U70" i="102"/>
  <c r="U57" i="102"/>
  <c r="U70" i="101"/>
  <c r="U57" i="101"/>
  <c r="F132" i="100" l="1"/>
  <c r="E73" i="103"/>
  <c r="D70" i="103"/>
  <c r="D73" i="103" s="1"/>
  <c r="D61" i="103"/>
  <c r="J4" i="1"/>
  <c r="T13" i="104" l="1"/>
  <c r="T15" i="104" s="1"/>
  <c r="S13" i="104"/>
  <c r="S15" i="104" s="1"/>
  <c r="R13" i="104"/>
  <c r="R15" i="104" s="1"/>
  <c r="Q13" i="104"/>
  <c r="Q15" i="104" s="1"/>
  <c r="P13" i="104"/>
  <c r="P15" i="104" s="1"/>
  <c r="O13" i="104"/>
  <c r="O15" i="104" s="1"/>
  <c r="N13" i="104"/>
  <c r="N15" i="104" s="1"/>
  <c r="M13" i="104"/>
  <c r="M15" i="104" s="1"/>
  <c r="L13" i="104"/>
  <c r="L15" i="104" s="1"/>
  <c r="K13" i="104"/>
  <c r="K15" i="104" s="1"/>
  <c r="J13" i="104"/>
  <c r="J15" i="104" s="1"/>
  <c r="I13" i="104"/>
  <c r="I15" i="104" s="1"/>
  <c r="H13" i="104"/>
  <c r="H15" i="104" s="1"/>
  <c r="G13" i="104"/>
  <c r="G15" i="104" s="1"/>
  <c r="F13" i="104"/>
  <c r="F15" i="104" s="1"/>
  <c r="E13" i="104"/>
  <c r="E15" i="104" s="1"/>
  <c r="D10" i="104"/>
  <c r="D7" i="104"/>
  <c r="D13" i="104" l="1"/>
  <c r="D15" i="104" s="1"/>
  <c r="I4" i="1"/>
  <c r="D104" i="102" l="1"/>
  <c r="D100" i="102"/>
  <c r="J97" i="102"/>
  <c r="J108" i="102" s="1"/>
  <c r="J110" i="102" s="1"/>
  <c r="I97" i="102"/>
  <c r="I108" i="102" s="1"/>
  <c r="I110" i="102" s="1"/>
  <c r="H97" i="102"/>
  <c r="H108" i="102" s="1"/>
  <c r="H110" i="102" s="1"/>
  <c r="G97" i="102"/>
  <c r="G108" i="102" s="1"/>
  <c r="G110" i="102" s="1"/>
  <c r="F97" i="102"/>
  <c r="F108" i="102" s="1"/>
  <c r="F110" i="102" s="1"/>
  <c r="E97" i="102"/>
  <c r="E108" i="102" s="1"/>
  <c r="E110" i="102" s="1"/>
  <c r="D96" i="102"/>
  <c r="D95" i="102"/>
  <c r="D108" i="102" l="1"/>
  <c r="D110" i="102" s="1"/>
  <c r="D97" i="102"/>
  <c r="D105" i="101" l="1"/>
  <c r="D101" i="101"/>
  <c r="P98" i="101"/>
  <c r="P109" i="101" s="1"/>
  <c r="P111" i="101" s="1"/>
  <c r="O98" i="101"/>
  <c r="O109" i="101" s="1"/>
  <c r="O111" i="101" s="1"/>
  <c r="N98" i="101"/>
  <c r="N109" i="101" s="1"/>
  <c r="N111" i="101" s="1"/>
  <c r="M98" i="101"/>
  <c r="M109" i="101" s="1"/>
  <c r="M111" i="101" s="1"/>
  <c r="L98" i="101"/>
  <c r="L109" i="101" s="1"/>
  <c r="L111" i="101" s="1"/>
  <c r="K98" i="101"/>
  <c r="K109" i="101" s="1"/>
  <c r="K111" i="101" s="1"/>
  <c r="J98" i="101"/>
  <c r="J109" i="101" s="1"/>
  <c r="J111" i="101" s="1"/>
  <c r="I98" i="101"/>
  <c r="I109" i="101" s="1"/>
  <c r="I111" i="101" s="1"/>
  <c r="H98" i="101"/>
  <c r="H109" i="101" s="1"/>
  <c r="H111" i="101" s="1"/>
  <c r="G98" i="101"/>
  <c r="G109" i="101" s="1"/>
  <c r="G111" i="101" s="1"/>
  <c r="F98" i="101"/>
  <c r="F109" i="101" s="1"/>
  <c r="F111" i="101" s="1"/>
  <c r="E98" i="101"/>
  <c r="E109" i="101" s="1"/>
  <c r="E111" i="101" s="1"/>
  <c r="D97" i="101"/>
  <c r="D96" i="101"/>
  <c r="AB40" i="103"/>
  <c r="AA40" i="103"/>
  <c r="Z40" i="103"/>
  <c r="Y40" i="103"/>
  <c r="X40" i="103"/>
  <c r="W40" i="103"/>
  <c r="V40" i="103"/>
  <c r="U40" i="103"/>
  <c r="T40" i="103"/>
  <c r="S40" i="103"/>
  <c r="R40" i="103"/>
  <c r="Q40" i="103"/>
  <c r="P40" i="103"/>
  <c r="O40" i="103"/>
  <c r="N40" i="103"/>
  <c r="M40" i="103"/>
  <c r="L40" i="103"/>
  <c r="K40" i="103"/>
  <c r="J40" i="103"/>
  <c r="I40" i="103"/>
  <c r="H40" i="103"/>
  <c r="G40" i="103"/>
  <c r="F40" i="103"/>
  <c r="E40" i="103"/>
  <c r="AB31" i="103"/>
  <c r="AA31" i="103"/>
  <c r="Z31" i="103"/>
  <c r="Y31" i="103"/>
  <c r="X31" i="103"/>
  <c r="W31" i="103"/>
  <c r="V31" i="103"/>
  <c r="U31" i="103"/>
  <c r="T31" i="103"/>
  <c r="S31" i="103"/>
  <c r="R31" i="103"/>
  <c r="Q31" i="103"/>
  <c r="P31" i="103"/>
  <c r="O31" i="103"/>
  <c r="N31" i="103"/>
  <c r="M31" i="103"/>
  <c r="L31" i="103"/>
  <c r="K31" i="103"/>
  <c r="J31" i="103"/>
  <c r="I31" i="103"/>
  <c r="H31" i="103"/>
  <c r="G31" i="103"/>
  <c r="F31" i="103"/>
  <c r="E31" i="103"/>
  <c r="D25" i="103"/>
  <c r="D24" i="103"/>
  <c r="D29" i="103"/>
  <c r="AB48" i="103"/>
  <c r="AA48" i="103"/>
  <c r="Z48" i="103"/>
  <c r="Y48" i="103"/>
  <c r="X48" i="103"/>
  <c r="W48" i="103"/>
  <c r="V48" i="103"/>
  <c r="U48" i="103"/>
  <c r="T48" i="103"/>
  <c r="S48" i="103"/>
  <c r="R48" i="103"/>
  <c r="Q48" i="103"/>
  <c r="P48" i="103"/>
  <c r="O48" i="103"/>
  <c r="N48" i="103"/>
  <c r="M48" i="103"/>
  <c r="L48" i="103"/>
  <c r="K48" i="103"/>
  <c r="J48" i="103"/>
  <c r="I48" i="103"/>
  <c r="H48" i="103"/>
  <c r="G48" i="103"/>
  <c r="F48" i="103"/>
  <c r="E48" i="103"/>
  <c r="AB47" i="103"/>
  <c r="AB49" i="103" s="1"/>
  <c r="AA47" i="103"/>
  <c r="AA49" i="103" s="1"/>
  <c r="Z47" i="103"/>
  <c r="Z49" i="103" s="1"/>
  <c r="Y47" i="103"/>
  <c r="X47" i="103"/>
  <c r="X49" i="103" s="1"/>
  <c r="W47" i="103"/>
  <c r="W49" i="103" s="1"/>
  <c r="V47" i="103"/>
  <c r="V49" i="103" s="1"/>
  <c r="U47" i="103"/>
  <c r="U49" i="103" s="1"/>
  <c r="T47" i="103"/>
  <c r="T49" i="103" s="1"/>
  <c r="S47" i="103"/>
  <c r="S49" i="103" s="1"/>
  <c r="R47" i="103"/>
  <c r="R49" i="103" s="1"/>
  <c r="Q47" i="103"/>
  <c r="Q49" i="103" s="1"/>
  <c r="P47" i="103"/>
  <c r="P49" i="103" s="1"/>
  <c r="O47" i="103"/>
  <c r="O49" i="103" s="1"/>
  <c r="N47" i="103"/>
  <c r="N49" i="103" s="1"/>
  <c r="M47" i="103"/>
  <c r="M49" i="103" s="1"/>
  <c r="L47" i="103"/>
  <c r="L49" i="103" s="1"/>
  <c r="K47" i="103"/>
  <c r="K49" i="103" s="1"/>
  <c r="J47" i="103"/>
  <c r="J49" i="103" s="1"/>
  <c r="I47" i="103"/>
  <c r="I49" i="103" s="1"/>
  <c r="H47" i="103"/>
  <c r="H49" i="103" s="1"/>
  <c r="G47" i="103"/>
  <c r="G49" i="103" s="1"/>
  <c r="F47" i="103"/>
  <c r="F49" i="103" s="1"/>
  <c r="E47" i="103"/>
  <c r="E49" i="103" s="1"/>
  <c r="D39" i="103"/>
  <c r="AB26" i="103"/>
  <c r="AB44" i="103" s="1"/>
  <c r="AB51" i="103" s="1"/>
  <c r="AA26" i="103"/>
  <c r="AA44" i="103" s="1"/>
  <c r="AA51" i="103" s="1"/>
  <c r="Z26" i="103"/>
  <c r="Z44" i="103" s="1"/>
  <c r="Z51" i="103" s="1"/>
  <c r="Y26" i="103"/>
  <c r="Y44" i="103" s="1"/>
  <c r="Y51" i="103" s="1"/>
  <c r="X26" i="103"/>
  <c r="X44" i="103" s="1"/>
  <c r="X51" i="103" s="1"/>
  <c r="W26" i="103"/>
  <c r="W44" i="103" s="1"/>
  <c r="W51" i="103" s="1"/>
  <c r="V26" i="103"/>
  <c r="V44" i="103" s="1"/>
  <c r="V51" i="103" s="1"/>
  <c r="U26" i="103"/>
  <c r="U44" i="103" s="1"/>
  <c r="U51" i="103" s="1"/>
  <c r="T26" i="103"/>
  <c r="T44" i="103" s="1"/>
  <c r="T51" i="103" s="1"/>
  <c r="S26" i="103"/>
  <c r="S44" i="103" s="1"/>
  <c r="S51" i="103" s="1"/>
  <c r="R26" i="103"/>
  <c r="R44" i="103" s="1"/>
  <c r="R51" i="103" s="1"/>
  <c r="Q26" i="103"/>
  <c r="Q44" i="103" s="1"/>
  <c r="Q51" i="103" s="1"/>
  <c r="P26" i="103"/>
  <c r="P44" i="103" s="1"/>
  <c r="P51" i="103" s="1"/>
  <c r="O26" i="103"/>
  <c r="O44" i="103" s="1"/>
  <c r="O51" i="103" s="1"/>
  <c r="N26" i="103"/>
  <c r="N44" i="103" s="1"/>
  <c r="N51" i="103" s="1"/>
  <c r="M26" i="103"/>
  <c r="M44" i="103" s="1"/>
  <c r="M51" i="103" s="1"/>
  <c r="L26" i="103"/>
  <c r="L44" i="103" s="1"/>
  <c r="L51" i="103" s="1"/>
  <c r="K26" i="103"/>
  <c r="K44" i="103" s="1"/>
  <c r="K51" i="103" s="1"/>
  <c r="J26" i="103"/>
  <c r="J44" i="103" s="1"/>
  <c r="J51" i="103" s="1"/>
  <c r="I26" i="103"/>
  <c r="I44" i="103" s="1"/>
  <c r="I51" i="103" s="1"/>
  <c r="H26" i="103"/>
  <c r="H44" i="103" s="1"/>
  <c r="H51" i="103" s="1"/>
  <c r="G26" i="103"/>
  <c r="G44" i="103" s="1"/>
  <c r="G51" i="103" s="1"/>
  <c r="F26" i="103"/>
  <c r="F44" i="103" s="1"/>
  <c r="F51" i="103" s="1"/>
  <c r="E26" i="103"/>
  <c r="E44" i="103" s="1"/>
  <c r="E51" i="103" s="1"/>
  <c r="Y49" i="103" l="1"/>
  <c r="D31" i="103"/>
  <c r="D49" i="103"/>
  <c r="D40" i="103"/>
  <c r="D98" i="101"/>
  <c r="D109" i="101"/>
  <c r="D111" i="101" s="1"/>
  <c r="D48" i="103"/>
  <c r="D47" i="103"/>
  <c r="D26" i="103"/>
  <c r="U13" i="103" l="1"/>
  <c r="T13" i="103"/>
  <c r="S13" i="103"/>
  <c r="R13" i="103"/>
  <c r="Q13" i="103"/>
  <c r="P13" i="103"/>
  <c r="O13" i="103"/>
  <c r="N13" i="103"/>
  <c r="M13" i="103"/>
  <c r="L13" i="103"/>
  <c r="K13" i="103"/>
  <c r="J13" i="103"/>
  <c r="I13" i="103"/>
  <c r="H13" i="103"/>
  <c r="G13" i="103"/>
  <c r="F13" i="103"/>
  <c r="E13" i="103"/>
  <c r="D30" i="103"/>
  <c r="D44" i="103" l="1"/>
  <c r="D51" i="103" s="1"/>
  <c r="D76" i="103" s="1"/>
  <c r="D38" i="103"/>
  <c r="D35" i="103"/>
  <c r="U15" i="103"/>
  <c r="T15" i="103"/>
  <c r="R15" i="103"/>
  <c r="Q15" i="103"/>
  <c r="O15" i="103"/>
  <c r="N15" i="103"/>
  <c r="M15" i="103"/>
  <c r="L15" i="103"/>
  <c r="K15" i="103"/>
  <c r="I15" i="103"/>
  <c r="H15" i="103"/>
  <c r="G15" i="103"/>
  <c r="E15" i="103"/>
  <c r="D10" i="103"/>
  <c r="D7" i="103"/>
  <c r="F124" i="100"/>
  <c r="F121" i="100"/>
  <c r="F120" i="100"/>
  <c r="F117" i="100"/>
  <c r="F135" i="100" s="1"/>
  <c r="F122" i="100" l="1"/>
  <c r="D13" i="103"/>
  <c r="D15" i="103" s="1"/>
  <c r="F15" i="103"/>
  <c r="J15" i="103"/>
  <c r="P15" i="103"/>
  <c r="S15" i="103"/>
  <c r="AB86" i="102" l="1"/>
  <c r="AA86" i="102"/>
  <c r="Z86" i="102"/>
  <c r="Y86" i="102"/>
  <c r="X86" i="102"/>
  <c r="W86" i="102"/>
  <c r="V86" i="102"/>
  <c r="U86" i="102"/>
  <c r="T86" i="102"/>
  <c r="S86" i="102"/>
  <c r="R86" i="102"/>
  <c r="Q86" i="102"/>
  <c r="P86" i="102"/>
  <c r="O86" i="102"/>
  <c r="N86" i="102"/>
  <c r="M86" i="102"/>
  <c r="L86" i="102"/>
  <c r="K86" i="102"/>
  <c r="J86" i="102"/>
  <c r="I86" i="102"/>
  <c r="H86" i="102"/>
  <c r="G86" i="102"/>
  <c r="F86" i="102"/>
  <c r="E86" i="102"/>
  <c r="AB83" i="102"/>
  <c r="AB88" i="102" s="1"/>
  <c r="AA83" i="102"/>
  <c r="AA88" i="102" s="1"/>
  <c r="Z83" i="102"/>
  <c r="Z88" i="102" s="1"/>
  <c r="Y83" i="102"/>
  <c r="Y88" i="102" s="1"/>
  <c r="X83" i="102"/>
  <c r="X88" i="102" s="1"/>
  <c r="W83" i="102"/>
  <c r="W88" i="102" s="1"/>
  <c r="V83" i="102"/>
  <c r="V88" i="102" s="1"/>
  <c r="U83" i="102"/>
  <c r="U88" i="102" s="1"/>
  <c r="T83" i="102"/>
  <c r="T88" i="102" s="1"/>
  <c r="S83" i="102"/>
  <c r="S88" i="102" s="1"/>
  <c r="R83" i="102"/>
  <c r="R88" i="102" s="1"/>
  <c r="Q83" i="102"/>
  <c r="Q88" i="102" s="1"/>
  <c r="P83" i="102"/>
  <c r="P88" i="102" s="1"/>
  <c r="O83" i="102"/>
  <c r="O88" i="102" s="1"/>
  <c r="N83" i="102"/>
  <c r="N88" i="102" s="1"/>
  <c r="M83" i="102"/>
  <c r="M88" i="102" s="1"/>
  <c r="L83" i="102"/>
  <c r="L88" i="102" s="1"/>
  <c r="K83" i="102"/>
  <c r="K88" i="102" s="1"/>
  <c r="J83" i="102"/>
  <c r="J88" i="102" s="1"/>
  <c r="I83" i="102"/>
  <c r="I88" i="102" s="1"/>
  <c r="H83" i="102"/>
  <c r="H88" i="102" s="1"/>
  <c r="G83" i="102"/>
  <c r="G88" i="102" s="1"/>
  <c r="F83" i="102"/>
  <c r="F88" i="102" s="1"/>
  <c r="E83" i="102"/>
  <c r="E88" i="102" s="1"/>
  <c r="AB82" i="102"/>
  <c r="AA82" i="102"/>
  <c r="Z82" i="102"/>
  <c r="Y82" i="102"/>
  <c r="X82" i="102"/>
  <c r="W82" i="102"/>
  <c r="V82" i="102"/>
  <c r="U82" i="102"/>
  <c r="T82" i="102"/>
  <c r="S82" i="102"/>
  <c r="R82" i="102"/>
  <c r="Q82" i="102"/>
  <c r="P82" i="102"/>
  <c r="O82" i="102"/>
  <c r="N82" i="102"/>
  <c r="M82" i="102"/>
  <c r="L82" i="102"/>
  <c r="K82" i="102"/>
  <c r="J82" i="102"/>
  <c r="I82" i="102"/>
  <c r="H82" i="102"/>
  <c r="G82" i="102"/>
  <c r="F82" i="102"/>
  <c r="E82" i="102"/>
  <c r="AB81" i="102"/>
  <c r="AA81" i="102"/>
  <c r="Z81" i="102"/>
  <c r="Y81" i="102"/>
  <c r="X81" i="102"/>
  <c r="W81" i="102"/>
  <c r="V81" i="102"/>
  <c r="U81" i="102"/>
  <c r="T81" i="102"/>
  <c r="S81" i="102"/>
  <c r="R81" i="102"/>
  <c r="Q81" i="102"/>
  <c r="P81" i="102"/>
  <c r="O81" i="102"/>
  <c r="N81" i="102"/>
  <c r="M81" i="102"/>
  <c r="L81" i="102"/>
  <c r="K81" i="102"/>
  <c r="J81" i="102"/>
  <c r="I81" i="102"/>
  <c r="H81" i="102"/>
  <c r="G81" i="102"/>
  <c r="F81" i="102"/>
  <c r="E81" i="102"/>
  <c r="AB80" i="102"/>
  <c r="AA80" i="102"/>
  <c r="Z80" i="102"/>
  <c r="Y80" i="102"/>
  <c r="X80" i="102"/>
  <c r="W80" i="102"/>
  <c r="V80" i="102"/>
  <c r="U80" i="102"/>
  <c r="T80" i="102"/>
  <c r="S80" i="102"/>
  <c r="R80" i="102"/>
  <c r="Q80" i="102"/>
  <c r="P80" i="102"/>
  <c r="O80" i="102"/>
  <c r="N80" i="102"/>
  <c r="M80" i="102"/>
  <c r="L80" i="102"/>
  <c r="K80" i="102"/>
  <c r="J80" i="102"/>
  <c r="I80" i="102"/>
  <c r="H80" i="102"/>
  <c r="G80" i="102"/>
  <c r="F80" i="102"/>
  <c r="E80" i="102"/>
  <c r="AB79" i="102"/>
  <c r="AA79" i="102"/>
  <c r="Z79" i="102"/>
  <c r="Y79" i="102"/>
  <c r="X79" i="102"/>
  <c r="W79" i="102"/>
  <c r="V79" i="102"/>
  <c r="U79" i="102"/>
  <c r="T79" i="102"/>
  <c r="S79" i="102"/>
  <c r="R79" i="102"/>
  <c r="Q79" i="102"/>
  <c r="P79" i="102"/>
  <c r="O79" i="102"/>
  <c r="N79" i="102"/>
  <c r="M79" i="102"/>
  <c r="L79" i="102"/>
  <c r="K79" i="102"/>
  <c r="J79" i="102"/>
  <c r="I79" i="102"/>
  <c r="H79" i="102"/>
  <c r="G79" i="102"/>
  <c r="F79" i="102"/>
  <c r="E79" i="102"/>
  <c r="AB78" i="102"/>
  <c r="AA78" i="102"/>
  <c r="Z78" i="102"/>
  <c r="Y78" i="102"/>
  <c r="X78" i="102"/>
  <c r="W78" i="102"/>
  <c r="V78" i="102"/>
  <c r="U78" i="102"/>
  <c r="T78" i="102"/>
  <c r="S78" i="102"/>
  <c r="R78" i="102"/>
  <c r="Q78" i="102"/>
  <c r="P78" i="102"/>
  <c r="O78" i="102"/>
  <c r="N78" i="102"/>
  <c r="M78" i="102"/>
  <c r="L78" i="102"/>
  <c r="K78" i="102"/>
  <c r="J78" i="102"/>
  <c r="I78" i="102"/>
  <c r="H78" i="102"/>
  <c r="G78" i="102"/>
  <c r="F78" i="102"/>
  <c r="E78" i="102"/>
  <c r="AB77" i="102"/>
  <c r="AA77" i="102"/>
  <c r="Z77" i="102"/>
  <c r="Y77" i="102"/>
  <c r="X77" i="102"/>
  <c r="W77" i="102"/>
  <c r="V77" i="102"/>
  <c r="U77" i="102"/>
  <c r="T77" i="102"/>
  <c r="S77" i="102"/>
  <c r="R77" i="102"/>
  <c r="Q77" i="102"/>
  <c r="P77" i="102"/>
  <c r="O77" i="102"/>
  <c r="N77" i="102"/>
  <c r="M77" i="102"/>
  <c r="L77" i="102"/>
  <c r="K77" i="102"/>
  <c r="J77" i="102"/>
  <c r="I77" i="102"/>
  <c r="H77" i="102"/>
  <c r="G77" i="102"/>
  <c r="F77" i="102"/>
  <c r="E77" i="102"/>
  <c r="D73" i="102"/>
  <c r="D69" i="102"/>
  <c r="D68" i="102"/>
  <c r="D67" i="102"/>
  <c r="D66" i="102"/>
  <c r="D65" i="102"/>
  <c r="D64" i="102"/>
  <c r="D60" i="102"/>
  <c r="D56" i="102"/>
  <c r="D55" i="102"/>
  <c r="D54" i="102"/>
  <c r="D53" i="102"/>
  <c r="D52" i="102"/>
  <c r="D51" i="102"/>
  <c r="AB86" i="101"/>
  <c r="AA86" i="101"/>
  <c r="Z86" i="101"/>
  <c r="Y86" i="101"/>
  <c r="X86" i="101"/>
  <c r="W86" i="101"/>
  <c r="V86" i="101"/>
  <c r="U86" i="101"/>
  <c r="T86" i="101"/>
  <c r="S86" i="101"/>
  <c r="R86" i="101"/>
  <c r="Q86" i="101"/>
  <c r="P86" i="101"/>
  <c r="O86" i="101"/>
  <c r="N86" i="101"/>
  <c r="M86" i="101"/>
  <c r="L86" i="101"/>
  <c r="K86" i="101"/>
  <c r="J86" i="101"/>
  <c r="I86" i="101"/>
  <c r="H86" i="101"/>
  <c r="G86" i="101"/>
  <c r="AB83" i="101"/>
  <c r="AA83" i="101"/>
  <c r="AA88" i="101" s="1"/>
  <c r="Z83" i="101"/>
  <c r="Y83" i="101"/>
  <c r="X83" i="101"/>
  <c r="W83" i="101"/>
  <c r="W88" i="101" s="1"/>
  <c r="V83" i="101"/>
  <c r="V88" i="101" s="1"/>
  <c r="U83" i="101"/>
  <c r="U88" i="101" s="1"/>
  <c r="T83" i="101"/>
  <c r="S83" i="101"/>
  <c r="S88" i="101" s="1"/>
  <c r="R83" i="101"/>
  <c r="R88" i="101" s="1"/>
  <c r="Q83" i="101"/>
  <c r="Q88" i="101" s="1"/>
  <c r="P83" i="101"/>
  <c r="P88" i="101" s="1"/>
  <c r="O83" i="101"/>
  <c r="O88" i="101" s="1"/>
  <c r="N83" i="101"/>
  <c r="N88" i="101" s="1"/>
  <c r="M83" i="101"/>
  <c r="L83" i="101"/>
  <c r="K83" i="101"/>
  <c r="K88" i="101" s="1"/>
  <c r="J83" i="101"/>
  <c r="J88" i="101" s="1"/>
  <c r="I83" i="101"/>
  <c r="H83" i="101"/>
  <c r="G83" i="101"/>
  <c r="G88" i="101" s="1"/>
  <c r="AB82" i="101"/>
  <c r="AA82" i="101"/>
  <c r="Z82" i="101"/>
  <c r="Y82" i="101"/>
  <c r="X82" i="101"/>
  <c r="W82" i="101"/>
  <c r="V82" i="101"/>
  <c r="U82" i="101"/>
  <c r="T82" i="101"/>
  <c r="S82" i="101"/>
  <c r="R82" i="101"/>
  <c r="Q82" i="101"/>
  <c r="P82" i="101"/>
  <c r="O82" i="101"/>
  <c r="N82" i="101"/>
  <c r="M82" i="101"/>
  <c r="L82" i="101"/>
  <c r="K82" i="101"/>
  <c r="J82" i="101"/>
  <c r="I82" i="101"/>
  <c r="H82" i="101"/>
  <c r="G82" i="101"/>
  <c r="AB81" i="101"/>
  <c r="AA81" i="101"/>
  <c r="Z81" i="101"/>
  <c r="Y81" i="101"/>
  <c r="X81" i="101"/>
  <c r="W81" i="101"/>
  <c r="V81" i="101"/>
  <c r="U81" i="101"/>
  <c r="T81" i="101"/>
  <c r="S81" i="101"/>
  <c r="R81" i="101"/>
  <c r="Q81" i="101"/>
  <c r="P81" i="101"/>
  <c r="O81" i="101"/>
  <c r="N81" i="101"/>
  <c r="M81" i="101"/>
  <c r="L81" i="101"/>
  <c r="K81" i="101"/>
  <c r="J81" i="101"/>
  <c r="I81" i="101"/>
  <c r="H81" i="101"/>
  <c r="G81" i="101"/>
  <c r="AB80" i="101"/>
  <c r="AA80" i="101"/>
  <c r="Z80" i="101"/>
  <c r="Y80" i="101"/>
  <c r="X80" i="101"/>
  <c r="W80" i="101"/>
  <c r="V80" i="101"/>
  <c r="U80" i="101"/>
  <c r="T80" i="101"/>
  <c r="S80" i="101"/>
  <c r="R80" i="101"/>
  <c r="Q80" i="101"/>
  <c r="P80" i="101"/>
  <c r="O80" i="101"/>
  <c r="N80" i="101"/>
  <c r="M80" i="101"/>
  <c r="L80" i="101"/>
  <c r="K80" i="101"/>
  <c r="J80" i="101"/>
  <c r="I80" i="101"/>
  <c r="H80" i="101"/>
  <c r="G80" i="101"/>
  <c r="AB79" i="101"/>
  <c r="AA79" i="101"/>
  <c r="Z79" i="101"/>
  <c r="Y79" i="101"/>
  <c r="X79" i="101"/>
  <c r="W79" i="101"/>
  <c r="V79" i="101"/>
  <c r="U79" i="101"/>
  <c r="T79" i="101"/>
  <c r="S79" i="101"/>
  <c r="R79" i="101"/>
  <c r="Q79" i="101"/>
  <c r="P79" i="101"/>
  <c r="O79" i="101"/>
  <c r="N79" i="101"/>
  <c r="M79" i="101"/>
  <c r="L79" i="101"/>
  <c r="K79" i="101"/>
  <c r="J79" i="101"/>
  <c r="I79" i="101"/>
  <c r="H79" i="101"/>
  <c r="G79" i="101"/>
  <c r="AB78" i="101"/>
  <c r="AA78" i="101"/>
  <c r="Z78" i="101"/>
  <c r="Y78" i="101"/>
  <c r="X78" i="101"/>
  <c r="W78" i="101"/>
  <c r="V78" i="101"/>
  <c r="U78" i="101"/>
  <c r="T78" i="101"/>
  <c r="S78" i="101"/>
  <c r="R78" i="101"/>
  <c r="Q78" i="101"/>
  <c r="P78" i="101"/>
  <c r="O78" i="101"/>
  <c r="N78" i="101"/>
  <c r="M78" i="101"/>
  <c r="L78" i="101"/>
  <c r="K78" i="101"/>
  <c r="J78" i="101"/>
  <c r="I78" i="101"/>
  <c r="H78" i="101"/>
  <c r="G78" i="101"/>
  <c r="AB77" i="101"/>
  <c r="AA77" i="101"/>
  <c r="Z77" i="101"/>
  <c r="Y77" i="101"/>
  <c r="X77" i="101"/>
  <c r="W77" i="101"/>
  <c r="V77" i="101"/>
  <c r="U77" i="101"/>
  <c r="T77" i="101"/>
  <c r="S77" i="101"/>
  <c r="R77" i="101"/>
  <c r="Q77" i="101"/>
  <c r="P77" i="101"/>
  <c r="O77" i="101"/>
  <c r="N77" i="101"/>
  <c r="M77" i="101"/>
  <c r="L77" i="101"/>
  <c r="K77" i="101"/>
  <c r="J77" i="101"/>
  <c r="I77" i="101"/>
  <c r="H77" i="101"/>
  <c r="G77" i="101"/>
  <c r="F86" i="101"/>
  <c r="F82" i="101"/>
  <c r="F83" i="101"/>
  <c r="F88" i="101" s="1"/>
  <c r="AB88" i="101"/>
  <c r="Z88" i="101"/>
  <c r="Y88" i="101"/>
  <c r="X88" i="101"/>
  <c r="T88" i="101"/>
  <c r="M88" i="101"/>
  <c r="L88" i="101"/>
  <c r="I88" i="101"/>
  <c r="H88" i="101"/>
  <c r="E82" i="101"/>
  <c r="D73" i="101"/>
  <c r="D69" i="101"/>
  <c r="D68" i="101"/>
  <c r="D67" i="101"/>
  <c r="D66" i="101"/>
  <c r="D65" i="101"/>
  <c r="D64" i="101"/>
  <c r="E86" i="101"/>
  <c r="E83" i="101"/>
  <c r="E88" i="101" s="1"/>
  <c r="E81" i="101"/>
  <c r="E80" i="101"/>
  <c r="E79" i="101"/>
  <c r="E78" i="101"/>
  <c r="D56" i="101"/>
  <c r="D57" i="102" l="1"/>
  <c r="D70" i="102"/>
  <c r="D88" i="101"/>
  <c r="D115" i="101" s="1"/>
  <c r="D77" i="102"/>
  <c r="D81" i="102"/>
  <c r="D78" i="102"/>
  <c r="D80" i="102"/>
  <c r="D79" i="102"/>
  <c r="D82" i="102"/>
  <c r="D86" i="102"/>
  <c r="D88" i="102"/>
  <c r="D113" i="102" s="1"/>
  <c r="D86" i="101"/>
  <c r="D70" i="101"/>
  <c r="D83" i="102" l="1"/>
  <c r="F78" i="100" l="1"/>
  <c r="F81" i="101" l="1"/>
  <c r="F80" i="101"/>
  <c r="F79" i="101"/>
  <c r="D79" i="101" s="1"/>
  <c r="F78" i="101"/>
  <c r="F77" i="101"/>
  <c r="E77" i="101"/>
  <c r="D60" i="101"/>
  <c r="D82" i="101" l="1"/>
  <c r="D81" i="101"/>
  <c r="D77" i="101"/>
  <c r="D78" i="101"/>
  <c r="D80" i="101"/>
  <c r="F108" i="100"/>
  <c r="F104" i="100"/>
  <c r="F103" i="100"/>
  <c r="F102" i="100"/>
  <c r="F100" i="100"/>
  <c r="F99" i="100"/>
  <c r="F98" i="100"/>
  <c r="F97" i="100"/>
  <c r="F82" i="100"/>
  <c r="F77" i="100"/>
  <c r="F76" i="100"/>
  <c r="F75" i="100"/>
  <c r="F73" i="100"/>
  <c r="F72" i="100"/>
  <c r="F71" i="100"/>
  <c r="F70" i="100"/>
  <c r="F92" i="100"/>
  <c r="F64" i="100"/>
  <c r="D83" i="101" l="1"/>
  <c r="F106" i="100"/>
  <c r="F111" i="100" s="1"/>
  <c r="F80" i="100"/>
  <c r="F86" i="100" s="1"/>
  <c r="G139" i="100" s="1"/>
  <c r="F48" i="100" l="1"/>
  <c r="F50" i="100" s="1"/>
  <c r="F40" i="100" l="1"/>
  <c r="F39" i="100"/>
  <c r="F38" i="100"/>
  <c r="F37" i="100"/>
  <c r="F36" i="100"/>
  <c r="F35" i="100"/>
  <c r="F34" i="100"/>
  <c r="F33" i="100"/>
  <c r="F32" i="100"/>
  <c r="F31" i="100"/>
  <c r="D28" i="102"/>
  <c r="D27" i="102"/>
  <c r="D26" i="102"/>
  <c r="D25" i="102"/>
  <c r="D24" i="102"/>
  <c r="D23" i="102"/>
  <c r="D22" i="102"/>
  <c r="D21" i="102"/>
  <c r="D20" i="102"/>
  <c r="D19" i="102"/>
  <c r="D16" i="102"/>
  <c r="D15" i="102"/>
  <c r="D14" i="102"/>
  <c r="D13" i="102"/>
  <c r="D12" i="102"/>
  <c r="D11" i="102"/>
  <c r="D10" i="102"/>
  <c r="D9" i="102"/>
  <c r="D8" i="102"/>
  <c r="D7" i="102"/>
  <c r="D55" i="101"/>
  <c r="D54" i="101"/>
  <c r="D53" i="101"/>
  <c r="D52" i="101"/>
  <c r="D51" i="101"/>
  <c r="D28" i="101"/>
  <c r="D27" i="101"/>
  <c r="D26" i="101"/>
  <c r="D25" i="101"/>
  <c r="D24" i="101"/>
  <c r="D23" i="101"/>
  <c r="D22" i="101"/>
  <c r="D21" i="101"/>
  <c r="D20" i="101"/>
  <c r="D19" i="101"/>
  <c r="D16" i="101"/>
  <c r="D15" i="101"/>
  <c r="D14" i="101"/>
  <c r="D13" i="101"/>
  <c r="D12" i="101"/>
  <c r="D11" i="101"/>
  <c r="D10" i="101"/>
  <c r="D9" i="101"/>
  <c r="D8" i="101"/>
  <c r="D7" i="101"/>
  <c r="D57" i="101" l="1"/>
  <c r="F42" i="100"/>
  <c r="AB40" i="102" l="1"/>
  <c r="AA40" i="102"/>
  <c r="Z40" i="102"/>
  <c r="Y40" i="102"/>
  <c r="X40" i="102"/>
  <c r="W40" i="102"/>
  <c r="V40" i="102"/>
  <c r="U40" i="102"/>
  <c r="T40" i="102"/>
  <c r="S40" i="102"/>
  <c r="R40" i="102"/>
  <c r="Q40" i="102"/>
  <c r="P40" i="102"/>
  <c r="O40" i="102"/>
  <c r="N40" i="102"/>
  <c r="M40" i="102"/>
  <c r="L40" i="102"/>
  <c r="K40" i="102"/>
  <c r="J40" i="102"/>
  <c r="I40" i="102"/>
  <c r="H40" i="102"/>
  <c r="G40" i="102"/>
  <c r="F40" i="102"/>
  <c r="E40" i="102"/>
  <c r="AB39" i="102"/>
  <c r="AA39" i="102"/>
  <c r="Z39" i="102"/>
  <c r="Y39" i="102"/>
  <c r="X39" i="102"/>
  <c r="W39" i="102"/>
  <c r="V39" i="102"/>
  <c r="U39" i="102"/>
  <c r="T39" i="102"/>
  <c r="S39" i="102"/>
  <c r="R39" i="102"/>
  <c r="Q39" i="102"/>
  <c r="P39" i="102"/>
  <c r="O39" i="102"/>
  <c r="N39" i="102"/>
  <c r="M39" i="102"/>
  <c r="L39" i="102"/>
  <c r="K39" i="102"/>
  <c r="J39" i="102"/>
  <c r="I39" i="102"/>
  <c r="H39" i="102"/>
  <c r="G39" i="102"/>
  <c r="F39" i="102"/>
  <c r="E39" i="102"/>
  <c r="AB38" i="102"/>
  <c r="AA38" i="102"/>
  <c r="Z38" i="102"/>
  <c r="Y38" i="102"/>
  <c r="X38" i="102"/>
  <c r="W38" i="102"/>
  <c r="V38" i="102"/>
  <c r="U38" i="102"/>
  <c r="T38" i="102"/>
  <c r="S38" i="102"/>
  <c r="R38" i="102"/>
  <c r="Q38" i="102"/>
  <c r="P38" i="102"/>
  <c r="O38" i="102"/>
  <c r="N38" i="102"/>
  <c r="M38" i="102"/>
  <c r="L38" i="102"/>
  <c r="K38" i="102"/>
  <c r="J38" i="102"/>
  <c r="I38" i="102"/>
  <c r="H38" i="102"/>
  <c r="G38" i="102"/>
  <c r="F38" i="102"/>
  <c r="E38" i="102"/>
  <c r="AB37" i="102"/>
  <c r="AA37" i="102"/>
  <c r="Z37" i="102"/>
  <c r="Y37" i="102"/>
  <c r="X37" i="102"/>
  <c r="W37" i="102"/>
  <c r="V37" i="102"/>
  <c r="U37" i="102"/>
  <c r="T37" i="102"/>
  <c r="S37" i="102"/>
  <c r="R37" i="102"/>
  <c r="Q37" i="102"/>
  <c r="P37" i="102"/>
  <c r="O37" i="102"/>
  <c r="N37" i="102"/>
  <c r="M37" i="102"/>
  <c r="L37" i="102"/>
  <c r="K37" i="102"/>
  <c r="J37" i="102"/>
  <c r="I37" i="102"/>
  <c r="H37" i="102"/>
  <c r="G37" i="102"/>
  <c r="F37" i="102"/>
  <c r="E37" i="102"/>
  <c r="AB36" i="102"/>
  <c r="AA36" i="102"/>
  <c r="Z36" i="102"/>
  <c r="Y36" i="102"/>
  <c r="X36" i="102"/>
  <c r="W36" i="102"/>
  <c r="V36" i="102"/>
  <c r="U36" i="102"/>
  <c r="T36" i="102"/>
  <c r="S36" i="102"/>
  <c r="R36" i="102"/>
  <c r="Q36" i="102"/>
  <c r="P36" i="102"/>
  <c r="O36" i="102"/>
  <c r="N36" i="102"/>
  <c r="M36" i="102"/>
  <c r="L36" i="102"/>
  <c r="K36" i="102"/>
  <c r="J36" i="102"/>
  <c r="I36" i="102"/>
  <c r="H36" i="102"/>
  <c r="G36" i="102"/>
  <c r="F36" i="102"/>
  <c r="E36" i="102"/>
  <c r="AB35" i="102"/>
  <c r="AA35" i="102"/>
  <c r="Z35" i="102"/>
  <c r="Y35" i="102"/>
  <c r="X35" i="102"/>
  <c r="W35" i="102"/>
  <c r="V35" i="102"/>
  <c r="U35" i="102"/>
  <c r="T35" i="102"/>
  <c r="S35" i="102"/>
  <c r="R35" i="102"/>
  <c r="Q35" i="102"/>
  <c r="P35" i="102"/>
  <c r="O35" i="102"/>
  <c r="N35" i="102"/>
  <c r="M35" i="102"/>
  <c r="L35" i="102"/>
  <c r="K35" i="102"/>
  <c r="J35" i="102"/>
  <c r="I35" i="102"/>
  <c r="H35" i="102"/>
  <c r="G35" i="102"/>
  <c r="F35" i="102"/>
  <c r="E35" i="102"/>
  <c r="AB34" i="102"/>
  <c r="AA34" i="102"/>
  <c r="Z34" i="102"/>
  <c r="Y34" i="102"/>
  <c r="X34" i="102"/>
  <c r="W34" i="102"/>
  <c r="V34" i="102"/>
  <c r="U34" i="102"/>
  <c r="T34" i="102"/>
  <c r="S34" i="102"/>
  <c r="R34" i="102"/>
  <c r="Q34" i="102"/>
  <c r="P34" i="102"/>
  <c r="O34" i="102"/>
  <c r="N34" i="102"/>
  <c r="M34" i="102"/>
  <c r="L34" i="102"/>
  <c r="K34" i="102"/>
  <c r="J34" i="102"/>
  <c r="I34" i="102"/>
  <c r="H34" i="102"/>
  <c r="G34" i="102"/>
  <c r="F34" i="102"/>
  <c r="E34" i="102"/>
  <c r="AB33" i="102"/>
  <c r="AA33" i="102"/>
  <c r="Z33" i="102"/>
  <c r="Y33" i="102"/>
  <c r="X33" i="102"/>
  <c r="W33" i="102"/>
  <c r="V33" i="102"/>
  <c r="U33" i="102"/>
  <c r="T33" i="102"/>
  <c r="S33" i="102"/>
  <c r="R33" i="102"/>
  <c r="Q33" i="102"/>
  <c r="P33" i="102"/>
  <c r="O33" i="102"/>
  <c r="N33" i="102"/>
  <c r="M33" i="102"/>
  <c r="L33" i="102"/>
  <c r="K33" i="102"/>
  <c r="J33" i="102"/>
  <c r="I33" i="102"/>
  <c r="H33" i="102"/>
  <c r="G33" i="102"/>
  <c r="F33" i="102"/>
  <c r="E33" i="102"/>
  <c r="AB32" i="102"/>
  <c r="AA32" i="102"/>
  <c r="Z32" i="102"/>
  <c r="Y32" i="102"/>
  <c r="X32" i="102"/>
  <c r="W32" i="102"/>
  <c r="V32" i="102"/>
  <c r="U32" i="102"/>
  <c r="T32" i="102"/>
  <c r="S32" i="102"/>
  <c r="R32" i="102"/>
  <c r="Q32" i="102"/>
  <c r="P32" i="102"/>
  <c r="O32" i="102"/>
  <c r="N32" i="102"/>
  <c r="M32" i="102"/>
  <c r="L32" i="102"/>
  <c r="K32" i="102"/>
  <c r="J32" i="102"/>
  <c r="I32" i="102"/>
  <c r="H32" i="102"/>
  <c r="G32" i="102"/>
  <c r="F32" i="102"/>
  <c r="E32" i="102"/>
  <c r="AB31" i="102"/>
  <c r="AB42" i="102" s="1"/>
  <c r="AA31" i="102"/>
  <c r="AA42" i="102" s="1"/>
  <c r="Z31" i="102"/>
  <c r="Z42" i="102" s="1"/>
  <c r="Y31" i="102"/>
  <c r="Y42" i="102" s="1"/>
  <c r="X31" i="102"/>
  <c r="X42" i="102" s="1"/>
  <c r="W31" i="102"/>
  <c r="W42" i="102" s="1"/>
  <c r="V31" i="102"/>
  <c r="V42" i="102" s="1"/>
  <c r="U31" i="102"/>
  <c r="U42" i="102" s="1"/>
  <c r="T31" i="102"/>
  <c r="T42" i="102" s="1"/>
  <c r="S31" i="102"/>
  <c r="S42" i="102" s="1"/>
  <c r="R31" i="102"/>
  <c r="R42" i="102" s="1"/>
  <c r="Q31" i="102"/>
  <c r="P31" i="102"/>
  <c r="P42" i="102" s="1"/>
  <c r="O31" i="102"/>
  <c r="O42" i="102" s="1"/>
  <c r="N31" i="102"/>
  <c r="N42" i="102" s="1"/>
  <c r="M31" i="102"/>
  <c r="M42" i="102" s="1"/>
  <c r="L31" i="102"/>
  <c r="L42" i="102" s="1"/>
  <c r="K31" i="102"/>
  <c r="K42" i="102" s="1"/>
  <c r="J31" i="102"/>
  <c r="J42" i="102" s="1"/>
  <c r="I31" i="102"/>
  <c r="I42" i="102" s="1"/>
  <c r="H31" i="102"/>
  <c r="H42" i="102" s="1"/>
  <c r="G31" i="102"/>
  <c r="G42" i="102" s="1"/>
  <c r="F31" i="102"/>
  <c r="F42" i="102" s="1"/>
  <c r="E31" i="102"/>
  <c r="AB40" i="101"/>
  <c r="AA40" i="101"/>
  <c r="Z40" i="101"/>
  <c r="Y40" i="101"/>
  <c r="X40" i="101"/>
  <c r="W40" i="101"/>
  <c r="V40" i="101"/>
  <c r="U40" i="101"/>
  <c r="T40" i="101"/>
  <c r="S40" i="101"/>
  <c r="R40" i="101"/>
  <c r="Q40" i="101"/>
  <c r="P40" i="101"/>
  <c r="O40" i="101"/>
  <c r="N40" i="101"/>
  <c r="M40" i="101"/>
  <c r="L40" i="101"/>
  <c r="K40" i="101"/>
  <c r="J40" i="101"/>
  <c r="I40" i="101"/>
  <c r="H40" i="101"/>
  <c r="G40" i="101"/>
  <c r="AB39" i="101"/>
  <c r="AA39" i="101"/>
  <c r="Z39" i="101"/>
  <c r="Y39" i="101"/>
  <c r="X39" i="101"/>
  <c r="W39" i="101"/>
  <c r="V39" i="101"/>
  <c r="U39" i="101"/>
  <c r="T39" i="101"/>
  <c r="S39" i="101"/>
  <c r="R39" i="101"/>
  <c r="Q39" i="101"/>
  <c r="P39" i="101"/>
  <c r="O39" i="101"/>
  <c r="N39" i="101"/>
  <c r="M39" i="101"/>
  <c r="L39" i="101"/>
  <c r="K39" i="101"/>
  <c r="J39" i="101"/>
  <c r="I39" i="101"/>
  <c r="H39" i="101"/>
  <c r="G39" i="101"/>
  <c r="AB38" i="101"/>
  <c r="AA38" i="101"/>
  <c r="Z38" i="101"/>
  <c r="Y38" i="101"/>
  <c r="X38" i="101"/>
  <c r="W38" i="101"/>
  <c r="V38" i="101"/>
  <c r="U38" i="101"/>
  <c r="T38" i="101"/>
  <c r="S38" i="101"/>
  <c r="R38" i="101"/>
  <c r="Q38" i="101"/>
  <c r="P38" i="101"/>
  <c r="O38" i="101"/>
  <c r="N38" i="101"/>
  <c r="M38" i="101"/>
  <c r="L38" i="101"/>
  <c r="K38" i="101"/>
  <c r="J38" i="101"/>
  <c r="I38" i="101"/>
  <c r="H38" i="101"/>
  <c r="G38" i="101"/>
  <c r="AB37" i="101"/>
  <c r="AA37" i="101"/>
  <c r="Z37" i="101"/>
  <c r="Y37" i="101"/>
  <c r="X37" i="101"/>
  <c r="W37" i="101"/>
  <c r="V37" i="101"/>
  <c r="U37" i="101"/>
  <c r="T37" i="101"/>
  <c r="S37" i="101"/>
  <c r="R37" i="101"/>
  <c r="Q37" i="101"/>
  <c r="P37" i="101"/>
  <c r="O37" i="101"/>
  <c r="N37" i="101"/>
  <c r="M37" i="101"/>
  <c r="L37" i="101"/>
  <c r="K37" i="101"/>
  <c r="J37" i="101"/>
  <c r="I37" i="101"/>
  <c r="H37" i="101"/>
  <c r="G37" i="101"/>
  <c r="AB36" i="101"/>
  <c r="AA36" i="101"/>
  <c r="Z36" i="101"/>
  <c r="Y36" i="101"/>
  <c r="X36" i="101"/>
  <c r="W36" i="101"/>
  <c r="V36" i="101"/>
  <c r="U36" i="101"/>
  <c r="T36" i="101"/>
  <c r="S36" i="101"/>
  <c r="R36" i="101"/>
  <c r="Q36" i="101"/>
  <c r="P36" i="101"/>
  <c r="O36" i="101"/>
  <c r="N36" i="101"/>
  <c r="M36" i="101"/>
  <c r="L36" i="101"/>
  <c r="K36" i="101"/>
  <c r="J36" i="101"/>
  <c r="I36" i="101"/>
  <c r="H36" i="101"/>
  <c r="G36" i="101"/>
  <c r="AB35" i="101"/>
  <c r="AA35" i="101"/>
  <c r="Z35" i="101"/>
  <c r="Y35" i="101"/>
  <c r="X35" i="101"/>
  <c r="W35" i="101"/>
  <c r="V35" i="101"/>
  <c r="U35" i="101"/>
  <c r="T35" i="101"/>
  <c r="S35" i="101"/>
  <c r="R35" i="101"/>
  <c r="Q35" i="101"/>
  <c r="P35" i="101"/>
  <c r="O35" i="101"/>
  <c r="N35" i="101"/>
  <c r="M35" i="101"/>
  <c r="L35" i="101"/>
  <c r="K35" i="101"/>
  <c r="J35" i="101"/>
  <c r="I35" i="101"/>
  <c r="H35" i="101"/>
  <c r="G35" i="101"/>
  <c r="AB34" i="101"/>
  <c r="AA34" i="101"/>
  <c r="Z34" i="101"/>
  <c r="Y34" i="101"/>
  <c r="X34" i="101"/>
  <c r="W34" i="101"/>
  <c r="V34" i="101"/>
  <c r="U34" i="101"/>
  <c r="T34" i="101"/>
  <c r="S34" i="101"/>
  <c r="R34" i="101"/>
  <c r="Q34" i="101"/>
  <c r="P34" i="101"/>
  <c r="O34" i="101"/>
  <c r="N34" i="101"/>
  <c r="M34" i="101"/>
  <c r="L34" i="101"/>
  <c r="K34" i="101"/>
  <c r="J34" i="101"/>
  <c r="I34" i="101"/>
  <c r="H34" i="101"/>
  <c r="G34" i="101"/>
  <c r="AB33" i="101"/>
  <c r="AA33" i="101"/>
  <c r="Z33" i="101"/>
  <c r="Y33" i="101"/>
  <c r="X33" i="101"/>
  <c r="W33" i="101"/>
  <c r="V33" i="101"/>
  <c r="U33" i="101"/>
  <c r="T33" i="101"/>
  <c r="S33" i="101"/>
  <c r="R33" i="101"/>
  <c r="Q33" i="101"/>
  <c r="P33" i="101"/>
  <c r="O33" i="101"/>
  <c r="N33" i="101"/>
  <c r="M33" i="101"/>
  <c r="L33" i="101"/>
  <c r="K33" i="101"/>
  <c r="J33" i="101"/>
  <c r="I33" i="101"/>
  <c r="H33" i="101"/>
  <c r="G33" i="101"/>
  <c r="AB32" i="101"/>
  <c r="AA32" i="101"/>
  <c r="Z32" i="101"/>
  <c r="Y32" i="101"/>
  <c r="X32" i="101"/>
  <c r="W32" i="101"/>
  <c r="V32" i="101"/>
  <c r="U32" i="101"/>
  <c r="T32" i="101"/>
  <c r="S32" i="101"/>
  <c r="R32" i="101"/>
  <c r="Q32" i="101"/>
  <c r="P32" i="101"/>
  <c r="O32" i="101"/>
  <c r="N32" i="101"/>
  <c r="M32" i="101"/>
  <c r="L32" i="101"/>
  <c r="K32" i="101"/>
  <c r="J32" i="101"/>
  <c r="I32" i="101"/>
  <c r="H32" i="101"/>
  <c r="G32" i="101"/>
  <c r="AB31" i="101"/>
  <c r="AA31" i="101"/>
  <c r="Z31" i="101"/>
  <c r="Y31" i="101"/>
  <c r="X31" i="101"/>
  <c r="W31" i="101"/>
  <c r="V31" i="101"/>
  <c r="U31" i="101"/>
  <c r="T31" i="101"/>
  <c r="S31" i="101"/>
  <c r="R31" i="101"/>
  <c r="Q31" i="101"/>
  <c r="P31" i="101"/>
  <c r="O31" i="101"/>
  <c r="N31" i="101"/>
  <c r="M31" i="101"/>
  <c r="L31" i="101"/>
  <c r="K31" i="101"/>
  <c r="J31" i="101"/>
  <c r="I31" i="101"/>
  <c r="H31" i="101"/>
  <c r="G31" i="101"/>
  <c r="F40" i="101"/>
  <c r="F39" i="101"/>
  <c r="F38" i="101"/>
  <c r="F37" i="101"/>
  <c r="F36" i="101"/>
  <c r="F35" i="101"/>
  <c r="F34" i="101"/>
  <c r="F33" i="101"/>
  <c r="F32" i="101"/>
  <c r="F31" i="101"/>
  <c r="E40" i="101"/>
  <c r="E39" i="101"/>
  <c r="E38" i="101"/>
  <c r="E37" i="101"/>
  <c r="E36" i="101"/>
  <c r="E35" i="101"/>
  <c r="E34" i="101"/>
  <c r="E33" i="101"/>
  <c r="E32" i="101"/>
  <c r="E31" i="101"/>
  <c r="F21" i="100"/>
  <c r="F20" i="100"/>
  <c r="F19" i="100"/>
  <c r="F18" i="100"/>
  <c r="F17" i="100"/>
  <c r="F16" i="100"/>
  <c r="F15" i="100"/>
  <c r="F14" i="100"/>
  <c r="F13" i="100"/>
  <c r="F12" i="100"/>
  <c r="Z42" i="101"/>
  <c r="Q42" i="102" l="1"/>
  <c r="R42" i="101"/>
  <c r="U42" i="101"/>
  <c r="M42" i="101"/>
  <c r="D40" i="101"/>
  <c r="H42" i="101"/>
  <c r="P42" i="101"/>
  <c r="X42" i="101"/>
  <c r="D36" i="101"/>
  <c r="L42" i="101"/>
  <c r="T42" i="101"/>
  <c r="AB42" i="101"/>
  <c r="N42" i="101"/>
  <c r="J42" i="101"/>
  <c r="V42" i="101"/>
  <c r="D33" i="101"/>
  <c r="D37" i="101"/>
  <c r="I42" i="101"/>
  <c r="Q42" i="101"/>
  <c r="Y42" i="101"/>
  <c r="E42" i="101"/>
  <c r="D34" i="101"/>
  <c r="D38" i="101"/>
  <c r="D32" i="101"/>
  <c r="D35" i="101"/>
  <c r="D39" i="101"/>
  <c r="F42" i="101"/>
  <c r="G42" i="101"/>
  <c r="D31" i="101"/>
  <c r="K42" i="101"/>
  <c r="O42" i="101"/>
  <c r="S42" i="101"/>
  <c r="W42" i="101"/>
  <c r="AA42" i="101"/>
  <c r="D32" i="102"/>
  <c r="D33" i="102"/>
  <c r="D34" i="102"/>
  <c r="D35" i="102"/>
  <c r="D36" i="102"/>
  <c r="D37" i="102"/>
  <c r="D38" i="102"/>
  <c r="D39" i="102"/>
  <c r="D40" i="102"/>
  <c r="E42" i="102"/>
  <c r="D31" i="102"/>
  <c r="F23" i="100"/>
  <c r="D42" i="102" l="1"/>
  <c r="D42" i="101"/>
  <c r="G8" i="100"/>
  <c r="G25" i="100" s="1"/>
  <c r="G54" i="100" s="1"/>
  <c r="F86" i="44" l="1"/>
  <c r="F87" i="44" s="1"/>
  <c r="U7" i="44"/>
  <c r="U8" i="44" s="1"/>
  <c r="H4" i="1"/>
  <c r="G4" i="1"/>
  <c r="F81" i="44" l="1"/>
  <c r="F80" i="44"/>
  <c r="F79" i="44"/>
  <c r="F78" i="44"/>
  <c r="F77" i="44"/>
  <c r="F76" i="44"/>
  <c r="F75" i="44"/>
  <c r="F74" i="44"/>
  <c r="F73" i="44"/>
  <c r="F72" i="44"/>
  <c r="F4" i="1"/>
  <c r="F82" i="44" l="1"/>
  <c r="AB32" i="44"/>
  <c r="AB31" i="44"/>
  <c r="AB30" i="44"/>
  <c r="AA33" i="44"/>
  <c r="Z33" i="44"/>
  <c r="Z35" i="44" s="1"/>
  <c r="Y33" i="44"/>
  <c r="Y35" i="44" s="1"/>
  <c r="X33" i="44"/>
  <c r="X35" i="44" s="1"/>
  <c r="W33" i="44"/>
  <c r="W35" i="44" s="1"/>
  <c r="V33" i="44"/>
  <c r="V35" i="44" s="1"/>
  <c r="U33" i="44"/>
  <c r="U35" i="44" s="1"/>
  <c r="T33" i="44"/>
  <c r="T35" i="44" s="1"/>
  <c r="S33" i="44"/>
  <c r="S35" i="44" s="1"/>
  <c r="R33" i="44"/>
  <c r="R35" i="44" s="1"/>
  <c r="Q33" i="44"/>
  <c r="Q35" i="44" s="1"/>
  <c r="P33" i="44"/>
  <c r="P35" i="44" s="1"/>
  <c r="O33" i="44"/>
  <c r="N33" i="44"/>
  <c r="N35" i="44" s="1"/>
  <c r="L33" i="44"/>
  <c r="L35" i="44" s="1"/>
  <c r="K33" i="44"/>
  <c r="J33" i="44"/>
  <c r="J35" i="44" s="1"/>
  <c r="I33" i="44"/>
  <c r="I35" i="44" s="1"/>
  <c r="H33" i="44"/>
  <c r="H35" i="44" s="1"/>
  <c r="G33" i="44"/>
  <c r="G35" i="44" s="1"/>
  <c r="F33" i="44"/>
  <c r="F35" i="44" s="1"/>
  <c r="E33" i="44"/>
  <c r="E35" i="44" s="1"/>
  <c r="D33" i="44"/>
  <c r="D35" i="44" s="1"/>
  <c r="AB34" i="44"/>
  <c r="AA35" i="44"/>
  <c r="O35" i="44"/>
  <c r="K35" i="44"/>
  <c r="AB33" i="44" l="1"/>
  <c r="AB35" i="44" s="1"/>
  <c r="F68" i="44" l="1"/>
  <c r="F66" i="44"/>
  <c r="F55" i="44"/>
  <c r="F54" i="44"/>
  <c r="F53" i="44"/>
  <c r="F52" i="44"/>
  <c r="F51" i="44"/>
  <c r="F50" i="44"/>
  <c r="F49" i="44"/>
  <c r="F45" i="44"/>
  <c r="F56" i="44" l="1"/>
  <c r="E22" i="44" l="1"/>
  <c r="D22" i="44" l="1"/>
  <c r="F61" i="44" l="1"/>
  <c r="E7" i="44" l="1"/>
  <c r="D7" i="44"/>
  <c r="O22" i="44" l="1"/>
  <c r="N22" i="44"/>
  <c r="M22" i="44"/>
  <c r="L22" i="44"/>
  <c r="K22" i="44"/>
  <c r="J22" i="44"/>
  <c r="I22" i="44"/>
  <c r="H22" i="44"/>
  <c r="G22" i="44"/>
  <c r="F22" i="44"/>
  <c r="O7" i="44"/>
  <c r="N7" i="44"/>
  <c r="M7" i="44"/>
  <c r="L7" i="44"/>
  <c r="K7" i="44"/>
  <c r="J7" i="44"/>
  <c r="I7" i="44"/>
  <c r="H7" i="44"/>
  <c r="G7" i="44"/>
  <c r="F7" i="44"/>
  <c r="C16" i="33" l="1"/>
  <c r="C13" i="33"/>
  <c r="C11" i="33"/>
  <c r="C10" i="33"/>
  <c r="C8" i="33"/>
  <c r="D7" i="98"/>
  <c r="L7" i="98" s="1"/>
  <c r="E229" i="1"/>
  <c r="E19" i="1"/>
  <c r="E160" i="1"/>
  <c r="E56" i="1"/>
  <c r="E113" i="1"/>
  <c r="E101" i="1"/>
  <c r="E27" i="1"/>
  <c r="E245" i="1"/>
  <c r="E18" i="1"/>
  <c r="E104" i="1"/>
  <c r="E52" i="1"/>
  <c r="E201" i="1"/>
  <c r="E108" i="1"/>
  <c r="E195" i="1"/>
  <c r="E68" i="1"/>
  <c r="E88" i="1"/>
  <c r="E258" i="1"/>
  <c r="E24" i="1"/>
  <c r="E219" i="1"/>
  <c r="E239" i="1"/>
  <c r="E36" i="1"/>
  <c r="E97" i="1"/>
  <c r="E112" i="1"/>
  <c r="E256" i="1"/>
  <c r="E119" i="1"/>
  <c r="E33" i="1"/>
  <c r="E84" i="1"/>
  <c r="E28" i="1"/>
  <c r="D258" i="1"/>
  <c r="E206" i="1"/>
  <c r="E92" i="1"/>
  <c r="E85" i="1"/>
  <c r="E149" i="1"/>
  <c r="E135" i="1"/>
  <c r="E103" i="1"/>
  <c r="E16" i="1"/>
  <c r="E21" i="1"/>
  <c r="E185" i="1"/>
  <c r="E213" i="1"/>
  <c r="D115" i="1"/>
  <c r="E79" i="1"/>
  <c r="E167" i="1"/>
  <c r="E221" i="1"/>
  <c r="E257" i="1"/>
  <c r="E26" i="1"/>
  <c r="E207" i="1"/>
  <c r="D170" i="1"/>
  <c r="E266" i="1"/>
  <c r="E91" i="1"/>
  <c r="D236" i="1"/>
  <c r="E173" i="1"/>
  <c r="E230" i="1"/>
  <c r="E48" i="1"/>
  <c r="E224" i="1"/>
  <c r="E75" i="1"/>
  <c r="E115" i="1"/>
  <c r="E193" i="1"/>
  <c r="E29" i="1"/>
  <c r="E138" i="1"/>
  <c r="E205" i="1"/>
  <c r="E39" i="1"/>
  <c r="E144" i="1"/>
  <c r="E164" i="1"/>
  <c r="E30" i="1"/>
  <c r="E191" i="1"/>
  <c r="E192" i="1"/>
  <c r="E165" i="1"/>
  <c r="E121" i="1"/>
  <c r="E248" i="1"/>
  <c r="E163" i="1"/>
  <c r="E196" i="1"/>
  <c r="D104" i="1"/>
  <c r="E54" i="1"/>
  <c r="E194" i="1"/>
  <c r="E142" i="1"/>
  <c r="E171" i="1"/>
  <c r="E145" i="1"/>
  <c r="E231" i="1"/>
  <c r="D203" i="1"/>
  <c r="E76" i="1"/>
  <c r="D214" i="1"/>
  <c r="E125" i="1"/>
  <c r="E187" i="1"/>
  <c r="E227" i="1"/>
  <c r="E89" i="1"/>
  <c r="E100" i="1"/>
  <c r="E243" i="1"/>
  <c r="E216" i="1"/>
  <c r="E252" i="1"/>
  <c r="E77" i="1"/>
  <c r="E132" i="1"/>
  <c r="E37" i="1"/>
  <c r="E20" i="1"/>
  <c r="E87" i="1"/>
  <c r="E23" i="1"/>
  <c r="E17" i="1"/>
  <c r="E133" i="1"/>
  <c r="D93" i="1"/>
  <c r="E203" i="1"/>
  <c r="E180" i="1"/>
  <c r="D225" i="1"/>
  <c r="E175" i="1"/>
  <c r="E242" i="1"/>
  <c r="E32" i="1"/>
  <c r="E263" i="1"/>
  <c r="E42" i="1"/>
  <c r="E130" i="1"/>
  <c r="E34" i="1"/>
  <c r="E166" i="1"/>
  <c r="E80" i="1"/>
  <c r="E143" i="1"/>
  <c r="E31" i="1"/>
  <c r="E249" i="1"/>
  <c r="E198" i="1"/>
  <c r="E114" i="1"/>
  <c r="E71" i="1"/>
  <c r="E67" i="1"/>
  <c r="E78" i="1"/>
  <c r="E63" i="1"/>
  <c r="E237" i="1"/>
  <c r="E226" i="1"/>
  <c r="E172" i="1"/>
  <c r="E50" i="1"/>
  <c r="E111" i="1"/>
  <c r="E189" i="1"/>
  <c r="E44" i="1"/>
  <c r="E59" i="1"/>
  <c r="E265" i="1"/>
  <c r="E182" i="1"/>
  <c r="E220" i="1"/>
  <c r="E169" i="1"/>
  <c r="E38" i="1"/>
  <c r="E122" i="1"/>
  <c r="E178" i="1"/>
  <c r="E154" i="1"/>
  <c r="E244" i="1"/>
  <c r="E49" i="1"/>
  <c r="E53" i="1"/>
  <c r="E106" i="1"/>
  <c r="E40" i="1"/>
  <c r="E57" i="1"/>
  <c r="D60" i="1"/>
  <c r="E148" i="1"/>
  <c r="E200" i="1"/>
  <c r="D82" i="1"/>
  <c r="E228" i="1"/>
  <c r="E155" i="1"/>
  <c r="E137" i="1"/>
  <c r="E74" i="1"/>
  <c r="D181" i="1"/>
  <c r="E64" i="1"/>
  <c r="E157" i="1"/>
  <c r="E61" i="1"/>
  <c r="E126" i="1"/>
  <c r="D137" i="1"/>
  <c r="E177" i="1"/>
  <c r="E238" i="1"/>
  <c r="E233" i="1"/>
  <c r="E93" i="1"/>
  <c r="E262" i="1"/>
  <c r="E95" i="1"/>
  <c r="E211" i="1"/>
  <c r="E267" i="1"/>
  <c r="D126" i="1"/>
  <c r="E45" i="1"/>
  <c r="E159" i="1"/>
  <c r="E156" i="1"/>
  <c r="E60" i="1"/>
  <c r="E94" i="1"/>
  <c r="E225" i="1"/>
  <c r="E158" i="1"/>
  <c r="E81" i="1"/>
  <c r="D16" i="1"/>
  <c r="E251" i="1"/>
  <c r="E14" i="1"/>
  <c r="E107" i="1"/>
  <c r="E223" i="1"/>
  <c r="D192" i="1"/>
  <c r="E202" i="1"/>
  <c r="E105" i="1"/>
  <c r="E174" i="1"/>
  <c r="E150" i="1"/>
  <c r="E236" i="1"/>
  <c r="E96" i="1"/>
  <c r="E51" i="1"/>
  <c r="E186" i="1"/>
  <c r="E255" i="1"/>
  <c r="E90" i="1"/>
  <c r="E204" i="1"/>
  <c r="D159" i="1"/>
  <c r="E190" i="1"/>
  <c r="E72" i="1"/>
  <c r="E35" i="1"/>
  <c r="E62" i="1"/>
  <c r="E250" i="1"/>
  <c r="E86" i="1"/>
  <c r="E127" i="1"/>
  <c r="E83" i="1"/>
  <c r="E179" i="1"/>
  <c r="E197" i="1"/>
  <c r="E134" i="1"/>
  <c r="E147" i="1"/>
  <c r="E109" i="1"/>
  <c r="E70" i="1"/>
  <c r="E235" i="1"/>
  <c r="E209" i="1"/>
  <c r="E66" i="1"/>
  <c r="E116" i="1"/>
  <c r="E184" i="1"/>
  <c r="E82" i="1"/>
  <c r="D71" i="1"/>
  <c r="D49" i="1"/>
  <c r="E124" i="1"/>
  <c r="E128" i="1"/>
  <c r="D27" i="1"/>
  <c r="D148" i="1"/>
  <c r="E151" i="1"/>
  <c r="E47" i="1"/>
  <c r="E98" i="1"/>
  <c r="E210" i="1"/>
  <c r="E260" i="1"/>
  <c r="E253" i="1"/>
  <c r="E176" i="1"/>
  <c r="E69" i="1"/>
  <c r="E65" i="1"/>
  <c r="E99" i="1"/>
  <c r="E110" i="1"/>
  <c r="E41" i="1"/>
  <c r="E232" i="1"/>
  <c r="E247" i="1"/>
  <c r="E43" i="1"/>
  <c r="E264" i="1"/>
  <c r="E241" i="1"/>
  <c r="E215" i="1"/>
  <c r="E22" i="1"/>
  <c r="E188" i="1"/>
  <c r="E153" i="1"/>
  <c r="E208" i="1"/>
  <c r="E46" i="1"/>
  <c r="D38" i="1"/>
  <c r="E218" i="1"/>
  <c r="E58" i="1"/>
  <c r="E170" i="1"/>
  <c r="E73" i="1"/>
  <c r="E25" i="1"/>
  <c r="E214" i="1"/>
  <c r="E259" i="1"/>
  <c r="E123" i="1"/>
  <c r="E131" i="1"/>
  <c r="E120" i="1"/>
  <c r="E162" i="1"/>
  <c r="E246" i="1"/>
  <c r="D247" i="1"/>
  <c r="E181" i="1"/>
  <c r="E234" i="1"/>
  <c r="E117" i="1"/>
  <c r="E199" i="1"/>
  <c r="E222" i="1"/>
  <c r="E139" i="1"/>
  <c r="E161" i="1"/>
  <c r="E55" i="1"/>
  <c r="E183" i="1"/>
  <c r="E152" i="1"/>
  <c r="E136" i="1"/>
  <c r="E102" i="1"/>
  <c r="E140" i="1"/>
  <c r="E118" i="1"/>
  <c r="E168" i="1"/>
  <c r="E261" i="1"/>
  <c r="E129" i="1"/>
  <c r="E217" i="1"/>
  <c r="E212" i="1"/>
  <c r="E146" i="1"/>
  <c r="E240" i="1"/>
  <c r="E254" i="1"/>
  <c r="E15" i="1"/>
  <c r="E141" i="1"/>
  <c r="C247" i="1" l="1"/>
  <c r="C248" i="1" s="1"/>
  <c r="C249" i="1" s="1"/>
  <c r="C250" i="1" s="1"/>
  <c r="C251" i="1" s="1"/>
  <c r="C252" i="1" s="1"/>
  <c r="C253" i="1" s="1"/>
  <c r="C254" i="1" s="1"/>
  <c r="C255" i="1" s="1"/>
  <c r="C256" i="1" s="1"/>
  <c r="C257" i="1" s="1"/>
  <c r="C38" i="1"/>
  <c r="C39" i="1" s="1"/>
  <c r="C40" i="1" s="1"/>
  <c r="C41" i="1" s="1"/>
  <c r="C42" i="1" s="1"/>
  <c r="C43" i="1" s="1"/>
  <c r="C44" i="1" s="1"/>
  <c r="C45" i="1" s="1"/>
  <c r="C46" i="1" s="1"/>
  <c r="C47" i="1" s="1"/>
  <c r="C48" i="1" s="1"/>
  <c r="C148" i="1"/>
  <c r="C149" i="1" s="1"/>
  <c r="C150" i="1" s="1"/>
  <c r="C151" i="1" s="1"/>
  <c r="C152" i="1" s="1"/>
  <c r="C153" i="1" s="1"/>
  <c r="C154" i="1" s="1"/>
  <c r="C155" i="1" s="1"/>
  <c r="C156" i="1" s="1"/>
  <c r="C157" i="1" s="1"/>
  <c r="C158" i="1" s="1"/>
  <c r="C27" i="1"/>
  <c r="C28" i="1" s="1"/>
  <c r="C29" i="1" s="1"/>
  <c r="C30" i="1" s="1"/>
  <c r="C31" i="1" s="1"/>
  <c r="C32" i="1" s="1"/>
  <c r="C33" i="1" s="1"/>
  <c r="C34" i="1" s="1"/>
  <c r="C35" i="1" s="1"/>
  <c r="C36" i="1" s="1"/>
  <c r="C37" i="1" s="1"/>
  <c r="C49" i="1"/>
  <c r="C50" i="1" s="1"/>
  <c r="C51" i="1" s="1"/>
  <c r="C52" i="1" s="1"/>
  <c r="C53" i="1" s="1"/>
  <c r="C54" i="1" s="1"/>
  <c r="C55" i="1" s="1"/>
  <c r="C56" i="1" s="1"/>
  <c r="C57" i="1" s="1"/>
  <c r="C58" i="1" s="1"/>
  <c r="C59" i="1" s="1"/>
  <c r="C71" i="1"/>
  <c r="C72" i="1" s="1"/>
  <c r="C73" i="1" s="1"/>
  <c r="C74" i="1" s="1"/>
  <c r="C75" i="1" s="1"/>
  <c r="C76" i="1" s="1"/>
  <c r="C77" i="1" s="1"/>
  <c r="C78" i="1" s="1"/>
  <c r="C79" i="1" s="1"/>
  <c r="C80" i="1" s="1"/>
  <c r="C81" i="1" s="1"/>
  <c r="C159" i="1"/>
  <c r="C160" i="1" s="1"/>
  <c r="C161" i="1" s="1"/>
  <c r="C162" i="1" s="1"/>
  <c r="C163" i="1" s="1"/>
  <c r="C164" i="1" s="1"/>
  <c r="C165" i="1" s="1"/>
  <c r="C166" i="1" s="1"/>
  <c r="C167" i="1" s="1"/>
  <c r="C168" i="1" s="1"/>
  <c r="C169" i="1" s="1"/>
  <c r="C192" i="1"/>
  <c r="C193" i="1" s="1"/>
  <c r="C194" i="1" s="1"/>
  <c r="C195" i="1" s="1"/>
  <c r="C196" i="1" s="1"/>
  <c r="C197" i="1" s="1"/>
  <c r="C198" i="1" s="1"/>
  <c r="C199" i="1" s="1"/>
  <c r="C200" i="1" s="1"/>
  <c r="C201" i="1" s="1"/>
  <c r="C202" i="1" s="1"/>
  <c r="C16" i="1"/>
  <c r="C17" i="1" s="1"/>
  <c r="C18" i="1" s="1"/>
  <c r="C19" i="1" s="1"/>
  <c r="C20" i="1" s="1"/>
  <c r="C21" i="1" s="1"/>
  <c r="C22" i="1" s="1"/>
  <c r="C23" i="1" s="1"/>
  <c r="C24" i="1" s="1"/>
  <c r="C25" i="1" s="1"/>
  <c r="C26" i="1" s="1"/>
  <c r="C126" i="1"/>
  <c r="C127" i="1" s="1"/>
  <c r="C128" i="1" s="1"/>
  <c r="C129" i="1" s="1"/>
  <c r="C130" i="1" s="1"/>
  <c r="C131" i="1" s="1"/>
  <c r="C132" i="1" s="1"/>
  <c r="C133" i="1" s="1"/>
  <c r="C134" i="1" s="1"/>
  <c r="C135" i="1" s="1"/>
  <c r="C136" i="1" s="1"/>
  <c r="C137" i="1"/>
  <c r="C138" i="1" s="1"/>
  <c r="C139" i="1" s="1"/>
  <c r="C140" i="1" s="1"/>
  <c r="C141" i="1" s="1"/>
  <c r="C142" i="1" s="1"/>
  <c r="C143" i="1" s="1"/>
  <c r="C144" i="1" s="1"/>
  <c r="C145" i="1" s="1"/>
  <c r="C146" i="1" s="1"/>
  <c r="C147" i="1" s="1"/>
  <c r="C181" i="1"/>
  <c r="C182" i="1" s="1"/>
  <c r="C183" i="1" s="1"/>
  <c r="C184" i="1" s="1"/>
  <c r="C185" i="1" s="1"/>
  <c r="C186" i="1" s="1"/>
  <c r="C187" i="1" s="1"/>
  <c r="C188" i="1" s="1"/>
  <c r="C189" i="1" s="1"/>
  <c r="C190" i="1" s="1"/>
  <c r="C191" i="1" s="1"/>
  <c r="C82" i="1"/>
  <c r="C83" i="1" s="1"/>
  <c r="C84" i="1" s="1"/>
  <c r="C85" i="1" s="1"/>
  <c r="C86" i="1" s="1"/>
  <c r="C87" i="1" s="1"/>
  <c r="C88" i="1" s="1"/>
  <c r="C89" i="1" s="1"/>
  <c r="C90" i="1" s="1"/>
  <c r="C91" i="1" s="1"/>
  <c r="C92" i="1" s="1"/>
  <c r="C60" i="1"/>
  <c r="C61" i="1" s="1"/>
  <c r="C62" i="1" s="1"/>
  <c r="C63" i="1" s="1"/>
  <c r="C64" i="1" s="1"/>
  <c r="C65" i="1" s="1"/>
  <c r="C66" i="1" s="1"/>
  <c r="C67" i="1" s="1"/>
  <c r="C68" i="1" s="1"/>
  <c r="C69" i="1" s="1"/>
  <c r="C70" i="1" s="1"/>
  <c r="C225" i="1"/>
  <c r="C226" i="1" s="1"/>
  <c r="C227" i="1" s="1"/>
  <c r="C228" i="1" s="1"/>
  <c r="C229" i="1" s="1"/>
  <c r="C230" i="1" s="1"/>
  <c r="C231" i="1" s="1"/>
  <c r="C232" i="1" s="1"/>
  <c r="C233" i="1" s="1"/>
  <c r="C234" i="1" s="1"/>
  <c r="C235" i="1" s="1"/>
  <c r="C93" i="1"/>
  <c r="C94" i="1" s="1"/>
  <c r="C95" i="1" s="1"/>
  <c r="C96" i="1" s="1"/>
  <c r="C97" i="1" s="1"/>
  <c r="C98" i="1" s="1"/>
  <c r="C99" i="1" s="1"/>
  <c r="C100" i="1" s="1"/>
  <c r="C101" i="1" s="1"/>
  <c r="C102" i="1" s="1"/>
  <c r="C103" i="1" s="1"/>
  <c r="C214" i="1"/>
  <c r="C215" i="1" s="1"/>
  <c r="C216" i="1" s="1"/>
  <c r="C217" i="1" s="1"/>
  <c r="C218" i="1" s="1"/>
  <c r="C219" i="1" s="1"/>
  <c r="C220" i="1" s="1"/>
  <c r="C221" i="1" s="1"/>
  <c r="C222" i="1" s="1"/>
  <c r="C223" i="1" s="1"/>
  <c r="C224" i="1" s="1"/>
  <c r="C203" i="1"/>
  <c r="C204" i="1" s="1"/>
  <c r="C205" i="1" s="1"/>
  <c r="C206" i="1" s="1"/>
  <c r="C207" i="1" s="1"/>
  <c r="C208" i="1" s="1"/>
  <c r="C209" i="1" s="1"/>
  <c r="C210" i="1" s="1"/>
  <c r="C211" i="1" s="1"/>
  <c r="C212" i="1" s="1"/>
  <c r="C213" i="1" s="1"/>
  <c r="C104" i="1"/>
  <c r="C105" i="1" s="1"/>
  <c r="C106" i="1" s="1"/>
  <c r="C107" i="1" s="1"/>
  <c r="C108" i="1" s="1"/>
  <c r="C109" i="1" s="1"/>
  <c r="C110" i="1" s="1"/>
  <c r="C111" i="1" s="1"/>
  <c r="C112" i="1" s="1"/>
  <c r="C113" i="1" s="1"/>
  <c r="C114" i="1" s="1"/>
  <c r="C236" i="1"/>
  <c r="C237" i="1" s="1"/>
  <c r="C238" i="1" s="1"/>
  <c r="C239" i="1" s="1"/>
  <c r="C240" i="1" s="1"/>
  <c r="C241" i="1" s="1"/>
  <c r="C242" i="1" s="1"/>
  <c r="C243" i="1" s="1"/>
  <c r="C244" i="1" s="1"/>
  <c r="C245" i="1" s="1"/>
  <c r="C246" i="1" s="1"/>
  <c r="C170" i="1"/>
  <c r="C171" i="1" s="1"/>
  <c r="C172" i="1" s="1"/>
  <c r="C173" i="1" s="1"/>
  <c r="C174" i="1" s="1"/>
  <c r="C175" i="1" s="1"/>
  <c r="C176" i="1" s="1"/>
  <c r="C177" i="1" s="1"/>
  <c r="C178" i="1" s="1"/>
  <c r="C179" i="1" s="1"/>
  <c r="C180" i="1" s="1"/>
  <c r="C115" i="1"/>
  <c r="C116" i="1" s="1"/>
  <c r="C117" i="1" s="1"/>
  <c r="C118" i="1" s="1"/>
  <c r="C119" i="1" s="1"/>
  <c r="C120" i="1" s="1"/>
  <c r="C121" i="1" s="1"/>
  <c r="C122" i="1" s="1"/>
  <c r="C123" i="1" s="1"/>
  <c r="C124" i="1" s="1"/>
  <c r="C125" i="1" s="1"/>
  <c r="C258" i="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D9" i="98"/>
  <c r="L9" i="98" s="1"/>
  <c r="A268" i="1"/>
  <c r="A269" i="1"/>
  <c r="B268" i="1" l="1"/>
  <c r="B269" i="1"/>
  <c r="A270" i="1"/>
  <c r="B270" i="1" l="1"/>
  <c r="A271" i="1"/>
  <c r="B271" i="1" l="1"/>
  <c r="E5" i="3"/>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A272" i="1"/>
  <c r="B272" i="1" l="1"/>
  <c r="P22" i="44"/>
  <c r="E10" i="1"/>
  <c r="A273" i="1"/>
  <c r="B273" i="1" l="1"/>
  <c r="A274" i="1"/>
  <c r="B274" i="1" l="1"/>
  <c r="G8" i="2"/>
  <c r="G1" i="2"/>
  <c r="A275" i="1"/>
  <c r="H2" i="2" l="1"/>
  <c r="B275" i="1"/>
  <c r="D3" i="98"/>
  <c r="D6" i="44" s="1"/>
  <c r="D21" i="44"/>
  <c r="H3" i="2"/>
  <c r="A276" i="1"/>
  <c r="I2" i="2" l="1"/>
  <c r="J2" i="2" s="1"/>
  <c r="K2" i="2" s="1"/>
  <c r="L2" i="2" s="1"/>
  <c r="M2" i="2" s="1"/>
  <c r="N2" i="2" s="1"/>
  <c r="B276" i="1"/>
  <c r="H8" i="2"/>
  <c r="I3" i="2"/>
  <c r="H1" i="2"/>
  <c r="A277" i="1"/>
  <c r="I8" i="2" l="1"/>
  <c r="F3" i="98" s="1"/>
  <c r="F6" i="44" s="1"/>
  <c r="J3" i="2"/>
  <c r="B277" i="1"/>
  <c r="E3" i="98"/>
  <c r="E6" i="44" s="1"/>
  <c r="E21" i="44"/>
  <c r="B158" i="1"/>
  <c r="B59" i="1"/>
  <c r="B114" i="1"/>
  <c r="B202" i="1"/>
  <c r="B257" i="1"/>
  <c r="B48" i="1"/>
  <c r="B147" i="1"/>
  <c r="B92" i="1"/>
  <c r="B26" i="1"/>
  <c r="B103" i="1"/>
  <c r="B37" i="1"/>
  <c r="B235" i="1"/>
  <c r="B136" i="1"/>
  <c r="B125" i="1"/>
  <c r="B246" i="1"/>
  <c r="B213" i="1"/>
  <c r="B224" i="1"/>
  <c r="B81" i="1"/>
  <c r="B191" i="1"/>
  <c r="B180" i="1"/>
  <c r="B169" i="1"/>
  <c r="B70" i="1"/>
  <c r="I1" i="2"/>
  <c r="E11" i="1"/>
  <c r="E9" i="1"/>
  <c r="A278" i="1"/>
  <c r="D18" i="2"/>
  <c r="E6" i="1"/>
  <c r="E8" i="1"/>
  <c r="E12" i="1"/>
  <c r="E13" i="1"/>
  <c r="D5" i="1"/>
  <c r="E7" i="1"/>
  <c r="E5" i="1"/>
  <c r="E268" i="1"/>
  <c r="N20" i="2" l="1"/>
  <c r="N19" i="2"/>
  <c r="M19" i="2"/>
  <c r="M20" i="2"/>
  <c r="K3" i="2"/>
  <c r="K1" i="2" s="1"/>
  <c r="L20" i="2"/>
  <c r="L19" i="2"/>
  <c r="K20" i="2"/>
  <c r="K19" i="2"/>
  <c r="K8" i="2"/>
  <c r="H3" i="98" s="1"/>
  <c r="J20" i="2"/>
  <c r="J19" i="2"/>
  <c r="J1" i="2"/>
  <c r="J8" i="2"/>
  <c r="G3" i="98" s="1"/>
  <c r="F21" i="44"/>
  <c r="G20" i="2"/>
  <c r="G19" i="2"/>
  <c r="H19" i="2"/>
  <c r="H20" i="2"/>
  <c r="I20" i="2"/>
  <c r="I19" i="2"/>
  <c r="B278" i="1"/>
  <c r="C5" i="1"/>
  <c r="C6" i="1" s="1"/>
  <c r="C7" i="1" s="1"/>
  <c r="C8" i="1" s="1"/>
  <c r="C9" i="1" s="1"/>
  <c r="C10" i="1" s="1"/>
  <c r="C11" i="1" s="1"/>
  <c r="C12" i="1" s="1"/>
  <c r="C13" i="1" s="1"/>
  <c r="C14" i="1" s="1"/>
  <c r="C15" i="1" s="1"/>
  <c r="B247" i="1"/>
  <c r="B93" i="1"/>
  <c r="B181" i="1"/>
  <c r="B236" i="1"/>
  <c r="B258" i="1"/>
  <c r="B148" i="1"/>
  <c r="B49" i="1"/>
  <c r="B71" i="1"/>
  <c r="B137" i="1"/>
  <c r="B192" i="1"/>
  <c r="B203" i="1"/>
  <c r="B38" i="1"/>
  <c r="B170" i="1"/>
  <c r="B82" i="1"/>
  <c r="B104" i="1"/>
  <c r="B115" i="1"/>
  <c r="B225" i="1"/>
  <c r="B27" i="1"/>
  <c r="B60" i="1"/>
  <c r="B126" i="1"/>
  <c r="B16" i="1"/>
  <c r="B159" i="1"/>
  <c r="B214" i="1"/>
  <c r="A225" i="1"/>
  <c r="A105" i="1"/>
  <c r="A115" i="1"/>
  <c r="A215" i="1"/>
  <c r="A125" i="1"/>
  <c r="A235" i="1"/>
  <c r="O19" i="2" l="1"/>
  <c r="O20" i="2"/>
  <c r="L3" i="2"/>
  <c r="G6" i="44"/>
  <c r="B15" i="1"/>
  <c r="G21" i="44"/>
  <c r="B50" i="1"/>
  <c r="B171" i="1"/>
  <c r="B259" i="1"/>
  <c r="B127" i="1"/>
  <c r="B237" i="1"/>
  <c r="B182" i="1"/>
  <c r="B39" i="1"/>
  <c r="B28" i="1"/>
  <c r="B193" i="1"/>
  <c r="B94" i="1"/>
  <c r="B226" i="1"/>
  <c r="B138" i="1"/>
  <c r="B248" i="1"/>
  <c r="B116" i="1"/>
  <c r="B72" i="1"/>
  <c r="B160" i="1"/>
  <c r="B105" i="1"/>
  <c r="B83" i="1"/>
  <c r="B149" i="1"/>
  <c r="B17" i="1"/>
  <c r="B61" i="1"/>
  <c r="B204" i="1"/>
  <c r="B215" i="1"/>
  <c r="B5" i="1"/>
  <c r="A95" i="1"/>
  <c r="A205" i="1"/>
  <c r="A126" i="1"/>
  <c r="A136" i="1"/>
  <c r="A216" i="1"/>
  <c r="A6" i="1"/>
  <c r="A116" i="1"/>
  <c r="A236" i="1"/>
  <c r="A226" i="1"/>
  <c r="A106" i="1"/>
  <c r="A26" i="1"/>
  <c r="M3" i="2" l="1"/>
  <c r="N3" i="2" s="1"/>
  <c r="L8" i="2"/>
  <c r="I3" i="98" s="1"/>
  <c r="L1" i="2"/>
  <c r="H6" i="44"/>
  <c r="H21" i="44"/>
  <c r="B29" i="1"/>
  <c r="B6" i="1"/>
  <c r="B161" i="1"/>
  <c r="B205" i="1"/>
  <c r="B117" i="1"/>
  <c r="B183" i="1"/>
  <c r="B249" i="1"/>
  <c r="B238" i="1"/>
  <c r="B62" i="1"/>
  <c r="B139" i="1"/>
  <c r="B128" i="1"/>
  <c r="B18" i="1"/>
  <c r="B73" i="1"/>
  <c r="B40" i="1"/>
  <c r="B260" i="1"/>
  <c r="B216" i="1"/>
  <c r="B150" i="1"/>
  <c r="B227" i="1"/>
  <c r="B84" i="1"/>
  <c r="B95" i="1"/>
  <c r="B172" i="1"/>
  <c r="B106" i="1"/>
  <c r="B194" i="1"/>
  <c r="B51" i="1"/>
  <c r="A140" i="1"/>
  <c r="A150" i="1"/>
  <c r="A60" i="1"/>
  <c r="A85" i="1"/>
  <c r="A40" i="1"/>
  <c r="A138" i="1"/>
  <c r="A160" i="1"/>
  <c r="A158" i="1"/>
  <c r="A39" i="1"/>
  <c r="A228" i="1"/>
  <c r="A59" i="1"/>
  <c r="A137" i="1"/>
  <c r="A238" i="1"/>
  <c r="A195" i="1"/>
  <c r="A49" i="1"/>
  <c r="A38" i="1"/>
  <c r="A149" i="1"/>
  <c r="A128" i="1"/>
  <c r="A180" i="1"/>
  <c r="A147" i="1"/>
  <c r="A48" i="1"/>
  <c r="A239" i="1"/>
  <c r="A237" i="1"/>
  <c r="A139" i="1"/>
  <c r="A206" i="1"/>
  <c r="A30" i="1"/>
  <c r="A159" i="1"/>
  <c r="A127" i="1"/>
  <c r="A28" i="1"/>
  <c r="A148" i="1"/>
  <c r="A129" i="1"/>
  <c r="A27" i="1"/>
  <c r="A170" i="1"/>
  <c r="A227" i="1"/>
  <c r="A107" i="1"/>
  <c r="A50" i="1"/>
  <c r="A7" i="1"/>
  <c r="A70" i="1"/>
  <c r="A96" i="1"/>
  <c r="A169" i="1"/>
  <c r="A29" i="1"/>
  <c r="A118" i="1"/>
  <c r="A37" i="1"/>
  <c r="A217" i="1"/>
  <c r="A117" i="1"/>
  <c r="N1" i="2" l="1"/>
  <c r="N8" i="2"/>
  <c r="K3" i="98" s="1"/>
  <c r="F6" i="2"/>
  <c r="F5" i="2"/>
  <c r="M8" i="2"/>
  <c r="J3" i="98" s="1"/>
  <c r="M1" i="2"/>
  <c r="I6" i="44"/>
  <c r="I21" i="44"/>
  <c r="B140" i="1"/>
  <c r="B228" i="1"/>
  <c r="B151" i="1"/>
  <c r="B63" i="1"/>
  <c r="B52" i="1"/>
  <c r="B96" i="1"/>
  <c r="B206" i="1"/>
  <c r="B85" i="1"/>
  <c r="B7" i="1"/>
  <c r="B217" i="1"/>
  <c r="B239" i="1"/>
  <c r="B261" i="1"/>
  <c r="B250" i="1"/>
  <c r="B41" i="1"/>
  <c r="B184" i="1"/>
  <c r="B19" i="1"/>
  <c r="B162" i="1"/>
  <c r="B195" i="1"/>
  <c r="B107" i="1"/>
  <c r="B30" i="1"/>
  <c r="B173" i="1"/>
  <c r="B74" i="1"/>
  <c r="B118" i="1"/>
  <c r="B129" i="1"/>
  <c r="A108" i="1"/>
  <c r="A207" i="1"/>
  <c r="A8" i="1"/>
  <c r="A191" i="1"/>
  <c r="A41" i="1"/>
  <c r="A119" i="1"/>
  <c r="A229" i="1"/>
  <c r="A141" i="1"/>
  <c r="A218" i="1"/>
  <c r="A86" i="1"/>
  <c r="A130" i="1"/>
  <c r="A171" i="1"/>
  <c r="A51" i="1"/>
  <c r="A181" i="1"/>
  <c r="A151" i="1"/>
  <c r="A196" i="1"/>
  <c r="A71" i="1"/>
  <c r="A161" i="1"/>
  <c r="A97" i="1"/>
  <c r="A81" i="1"/>
  <c r="A240" i="1"/>
  <c r="A31" i="1"/>
  <c r="A61" i="1"/>
  <c r="A75" i="1"/>
  <c r="A185" i="1"/>
  <c r="J6" i="44" l="1"/>
  <c r="J21" i="44"/>
  <c r="B8" i="1"/>
  <c r="B75" i="1"/>
  <c r="B152" i="1"/>
  <c r="B207" i="1"/>
  <c r="B31" i="1"/>
  <c r="B42" i="1"/>
  <c r="B251" i="1"/>
  <c r="B262" i="1"/>
  <c r="B53" i="1"/>
  <c r="B196" i="1"/>
  <c r="B240" i="1"/>
  <c r="B108" i="1"/>
  <c r="B64" i="1"/>
  <c r="B163" i="1"/>
  <c r="B218" i="1"/>
  <c r="B130" i="1"/>
  <c r="B119" i="1"/>
  <c r="B20" i="1"/>
  <c r="B97" i="1"/>
  <c r="B229" i="1"/>
  <c r="B141" i="1"/>
  <c r="B174" i="1"/>
  <c r="B185" i="1"/>
  <c r="B86" i="1"/>
  <c r="A202" i="1"/>
  <c r="A230" i="1"/>
  <c r="A208" i="1"/>
  <c r="A32" i="1"/>
  <c r="A219" i="1"/>
  <c r="A142" i="1"/>
  <c r="A186" i="1"/>
  <c r="A76" i="1"/>
  <c r="A131" i="1"/>
  <c r="A62" i="1"/>
  <c r="A42" i="1"/>
  <c r="A9" i="1"/>
  <c r="A98" i="1"/>
  <c r="A87" i="1"/>
  <c r="A92" i="1"/>
  <c r="A109" i="1"/>
  <c r="A120" i="1"/>
  <c r="A241" i="1"/>
  <c r="A192" i="1"/>
  <c r="A197" i="1"/>
  <c r="A52" i="1"/>
  <c r="A82" i="1"/>
  <c r="A182" i="1"/>
  <c r="A152" i="1"/>
  <c r="A72" i="1"/>
  <c r="A175" i="1"/>
  <c r="A162" i="1"/>
  <c r="A172" i="1"/>
  <c r="A65" i="1"/>
  <c r="K6" i="44" l="1"/>
  <c r="K21" i="44"/>
  <c r="B186" i="1"/>
  <c r="B164" i="1"/>
  <c r="B131" i="1"/>
  <c r="B153" i="1"/>
  <c r="B54" i="1"/>
  <c r="B219" i="1"/>
  <c r="B142" i="1"/>
  <c r="B263" i="1"/>
  <c r="B98" i="1"/>
  <c r="B65" i="1"/>
  <c r="B43" i="1"/>
  <c r="B252" i="1"/>
  <c r="B9" i="1"/>
  <c r="B32" i="1"/>
  <c r="B21" i="1"/>
  <c r="B120" i="1"/>
  <c r="B241" i="1"/>
  <c r="B230" i="1"/>
  <c r="B109" i="1"/>
  <c r="B208" i="1"/>
  <c r="B87" i="1"/>
  <c r="B197" i="1"/>
  <c r="B175" i="1"/>
  <c r="B76" i="1"/>
  <c r="C5" i="3"/>
  <c r="C6" i="3" s="1"/>
  <c r="C7" i="3" s="1"/>
  <c r="C8" i="3" s="1"/>
  <c r="C9" i="3" s="1"/>
  <c r="C10" i="3" s="1"/>
  <c r="C11" i="3" s="1"/>
  <c r="C12" i="3" s="1"/>
  <c r="C13" i="3" s="1"/>
  <c r="A354" i="1"/>
  <c r="A383" i="1"/>
  <c r="A358" i="1"/>
  <c r="A88" i="1"/>
  <c r="A153" i="1"/>
  <c r="A164" i="1"/>
  <c r="A209" i="1"/>
  <c r="A110" i="1"/>
  <c r="A143" i="1"/>
  <c r="A366" i="1"/>
  <c r="A371" i="1"/>
  <c r="A224" i="1"/>
  <c r="A83" i="1"/>
  <c r="A347" i="1"/>
  <c r="A373" i="1"/>
  <c r="A350" i="1"/>
  <c r="A114" i="1"/>
  <c r="A44" i="1"/>
  <c r="A94" i="1"/>
  <c r="A242" i="1"/>
  <c r="A63" i="1"/>
  <c r="A364" i="1"/>
  <c r="A363" i="1"/>
  <c r="A165" i="1"/>
  <c r="A193" i="1"/>
  <c r="A55" i="1"/>
  <c r="A381" i="1"/>
  <c r="A184" i="1"/>
  <c r="A372" i="1"/>
  <c r="A43" i="1"/>
  <c r="A362" i="1"/>
  <c r="A384" i="1"/>
  <c r="A378" i="1"/>
  <c r="A351" i="1"/>
  <c r="A213" i="1"/>
  <c r="A73" i="1"/>
  <c r="A360" i="1"/>
  <c r="A374" i="1"/>
  <c r="A53" i="1"/>
  <c r="A348" i="1"/>
  <c r="A204" i="1"/>
  <c r="A163" i="1"/>
  <c r="A368" i="1"/>
  <c r="A387" i="1"/>
  <c r="A346" i="1"/>
  <c r="A355" i="1"/>
  <c r="A66" i="1"/>
  <c r="A173" i="1"/>
  <c r="A183" i="1"/>
  <c r="A187" i="1"/>
  <c r="A64" i="1"/>
  <c r="A375" i="1"/>
  <c r="A203" i="1"/>
  <c r="A365" i="1"/>
  <c r="A16" i="1"/>
  <c r="A352" i="1"/>
  <c r="A385" i="1"/>
  <c r="A359" i="1"/>
  <c r="A357" i="1"/>
  <c r="A220" i="1"/>
  <c r="A174" i="1"/>
  <c r="A33" i="1"/>
  <c r="A121" i="1"/>
  <c r="A376" i="1"/>
  <c r="A54" i="1"/>
  <c r="A154" i="1"/>
  <c r="A99" i="1"/>
  <c r="A369" i="1"/>
  <c r="A370" i="1"/>
  <c r="A132" i="1"/>
  <c r="A356" i="1"/>
  <c r="A231" i="1"/>
  <c r="A377" i="1"/>
  <c r="A361" i="1"/>
  <c r="A367" i="1"/>
  <c r="A214" i="1"/>
  <c r="A84" i="1"/>
  <c r="A103" i="1"/>
  <c r="A382" i="1"/>
  <c r="A380" i="1"/>
  <c r="A104" i="1"/>
  <c r="A93" i="1"/>
  <c r="A194" i="1"/>
  <c r="A77" i="1"/>
  <c r="A379" i="1"/>
  <c r="A386" i="1"/>
  <c r="A353" i="1"/>
  <c r="A10" i="1"/>
  <c r="A176" i="1"/>
  <c r="A198" i="1"/>
  <c r="A15" i="1"/>
  <c r="A349" i="1"/>
  <c r="A74" i="1"/>
  <c r="L6" i="44" l="1"/>
  <c r="L21" i="44"/>
  <c r="B10" i="1"/>
  <c r="B165" i="1"/>
  <c r="B88" i="1"/>
  <c r="B253" i="1"/>
  <c r="B143" i="1"/>
  <c r="B198" i="1"/>
  <c r="B264" i="1"/>
  <c r="B209" i="1"/>
  <c r="B220" i="1"/>
  <c r="B110" i="1"/>
  <c r="B44" i="1"/>
  <c r="B55" i="1"/>
  <c r="B242" i="1"/>
  <c r="B66" i="1"/>
  <c r="B154" i="1"/>
  <c r="B77" i="1"/>
  <c r="B22" i="1"/>
  <c r="B99" i="1"/>
  <c r="B132" i="1"/>
  <c r="B121" i="1"/>
  <c r="B176" i="1"/>
  <c r="B187" i="1"/>
  <c r="B231" i="1"/>
  <c r="B33" i="1"/>
  <c r="D31" i="2"/>
  <c r="N31" i="2" s="1"/>
  <c r="D30" i="2"/>
  <c r="N30" i="2" s="1"/>
  <c r="D29" i="2"/>
  <c r="D28" i="2"/>
  <c r="D27" i="2"/>
  <c r="D26" i="2"/>
  <c r="D25" i="2"/>
  <c r="D24" i="2"/>
  <c r="D23" i="2"/>
  <c r="D22" i="2"/>
  <c r="D21" i="2"/>
  <c r="A89" i="1"/>
  <c r="A221" i="1"/>
  <c r="A45" i="1"/>
  <c r="A188" i="1"/>
  <c r="A100" i="1"/>
  <c r="A243" i="1"/>
  <c r="A11" i="1"/>
  <c r="A34" i="1"/>
  <c r="A122" i="1"/>
  <c r="A133" i="1"/>
  <c r="A155" i="1"/>
  <c r="A78" i="1"/>
  <c r="A199" i="1"/>
  <c r="A144" i="1"/>
  <c r="A67" i="1"/>
  <c r="A166" i="1"/>
  <c r="A111" i="1"/>
  <c r="A17" i="1"/>
  <c r="A56" i="1"/>
  <c r="A177" i="1"/>
  <c r="A232" i="1"/>
  <c r="A210" i="1"/>
  <c r="L30" i="2" l="1"/>
  <c r="M30" i="2"/>
  <c r="L31" i="2"/>
  <c r="M31" i="2"/>
  <c r="J31" i="2"/>
  <c r="K31" i="2"/>
  <c r="J30" i="2"/>
  <c r="K30" i="2"/>
  <c r="G30" i="2"/>
  <c r="H30" i="2"/>
  <c r="I30" i="2"/>
  <c r="G31" i="2"/>
  <c r="H31" i="2"/>
  <c r="I31" i="2"/>
  <c r="M6" i="44"/>
  <c r="M21" i="44"/>
  <c r="B23" i="1"/>
  <c r="B45" i="1"/>
  <c r="B199" i="1"/>
  <c r="B144" i="1"/>
  <c r="B78" i="1"/>
  <c r="B111" i="1"/>
  <c r="B254" i="1"/>
  <c r="B177" i="1"/>
  <c r="B155" i="1"/>
  <c r="B67" i="1"/>
  <c r="B221" i="1"/>
  <c r="B89" i="1"/>
  <c r="B122" i="1"/>
  <c r="B243" i="1"/>
  <c r="B210" i="1"/>
  <c r="B34" i="1"/>
  <c r="B133" i="1"/>
  <c r="B100" i="1"/>
  <c r="B265" i="1"/>
  <c r="B166" i="1"/>
  <c r="B232" i="1"/>
  <c r="B56" i="1"/>
  <c r="B11" i="1"/>
  <c r="B188" i="1"/>
  <c r="D41" i="2"/>
  <c r="N41" i="2" s="1"/>
  <c r="D42" i="2"/>
  <c r="N42" i="2" s="1"/>
  <c r="D40" i="2"/>
  <c r="D32" i="2"/>
  <c r="D34" i="2"/>
  <c r="D36" i="2"/>
  <c r="D38" i="2"/>
  <c r="D33" i="2"/>
  <c r="D35" i="2"/>
  <c r="D37" i="2"/>
  <c r="D39" i="2"/>
  <c r="F9" i="2"/>
  <c r="C18" i="2" s="1"/>
  <c r="N18" i="2" s="1"/>
  <c r="C14" i="3"/>
  <c r="F37" i="2"/>
  <c r="F11" i="2"/>
  <c r="A222" i="1"/>
  <c r="F27" i="2"/>
  <c r="A90" i="1"/>
  <c r="A167" i="1"/>
  <c r="F29" i="2"/>
  <c r="A79" i="1"/>
  <c r="A211" i="1"/>
  <c r="F22" i="2"/>
  <c r="F32" i="2"/>
  <c r="A12" i="1"/>
  <c r="A134" i="1"/>
  <c r="F36" i="2"/>
  <c r="F24" i="2"/>
  <c r="A156" i="1"/>
  <c r="A178" i="1"/>
  <c r="F35" i="2"/>
  <c r="A68" i="1"/>
  <c r="A35" i="1"/>
  <c r="F10" i="2"/>
  <c r="F25" i="2"/>
  <c r="A244" i="1"/>
  <c r="F26" i="2"/>
  <c r="F40" i="2"/>
  <c r="A18" i="1"/>
  <c r="A46" i="1"/>
  <c r="F39" i="2"/>
  <c r="F33" i="2"/>
  <c r="F21" i="2"/>
  <c r="A101" i="1"/>
  <c r="A189" i="1"/>
  <c r="F34" i="2"/>
  <c r="A57" i="1"/>
  <c r="A112" i="1"/>
  <c r="F38" i="2"/>
  <c r="F14" i="2"/>
  <c r="A123" i="1"/>
  <c r="F28" i="2"/>
  <c r="F23" i="2"/>
  <c r="A145" i="1"/>
  <c r="A233" i="1"/>
  <c r="A200" i="1"/>
  <c r="O31" i="2" l="1"/>
  <c r="O30" i="2"/>
  <c r="L42" i="2"/>
  <c r="M42" i="2"/>
  <c r="L18" i="2"/>
  <c r="M18" i="2"/>
  <c r="L41" i="2"/>
  <c r="M41" i="2"/>
  <c r="J42" i="2"/>
  <c r="K42" i="2"/>
  <c r="J41" i="2"/>
  <c r="K41" i="2"/>
  <c r="J18" i="2"/>
  <c r="K18" i="2"/>
  <c r="G42" i="2"/>
  <c r="H42" i="2"/>
  <c r="I42" i="2"/>
  <c r="G41" i="2"/>
  <c r="H41" i="2"/>
  <c r="I41" i="2"/>
  <c r="G18" i="2"/>
  <c r="H18" i="2"/>
  <c r="I18" i="2"/>
  <c r="N6" i="44"/>
  <c r="N21" i="44"/>
  <c r="B189" i="1"/>
  <c r="B35" i="1"/>
  <c r="B178" i="1"/>
  <c r="B12" i="1"/>
  <c r="B211" i="1"/>
  <c r="B255" i="1"/>
  <c r="B256" i="1"/>
  <c r="B57" i="1"/>
  <c r="B245" i="1"/>
  <c r="B244" i="1"/>
  <c r="B112" i="1"/>
  <c r="B233" i="1"/>
  <c r="B123" i="1"/>
  <c r="B79" i="1"/>
  <c r="B167" i="1"/>
  <c r="B145" i="1"/>
  <c r="B90" i="1"/>
  <c r="B266" i="1"/>
  <c r="B267" i="1"/>
  <c r="B222" i="1"/>
  <c r="B200" i="1"/>
  <c r="B101" i="1"/>
  <c r="B68" i="1"/>
  <c r="B46" i="1"/>
  <c r="B134" i="1"/>
  <c r="B156" i="1"/>
  <c r="B24" i="1"/>
  <c r="D53" i="2"/>
  <c r="N53" i="2" s="1"/>
  <c r="D52" i="2"/>
  <c r="N52" i="2" s="1"/>
  <c r="D43" i="2"/>
  <c r="D49" i="2"/>
  <c r="D47" i="2"/>
  <c r="D46" i="2"/>
  <c r="D45" i="2"/>
  <c r="D44" i="2"/>
  <c r="D48" i="2"/>
  <c r="D50" i="2"/>
  <c r="D51" i="2"/>
  <c r="C15" i="3"/>
  <c r="C16" i="3" s="1"/>
  <c r="C17" i="3" s="1"/>
  <c r="C18" i="3" s="1"/>
  <c r="C19" i="3" s="1"/>
  <c r="C20" i="3" s="1"/>
  <c r="C21" i="3" s="1"/>
  <c r="C22" i="3" s="1"/>
  <c r="C23" i="3" s="1"/>
  <c r="C24" i="3" s="1"/>
  <c r="F4" i="2"/>
  <c r="A10" i="2"/>
  <c r="A11" i="2" s="1"/>
  <c r="C10" i="2"/>
  <c r="N10" i="2" s="1"/>
  <c r="C11" i="2"/>
  <c r="N11" i="2" s="1"/>
  <c r="O11" i="2" s="1"/>
  <c r="C12" i="2"/>
  <c r="N12" i="2" s="1"/>
  <c r="C13" i="2"/>
  <c r="N13" i="2" s="1"/>
  <c r="C14" i="2"/>
  <c r="N14" i="2" s="1"/>
  <c r="C15" i="2"/>
  <c r="N15" i="2" s="1"/>
  <c r="C16" i="2"/>
  <c r="C17" i="2"/>
  <c r="A102" i="1"/>
  <c r="A91" i="1"/>
  <c r="A113" i="1"/>
  <c r="A146" i="1"/>
  <c r="F49" i="2"/>
  <c r="A19" i="1"/>
  <c r="F47" i="2"/>
  <c r="A223" i="1"/>
  <c r="A168" i="1"/>
  <c r="F46" i="2"/>
  <c r="A58" i="1"/>
  <c r="A190" i="1"/>
  <c r="F51" i="2"/>
  <c r="A47" i="1"/>
  <c r="F44" i="2"/>
  <c r="A179" i="1"/>
  <c r="A124" i="1"/>
  <c r="F50" i="2"/>
  <c r="A69" i="1"/>
  <c r="A80" i="1"/>
  <c r="F43" i="2"/>
  <c r="A25" i="1"/>
  <c r="A212" i="1"/>
  <c r="F45" i="2"/>
  <c r="A135" i="1"/>
  <c r="A13" i="1"/>
  <c r="A234" i="1"/>
  <c r="F48" i="2"/>
  <c r="A22" i="1"/>
  <c r="A157" i="1"/>
  <c r="A201" i="1"/>
  <c r="A36" i="1"/>
  <c r="N16" i="2" l="1"/>
  <c r="O42" i="2"/>
  <c r="O41" i="2"/>
  <c r="O18" i="2"/>
  <c r="L10" i="2"/>
  <c r="M10" i="2"/>
  <c r="L14" i="2"/>
  <c r="M14" i="2"/>
  <c r="L13" i="2"/>
  <c r="M13" i="2"/>
  <c r="L52" i="2"/>
  <c r="M52" i="2"/>
  <c r="J16" i="2"/>
  <c r="M16" i="2"/>
  <c r="L12" i="2"/>
  <c r="M12" i="2"/>
  <c r="L53" i="2"/>
  <c r="M53" i="2"/>
  <c r="J15" i="2"/>
  <c r="M15" i="2"/>
  <c r="L11" i="2"/>
  <c r="M11" i="2"/>
  <c r="L15" i="2"/>
  <c r="L16" i="2"/>
  <c r="J14" i="2"/>
  <c r="K14" i="2"/>
  <c r="J10" i="2"/>
  <c r="K10" i="2"/>
  <c r="J13" i="2"/>
  <c r="K13" i="2"/>
  <c r="J52" i="2"/>
  <c r="K52" i="2"/>
  <c r="K15" i="2"/>
  <c r="J11" i="2"/>
  <c r="K11" i="2"/>
  <c r="J12" i="2"/>
  <c r="K12" i="2"/>
  <c r="J53" i="2"/>
  <c r="K53" i="2"/>
  <c r="K16" i="2"/>
  <c r="G15" i="2"/>
  <c r="H15" i="2"/>
  <c r="I15" i="2"/>
  <c r="G13" i="2"/>
  <c r="H13" i="2"/>
  <c r="I13" i="2"/>
  <c r="G11" i="2"/>
  <c r="H11" i="2"/>
  <c r="I11" i="2"/>
  <c r="G14" i="2"/>
  <c r="H14" i="2"/>
  <c r="I14" i="2"/>
  <c r="G52" i="2"/>
  <c r="H52" i="2"/>
  <c r="I52" i="2"/>
  <c r="G16" i="2"/>
  <c r="H16" i="2"/>
  <c r="I16" i="2"/>
  <c r="G12" i="2"/>
  <c r="H12" i="2"/>
  <c r="I12" i="2"/>
  <c r="G53" i="2"/>
  <c r="H53" i="2"/>
  <c r="I53" i="2"/>
  <c r="G10" i="2"/>
  <c r="H10" i="2"/>
  <c r="I10" i="2"/>
  <c r="O6" i="44"/>
  <c r="O21" i="44"/>
  <c r="B69" i="1"/>
  <c r="B168" i="1"/>
  <c r="B80" i="1"/>
  <c r="B13" i="1"/>
  <c r="M17" i="2" s="1"/>
  <c r="B124" i="1"/>
  <c r="B102" i="1"/>
  <c r="B201" i="1"/>
  <c r="B25" i="1"/>
  <c r="B234" i="1"/>
  <c r="B223" i="1"/>
  <c r="B179" i="1"/>
  <c r="B113" i="1"/>
  <c r="B157" i="1"/>
  <c r="B135" i="1"/>
  <c r="B36" i="1"/>
  <c r="B91" i="1"/>
  <c r="B190" i="1"/>
  <c r="B212" i="1"/>
  <c r="B47" i="1"/>
  <c r="B146" i="1"/>
  <c r="B58" i="1"/>
  <c r="D64" i="2"/>
  <c r="N64" i="2" s="1"/>
  <c r="D63" i="2"/>
  <c r="N63" i="2" s="1"/>
  <c r="D61" i="2"/>
  <c r="D59" i="2"/>
  <c r="D60" i="2"/>
  <c r="D57" i="2"/>
  <c r="D58" i="2"/>
  <c r="D56" i="2"/>
  <c r="D55" i="2"/>
  <c r="D62" i="2"/>
  <c r="D54" i="2"/>
  <c r="C25" i="3"/>
  <c r="C26" i="3" s="1"/>
  <c r="C27" i="3" s="1"/>
  <c r="C28" i="3" s="1"/>
  <c r="C29" i="3" s="1"/>
  <c r="C30" i="3" s="1"/>
  <c r="C31" i="3" s="1"/>
  <c r="C32" i="3" s="1"/>
  <c r="C33" i="3" s="1"/>
  <c r="C34" i="3" s="1"/>
  <c r="F549" i="2"/>
  <c r="F60" i="2"/>
  <c r="F13" i="2"/>
  <c r="F56" i="2"/>
  <c r="F16" i="2"/>
  <c r="F55" i="2"/>
  <c r="F62" i="2"/>
  <c r="F18" i="2"/>
  <c r="F54" i="2"/>
  <c r="F58" i="2"/>
  <c r="F17" i="2"/>
  <c r="F57" i="2"/>
  <c r="A14" i="1"/>
  <c r="A20" i="1"/>
  <c r="A23" i="1"/>
  <c r="F59" i="2"/>
  <c r="F15" i="2"/>
  <c r="F12" i="2"/>
  <c r="F61" i="2"/>
  <c r="O10" i="2" l="1"/>
  <c r="N17" i="2"/>
  <c r="O52" i="2"/>
  <c r="O15" i="2"/>
  <c r="O16" i="2"/>
  <c r="O13" i="2"/>
  <c r="O12" i="2"/>
  <c r="O53" i="2"/>
  <c r="O14" i="2"/>
  <c r="L63" i="2"/>
  <c r="M63" i="2"/>
  <c r="L64" i="2"/>
  <c r="M64" i="2"/>
  <c r="L17" i="2"/>
  <c r="J63" i="2"/>
  <c r="K63" i="2"/>
  <c r="J64" i="2"/>
  <c r="K64" i="2"/>
  <c r="H17" i="2"/>
  <c r="K17" i="2"/>
  <c r="J17" i="2"/>
  <c r="G17" i="2"/>
  <c r="I17" i="2"/>
  <c r="G64" i="2"/>
  <c r="H64" i="2"/>
  <c r="I64" i="2"/>
  <c r="G63" i="2"/>
  <c r="H63" i="2"/>
  <c r="I63" i="2"/>
  <c r="B14" i="1"/>
  <c r="D75" i="2"/>
  <c r="N75" i="2" s="1"/>
  <c r="D74" i="2"/>
  <c r="N74" i="2" s="1"/>
  <c r="D69" i="2"/>
  <c r="D70" i="2"/>
  <c r="D65" i="2"/>
  <c r="D71" i="2"/>
  <c r="D67" i="2"/>
  <c r="D66" i="2"/>
  <c r="D73" i="2"/>
  <c r="D68" i="2"/>
  <c r="D72" i="2"/>
  <c r="C35" i="3"/>
  <c r="C36" i="3" s="1"/>
  <c r="C37" i="3" s="1"/>
  <c r="C38" i="3" s="1"/>
  <c r="C39" i="3" s="1"/>
  <c r="C40" i="3" s="1"/>
  <c r="C41" i="3" s="1"/>
  <c r="C42" i="3" s="1"/>
  <c r="C43" i="3" s="1"/>
  <c r="C44" i="3" s="1"/>
  <c r="C45" i="3" s="1"/>
  <c r="C46" i="3" s="1"/>
  <c r="C47" i="3" s="1"/>
  <c r="C48" i="3" s="1"/>
  <c r="C49" i="3" s="1"/>
  <c r="C50" i="3" s="1"/>
  <c r="C51" i="3" s="1"/>
  <c r="C52" i="3" s="1"/>
  <c r="A12" i="2"/>
  <c r="A13" i="2" s="1"/>
  <c r="A14" i="2" s="1"/>
  <c r="A15" i="2" s="1"/>
  <c r="A16" i="2" s="1"/>
  <c r="A17" i="2" s="1"/>
  <c r="A18" i="2" s="1"/>
  <c r="A19" i="2" s="1"/>
  <c r="A20" i="2" s="1"/>
  <c r="A21" i="2" s="1"/>
  <c r="A22" i="2" s="1"/>
  <c r="A23" i="2" s="1"/>
  <c r="A24" i="2" s="1"/>
  <c r="A25" i="2" s="1"/>
  <c r="A26" i="2" s="1"/>
  <c r="A27" i="2" s="1"/>
  <c r="A28" i="2" s="1"/>
  <c r="A29" i="2" s="1"/>
  <c r="A30" i="2" s="1"/>
  <c r="A31" i="2" s="1"/>
  <c r="F67" i="2"/>
  <c r="F72" i="2"/>
  <c r="F65" i="2"/>
  <c r="F70" i="2"/>
  <c r="F69" i="2"/>
  <c r="F66" i="2"/>
  <c r="A5" i="1"/>
  <c r="A21" i="1"/>
  <c r="A24" i="1"/>
  <c r="F73" i="2"/>
  <c r="F68" i="2"/>
  <c r="F71" i="2"/>
  <c r="O63" i="2" l="1"/>
  <c r="O64" i="2"/>
  <c r="O17" i="2"/>
  <c r="L74" i="2"/>
  <c r="M74" i="2"/>
  <c r="L75" i="2"/>
  <c r="M75" i="2"/>
  <c r="J74" i="2"/>
  <c r="K74" i="2"/>
  <c r="J75" i="2"/>
  <c r="K75" i="2"/>
  <c r="G74" i="2"/>
  <c r="H74" i="2"/>
  <c r="I74" i="2"/>
  <c r="G75" i="2"/>
  <c r="H75" i="2"/>
  <c r="I75" i="2"/>
  <c r="D85" i="2"/>
  <c r="N85" i="2" s="1"/>
  <c r="D86" i="2"/>
  <c r="N86" i="2" s="1"/>
  <c r="D81" i="2"/>
  <c r="D82" i="2"/>
  <c r="D84" i="2"/>
  <c r="D76" i="2"/>
  <c r="D78" i="2"/>
  <c r="D77" i="2"/>
  <c r="D79" i="2"/>
  <c r="D83" i="2"/>
  <c r="D80" i="2"/>
  <c r="F31" i="2"/>
  <c r="A32" i="2"/>
  <c r="A33" i="2" s="1"/>
  <c r="A34" i="2" s="1"/>
  <c r="A35" i="2" s="1"/>
  <c r="A36" i="2" s="1"/>
  <c r="A37" i="2" s="1"/>
  <c r="A38" i="2" s="1"/>
  <c r="A39" i="2" s="1"/>
  <c r="A40" i="2" s="1"/>
  <c r="A41" i="2" s="1"/>
  <c r="A42" i="2" s="1"/>
  <c r="F80" i="2"/>
  <c r="F84" i="2"/>
  <c r="F82" i="2"/>
  <c r="F79" i="2"/>
  <c r="F83" i="2"/>
  <c r="F76" i="2"/>
  <c r="F78" i="2"/>
  <c r="F81" i="2"/>
  <c r="F77" i="2"/>
  <c r="O74" i="2" l="1"/>
  <c r="O75" i="2"/>
  <c r="L86" i="2"/>
  <c r="M86" i="2"/>
  <c r="L85" i="2"/>
  <c r="M85" i="2"/>
  <c r="J85" i="2"/>
  <c r="K85" i="2"/>
  <c r="J86" i="2"/>
  <c r="K86" i="2"/>
  <c r="G85" i="2"/>
  <c r="H85" i="2"/>
  <c r="I85" i="2"/>
  <c r="G86" i="2"/>
  <c r="H86" i="2"/>
  <c r="I86" i="2"/>
  <c r="D97" i="2"/>
  <c r="N97" i="2" s="1"/>
  <c r="D96" i="2"/>
  <c r="N96" i="2" s="1"/>
  <c r="D87" i="2"/>
  <c r="D93" i="2"/>
  <c r="D94" i="2"/>
  <c r="D95" i="2"/>
  <c r="D90" i="2"/>
  <c r="D89" i="2"/>
  <c r="D88" i="2"/>
  <c r="D91" i="2"/>
  <c r="D92" i="2"/>
  <c r="F42" i="2"/>
  <c r="A43" i="2"/>
  <c r="A44" i="2" s="1"/>
  <c r="A45" i="2" s="1"/>
  <c r="A46" i="2" s="1"/>
  <c r="A47" i="2" s="1"/>
  <c r="A48" i="2" s="1"/>
  <c r="A49" i="2" s="1"/>
  <c r="A50" i="2" s="1"/>
  <c r="A51" i="2" s="1"/>
  <c r="A52" i="2" s="1"/>
  <c r="A53" i="2" s="1"/>
  <c r="C38" i="2"/>
  <c r="N38" i="2" s="1"/>
  <c r="C33" i="2"/>
  <c r="N33" i="2" s="1"/>
  <c r="O33" i="2" s="1"/>
  <c r="C37" i="2"/>
  <c r="N37" i="2" s="1"/>
  <c r="C35" i="2"/>
  <c r="N35" i="2" s="1"/>
  <c r="C34" i="2"/>
  <c r="N34" i="2" s="1"/>
  <c r="C36" i="2"/>
  <c r="N36" i="2" s="1"/>
  <c r="C32" i="2"/>
  <c r="N32" i="2" s="1"/>
  <c r="C39" i="2"/>
  <c r="N39" i="2" s="1"/>
  <c r="C40" i="2"/>
  <c r="N40" i="2" s="1"/>
  <c r="F88" i="2"/>
  <c r="F90" i="2"/>
  <c r="F92" i="2"/>
  <c r="F91" i="2"/>
  <c r="F87" i="2"/>
  <c r="F95" i="2"/>
  <c r="F89" i="2"/>
  <c r="F93" i="2"/>
  <c r="F94" i="2"/>
  <c r="O85" i="2" l="1"/>
  <c r="O86" i="2"/>
  <c r="L36" i="2"/>
  <c r="M36" i="2"/>
  <c r="L40" i="2"/>
  <c r="M40" i="2"/>
  <c r="L34" i="2"/>
  <c r="M34" i="2"/>
  <c r="L38" i="2"/>
  <c r="M38" i="2"/>
  <c r="L96" i="2"/>
  <c r="M96" i="2"/>
  <c r="L32" i="2"/>
  <c r="M32" i="2"/>
  <c r="L37" i="2"/>
  <c r="M37" i="2"/>
  <c r="L33" i="2"/>
  <c r="M33" i="2"/>
  <c r="L39" i="2"/>
  <c r="M39" i="2"/>
  <c r="L35" i="2"/>
  <c r="M35" i="2"/>
  <c r="L97" i="2"/>
  <c r="M97" i="2"/>
  <c r="J32" i="2"/>
  <c r="K32" i="2"/>
  <c r="J37" i="2"/>
  <c r="K37" i="2"/>
  <c r="J36" i="2"/>
  <c r="K36" i="2"/>
  <c r="J39" i="2"/>
  <c r="K39" i="2"/>
  <c r="J35" i="2"/>
  <c r="K35" i="2"/>
  <c r="J97" i="2"/>
  <c r="K97" i="2"/>
  <c r="J33" i="2"/>
  <c r="K33" i="2"/>
  <c r="J40" i="2"/>
  <c r="K40" i="2"/>
  <c r="J34" i="2"/>
  <c r="K34" i="2"/>
  <c r="J38" i="2"/>
  <c r="K38" i="2"/>
  <c r="J96" i="2"/>
  <c r="K96" i="2"/>
  <c r="I39" i="2"/>
  <c r="G39" i="2"/>
  <c r="H39" i="2"/>
  <c r="G97" i="2"/>
  <c r="H97" i="2"/>
  <c r="I97" i="2"/>
  <c r="G32" i="2"/>
  <c r="H32" i="2"/>
  <c r="I32" i="2"/>
  <c r="G37" i="2"/>
  <c r="H37" i="2"/>
  <c r="I37" i="2"/>
  <c r="I36" i="2"/>
  <c r="G36" i="2"/>
  <c r="H36" i="2"/>
  <c r="G40" i="2"/>
  <c r="H40" i="2"/>
  <c r="I40" i="2"/>
  <c r="G34" i="2"/>
  <c r="H34" i="2"/>
  <c r="I34" i="2"/>
  <c r="H38" i="2"/>
  <c r="I38" i="2"/>
  <c r="G38" i="2"/>
  <c r="G96" i="2"/>
  <c r="H96" i="2"/>
  <c r="I96" i="2"/>
  <c r="G35" i="2"/>
  <c r="H35" i="2"/>
  <c r="I35" i="2"/>
  <c r="G33" i="2"/>
  <c r="H33" i="2"/>
  <c r="I33" i="2"/>
  <c r="D108" i="2"/>
  <c r="N108" i="2" s="1"/>
  <c r="D107" i="2"/>
  <c r="N107" i="2" s="1"/>
  <c r="D101" i="2"/>
  <c r="D106" i="2"/>
  <c r="D99" i="2"/>
  <c r="D104" i="2"/>
  <c r="D105" i="2"/>
  <c r="D102" i="2"/>
  <c r="D100" i="2"/>
  <c r="D103" i="2"/>
  <c r="D98" i="2"/>
  <c r="F53" i="2"/>
  <c r="A54" i="2"/>
  <c r="A55" i="2" s="1"/>
  <c r="A56" i="2" s="1"/>
  <c r="A57" i="2" s="1"/>
  <c r="A58" i="2" s="1"/>
  <c r="A59" i="2" s="1"/>
  <c r="A60" i="2" s="1"/>
  <c r="A61" i="2" s="1"/>
  <c r="A62" i="2" s="1"/>
  <c r="A63" i="2" s="1"/>
  <c r="A64" i="2" s="1"/>
  <c r="C46" i="2"/>
  <c r="N46" i="2" s="1"/>
  <c r="C50" i="2"/>
  <c r="N50" i="2" s="1"/>
  <c r="C49" i="2"/>
  <c r="N49" i="2" s="1"/>
  <c r="C48" i="2"/>
  <c r="N48" i="2" s="1"/>
  <c r="C51" i="2"/>
  <c r="N51" i="2" s="1"/>
  <c r="C47" i="2"/>
  <c r="N47" i="2" s="1"/>
  <c r="C45" i="2"/>
  <c r="N45" i="2" s="1"/>
  <c r="C44" i="2"/>
  <c r="N44" i="2" s="1"/>
  <c r="O44" i="2" s="1"/>
  <c r="C43" i="2"/>
  <c r="N43" i="2" s="1"/>
  <c r="F103" i="2"/>
  <c r="F99" i="2"/>
  <c r="F100" i="2"/>
  <c r="F106" i="2"/>
  <c r="F101" i="2"/>
  <c r="F104" i="2"/>
  <c r="F105" i="2"/>
  <c r="F98" i="2"/>
  <c r="F102" i="2"/>
  <c r="O37" i="2" l="1"/>
  <c r="O36" i="2"/>
  <c r="O39" i="2"/>
  <c r="O34" i="2"/>
  <c r="O32" i="2"/>
  <c r="O96" i="2"/>
  <c r="O35" i="2"/>
  <c r="O38" i="2"/>
  <c r="O40" i="2"/>
  <c r="O97" i="2"/>
  <c r="L43" i="2"/>
  <c r="M43" i="2"/>
  <c r="L46" i="2"/>
  <c r="M46" i="2"/>
  <c r="L107" i="2"/>
  <c r="M107" i="2"/>
  <c r="L45" i="2"/>
  <c r="M45" i="2"/>
  <c r="L49" i="2"/>
  <c r="M49" i="2"/>
  <c r="L51" i="2"/>
  <c r="M51" i="2"/>
  <c r="L47" i="2"/>
  <c r="M47" i="2"/>
  <c r="L50" i="2"/>
  <c r="M50" i="2"/>
  <c r="L44" i="2"/>
  <c r="M44" i="2"/>
  <c r="L48" i="2"/>
  <c r="M48" i="2"/>
  <c r="L108" i="2"/>
  <c r="M108" i="2"/>
  <c r="J49" i="2"/>
  <c r="K49" i="2"/>
  <c r="J43" i="2"/>
  <c r="K43" i="2"/>
  <c r="J51" i="2"/>
  <c r="K51" i="2"/>
  <c r="J46" i="2"/>
  <c r="K46" i="2"/>
  <c r="J107" i="2"/>
  <c r="K107" i="2"/>
  <c r="J44" i="2"/>
  <c r="K44" i="2"/>
  <c r="J48" i="2"/>
  <c r="K48" i="2"/>
  <c r="J108" i="2"/>
  <c r="K108" i="2"/>
  <c r="J45" i="2"/>
  <c r="K45" i="2"/>
  <c r="J47" i="2"/>
  <c r="K47" i="2"/>
  <c r="J50" i="2"/>
  <c r="K50" i="2"/>
  <c r="G47" i="2"/>
  <c r="H47" i="2"/>
  <c r="I47" i="2"/>
  <c r="I50" i="2"/>
  <c r="G50" i="2"/>
  <c r="H50" i="2"/>
  <c r="H44" i="2"/>
  <c r="I44" i="2"/>
  <c r="G44" i="2"/>
  <c r="H48" i="2"/>
  <c r="I48" i="2"/>
  <c r="G48" i="2"/>
  <c r="G108" i="2"/>
  <c r="H108" i="2"/>
  <c r="I108" i="2"/>
  <c r="G45" i="2"/>
  <c r="H45" i="2"/>
  <c r="I45" i="2"/>
  <c r="I49" i="2"/>
  <c r="H49" i="2"/>
  <c r="G49" i="2"/>
  <c r="G43" i="2"/>
  <c r="H43" i="2"/>
  <c r="I43" i="2"/>
  <c r="H51" i="2"/>
  <c r="I51" i="2"/>
  <c r="G51" i="2"/>
  <c r="H46" i="2"/>
  <c r="I46" i="2"/>
  <c r="G46" i="2"/>
  <c r="G107" i="2"/>
  <c r="H107" i="2"/>
  <c r="I107" i="2"/>
  <c r="D119" i="2"/>
  <c r="N119" i="2" s="1"/>
  <c r="D118" i="2"/>
  <c r="N118" i="2" s="1"/>
  <c r="D111" i="2"/>
  <c r="D117" i="2"/>
  <c r="D114" i="2"/>
  <c r="D115" i="2"/>
  <c r="D113" i="2"/>
  <c r="D110" i="2"/>
  <c r="D116" i="2"/>
  <c r="D109" i="2"/>
  <c r="D112" i="2"/>
  <c r="F64" i="2"/>
  <c r="A65" i="2"/>
  <c r="A66" i="2" s="1"/>
  <c r="A67" i="2" s="1"/>
  <c r="A68" i="2" s="1"/>
  <c r="A69" i="2" s="1"/>
  <c r="A70" i="2" s="1"/>
  <c r="A71" i="2" s="1"/>
  <c r="A72" i="2" s="1"/>
  <c r="A73" i="2" s="1"/>
  <c r="A74" i="2" s="1"/>
  <c r="A75" i="2" s="1"/>
  <c r="C58" i="2"/>
  <c r="N58" i="2" s="1"/>
  <c r="C57" i="2"/>
  <c r="N57" i="2" s="1"/>
  <c r="C55" i="2"/>
  <c r="N55" i="2" s="1"/>
  <c r="O55" i="2" s="1"/>
  <c r="C56" i="2"/>
  <c r="N56" i="2" s="1"/>
  <c r="C54" i="2"/>
  <c r="N54" i="2" s="1"/>
  <c r="C60" i="2"/>
  <c r="N60" i="2" s="1"/>
  <c r="C59" i="2"/>
  <c r="N59" i="2" s="1"/>
  <c r="C62" i="2"/>
  <c r="N62" i="2" s="1"/>
  <c r="C61" i="2"/>
  <c r="N61" i="2" s="1"/>
  <c r="F116" i="2"/>
  <c r="F112" i="2"/>
  <c r="F117" i="2"/>
  <c r="F115" i="2"/>
  <c r="F109" i="2"/>
  <c r="F114" i="2"/>
  <c r="F110" i="2"/>
  <c r="F113" i="2"/>
  <c r="F111" i="2"/>
  <c r="O45" i="2" l="1"/>
  <c r="O48" i="2"/>
  <c r="O51" i="2"/>
  <c r="O49" i="2"/>
  <c r="O108" i="2"/>
  <c r="O50" i="2"/>
  <c r="O47" i="2"/>
  <c r="O107" i="2"/>
  <c r="O46" i="2"/>
  <c r="O43" i="2"/>
  <c r="L59" i="2"/>
  <c r="M59" i="2"/>
  <c r="L55" i="2"/>
  <c r="M55" i="2"/>
  <c r="L60" i="2"/>
  <c r="M60" i="2"/>
  <c r="L57" i="2"/>
  <c r="M57" i="2"/>
  <c r="L61" i="2"/>
  <c r="M61" i="2"/>
  <c r="L54" i="2"/>
  <c r="M54" i="2"/>
  <c r="L58" i="2"/>
  <c r="M58" i="2"/>
  <c r="L118" i="2"/>
  <c r="M118" i="2"/>
  <c r="L62" i="2"/>
  <c r="M62" i="2"/>
  <c r="L56" i="2"/>
  <c r="M56" i="2"/>
  <c r="L119" i="2"/>
  <c r="M119" i="2"/>
  <c r="J60" i="2"/>
  <c r="K60" i="2"/>
  <c r="J61" i="2"/>
  <c r="K61" i="2"/>
  <c r="J54" i="2"/>
  <c r="K54" i="2"/>
  <c r="J58" i="2"/>
  <c r="K58" i="2"/>
  <c r="J118" i="2"/>
  <c r="K118" i="2"/>
  <c r="J119" i="2"/>
  <c r="K119" i="2"/>
  <c r="J62" i="2"/>
  <c r="K62" i="2"/>
  <c r="J56" i="2"/>
  <c r="K56" i="2"/>
  <c r="J59" i="2"/>
  <c r="K59" i="2"/>
  <c r="J55" i="2"/>
  <c r="K55" i="2"/>
  <c r="J57" i="2"/>
  <c r="K57" i="2"/>
  <c r="G62" i="2"/>
  <c r="I62" i="2"/>
  <c r="H62" i="2"/>
  <c r="G56" i="2"/>
  <c r="H56" i="2"/>
  <c r="I56" i="2"/>
  <c r="G119" i="2"/>
  <c r="H119" i="2"/>
  <c r="I119" i="2"/>
  <c r="G59" i="2"/>
  <c r="H59" i="2"/>
  <c r="I59" i="2"/>
  <c r="I55" i="2"/>
  <c r="G55" i="2"/>
  <c r="H55" i="2"/>
  <c r="G60" i="2"/>
  <c r="H60" i="2"/>
  <c r="I60" i="2"/>
  <c r="I57" i="2"/>
  <c r="G57" i="2"/>
  <c r="H57" i="2"/>
  <c r="I61" i="2"/>
  <c r="G61" i="2"/>
  <c r="H61" i="2"/>
  <c r="G54" i="2"/>
  <c r="H54" i="2"/>
  <c r="I54" i="2"/>
  <c r="I58" i="2"/>
  <c r="G58" i="2"/>
  <c r="H58" i="2"/>
  <c r="G118" i="2"/>
  <c r="H118" i="2"/>
  <c r="I118" i="2"/>
  <c r="D130" i="2"/>
  <c r="N130" i="2" s="1"/>
  <c r="D129" i="2"/>
  <c r="N129" i="2" s="1"/>
  <c r="D128" i="2"/>
  <c r="D125" i="2"/>
  <c r="D127" i="2"/>
  <c r="D121" i="2"/>
  <c r="D124" i="2"/>
  <c r="D123" i="2"/>
  <c r="D120" i="2"/>
  <c r="D126" i="2"/>
  <c r="D122" i="2"/>
  <c r="F75" i="2"/>
  <c r="A76" i="2"/>
  <c r="A77" i="2" s="1"/>
  <c r="A78" i="2" s="1"/>
  <c r="A79" i="2" s="1"/>
  <c r="A80" i="2" s="1"/>
  <c r="A81" i="2" s="1"/>
  <c r="A82" i="2" s="1"/>
  <c r="A83" i="2" s="1"/>
  <c r="A84" i="2" s="1"/>
  <c r="A85" i="2" s="1"/>
  <c r="A86" i="2" s="1"/>
  <c r="C71" i="2"/>
  <c r="N71" i="2" s="1"/>
  <c r="C70" i="2"/>
  <c r="N70" i="2" s="1"/>
  <c r="C67" i="2"/>
  <c r="N67" i="2" s="1"/>
  <c r="C72" i="2"/>
  <c r="N72" i="2" s="1"/>
  <c r="C66" i="2"/>
  <c r="N66" i="2" s="1"/>
  <c r="O66" i="2" s="1"/>
  <c r="C65" i="2"/>
  <c r="N65" i="2" s="1"/>
  <c r="C69" i="2"/>
  <c r="N69" i="2" s="1"/>
  <c r="C68" i="2"/>
  <c r="N68" i="2" s="1"/>
  <c r="C73" i="2"/>
  <c r="N73" i="2" s="1"/>
  <c r="F122" i="2"/>
  <c r="F125" i="2"/>
  <c r="F127" i="2"/>
  <c r="F128" i="2"/>
  <c r="F123" i="2"/>
  <c r="F120" i="2"/>
  <c r="F126" i="2"/>
  <c r="F121" i="2"/>
  <c r="F124" i="2"/>
  <c r="O60" i="2" l="1"/>
  <c r="O62" i="2"/>
  <c r="O118" i="2"/>
  <c r="O61" i="2"/>
  <c r="O58" i="2"/>
  <c r="O54" i="2"/>
  <c r="O57" i="2"/>
  <c r="O56" i="2"/>
  <c r="O119" i="2"/>
  <c r="O59" i="2"/>
  <c r="L65" i="2"/>
  <c r="M65" i="2"/>
  <c r="L69" i="2"/>
  <c r="M69" i="2"/>
  <c r="L67" i="2"/>
  <c r="M67" i="2"/>
  <c r="L70" i="2"/>
  <c r="M70" i="2"/>
  <c r="L73" i="2"/>
  <c r="M73" i="2"/>
  <c r="L66" i="2"/>
  <c r="M66" i="2"/>
  <c r="L71" i="2"/>
  <c r="M71" i="2"/>
  <c r="L129" i="2"/>
  <c r="M129" i="2"/>
  <c r="L68" i="2"/>
  <c r="M68" i="2"/>
  <c r="L72" i="2"/>
  <c r="M72" i="2"/>
  <c r="L130" i="2"/>
  <c r="M130" i="2"/>
  <c r="J65" i="2"/>
  <c r="K65" i="2"/>
  <c r="J70" i="2"/>
  <c r="K70" i="2"/>
  <c r="J73" i="2"/>
  <c r="K73" i="2"/>
  <c r="J71" i="2"/>
  <c r="K71" i="2"/>
  <c r="J129" i="2"/>
  <c r="K129" i="2"/>
  <c r="J68" i="2"/>
  <c r="K68" i="2"/>
  <c r="J72" i="2"/>
  <c r="K72" i="2"/>
  <c r="J130" i="2"/>
  <c r="K130" i="2"/>
  <c r="J66" i="2"/>
  <c r="K66" i="2"/>
  <c r="J69" i="2"/>
  <c r="K69" i="2"/>
  <c r="J67" i="2"/>
  <c r="K67" i="2"/>
  <c r="G68" i="2"/>
  <c r="H68" i="2"/>
  <c r="I68" i="2"/>
  <c r="G72" i="2"/>
  <c r="H72" i="2"/>
  <c r="I72" i="2"/>
  <c r="G130" i="2"/>
  <c r="H130" i="2"/>
  <c r="I130" i="2"/>
  <c r="G66" i="2"/>
  <c r="H66" i="2"/>
  <c r="I66" i="2"/>
  <c r="G73" i="2"/>
  <c r="H73" i="2"/>
  <c r="I73" i="2"/>
  <c r="I71" i="2"/>
  <c r="G71" i="2"/>
  <c r="H71" i="2"/>
  <c r="G129" i="2"/>
  <c r="H129" i="2"/>
  <c r="I129" i="2"/>
  <c r="G69" i="2"/>
  <c r="H69" i="2"/>
  <c r="I69" i="2"/>
  <c r="I67" i="2"/>
  <c r="G67" i="2"/>
  <c r="H67" i="2"/>
  <c r="I65" i="2"/>
  <c r="G65" i="2"/>
  <c r="H65" i="2"/>
  <c r="I70" i="2"/>
  <c r="G70" i="2"/>
  <c r="H70" i="2"/>
  <c r="D141" i="2"/>
  <c r="N141" i="2" s="1"/>
  <c r="D140" i="2"/>
  <c r="N140" i="2" s="1"/>
  <c r="D134" i="2"/>
  <c r="D131" i="2"/>
  <c r="D138" i="2"/>
  <c r="D133" i="2"/>
  <c r="D136" i="2"/>
  <c r="D137" i="2"/>
  <c r="D135" i="2"/>
  <c r="D132" i="2"/>
  <c r="D139" i="2"/>
  <c r="F86" i="2"/>
  <c r="A87" i="2"/>
  <c r="A88" i="2" s="1"/>
  <c r="A89" i="2" s="1"/>
  <c r="A90" i="2" s="1"/>
  <c r="A91" i="2" s="1"/>
  <c r="A92" i="2" s="1"/>
  <c r="A93" i="2" s="1"/>
  <c r="A94" i="2" s="1"/>
  <c r="A95" i="2" s="1"/>
  <c r="A96" i="2" s="1"/>
  <c r="A97" i="2" s="1"/>
  <c r="C78" i="2"/>
  <c r="N78" i="2" s="1"/>
  <c r="C77" i="2"/>
  <c r="N77" i="2" s="1"/>
  <c r="O77" i="2" s="1"/>
  <c r="C80" i="2"/>
  <c r="N80" i="2" s="1"/>
  <c r="C76" i="2"/>
  <c r="N76" i="2" s="1"/>
  <c r="C84" i="2"/>
  <c r="N84" i="2" s="1"/>
  <c r="C83" i="2"/>
  <c r="N83" i="2" s="1"/>
  <c r="C82" i="2"/>
  <c r="N82" i="2" s="1"/>
  <c r="C81" i="2"/>
  <c r="N81" i="2" s="1"/>
  <c r="C79" i="2"/>
  <c r="N79" i="2" s="1"/>
  <c r="F138" i="2"/>
  <c r="F133" i="2"/>
  <c r="F132" i="2"/>
  <c r="F131" i="2"/>
  <c r="F139" i="2"/>
  <c r="F136" i="2"/>
  <c r="F135" i="2"/>
  <c r="F137" i="2"/>
  <c r="F134" i="2"/>
  <c r="O67" i="2" l="1"/>
  <c r="O69" i="2"/>
  <c r="O65" i="2"/>
  <c r="O71" i="2"/>
  <c r="O73" i="2"/>
  <c r="O68" i="2"/>
  <c r="O70" i="2"/>
  <c r="O72" i="2"/>
  <c r="O129" i="2"/>
  <c r="O130" i="2"/>
  <c r="L83" i="2"/>
  <c r="M83" i="2"/>
  <c r="L77" i="2"/>
  <c r="M77" i="2"/>
  <c r="L82" i="2"/>
  <c r="M82" i="2"/>
  <c r="L80" i="2"/>
  <c r="M80" i="2"/>
  <c r="L79" i="2"/>
  <c r="M79" i="2"/>
  <c r="L84" i="2"/>
  <c r="M84" i="2"/>
  <c r="L78" i="2"/>
  <c r="M78" i="2"/>
  <c r="L140" i="2"/>
  <c r="M140" i="2"/>
  <c r="L81" i="2"/>
  <c r="M81" i="2"/>
  <c r="L76" i="2"/>
  <c r="M76" i="2"/>
  <c r="L141" i="2"/>
  <c r="M141" i="2"/>
  <c r="J82" i="2"/>
  <c r="K82" i="2"/>
  <c r="J80" i="2"/>
  <c r="K80" i="2"/>
  <c r="J79" i="2"/>
  <c r="K79" i="2"/>
  <c r="J84" i="2"/>
  <c r="K84" i="2"/>
  <c r="J78" i="2"/>
  <c r="K78" i="2"/>
  <c r="J140" i="2"/>
  <c r="K140" i="2"/>
  <c r="J81" i="2"/>
  <c r="K81" i="2"/>
  <c r="J76" i="2"/>
  <c r="K76" i="2"/>
  <c r="J141" i="2"/>
  <c r="K141" i="2"/>
  <c r="J83" i="2"/>
  <c r="K83" i="2"/>
  <c r="J77" i="2"/>
  <c r="K77" i="2"/>
  <c r="G81" i="2"/>
  <c r="H81" i="2"/>
  <c r="I81" i="2"/>
  <c r="G76" i="2"/>
  <c r="H76" i="2"/>
  <c r="I76" i="2"/>
  <c r="G141" i="2"/>
  <c r="H141" i="2"/>
  <c r="I141" i="2"/>
  <c r="G82" i="2"/>
  <c r="H82" i="2"/>
  <c r="I82" i="2"/>
  <c r="I80" i="2"/>
  <c r="G80" i="2"/>
  <c r="H80" i="2"/>
  <c r="I83" i="2"/>
  <c r="G83" i="2"/>
  <c r="H83" i="2"/>
  <c r="I77" i="2"/>
  <c r="G77" i="2"/>
  <c r="H77" i="2"/>
  <c r="I79" i="2"/>
  <c r="G79" i="2"/>
  <c r="H79" i="2"/>
  <c r="G84" i="2"/>
  <c r="H84" i="2"/>
  <c r="I84" i="2"/>
  <c r="G78" i="2"/>
  <c r="H78" i="2"/>
  <c r="I78" i="2"/>
  <c r="G140" i="2"/>
  <c r="H140" i="2"/>
  <c r="I140" i="2"/>
  <c r="D151" i="2"/>
  <c r="N151" i="2" s="1"/>
  <c r="D152" i="2"/>
  <c r="N152" i="2" s="1"/>
  <c r="D149" i="2"/>
  <c r="D142" i="2"/>
  <c r="D143" i="2"/>
  <c r="D146" i="2"/>
  <c r="D147" i="2"/>
  <c r="D144" i="2"/>
  <c r="D145" i="2"/>
  <c r="D150" i="2"/>
  <c r="D148" i="2"/>
  <c r="F97" i="2"/>
  <c r="A98" i="2"/>
  <c r="A99" i="2" s="1"/>
  <c r="A100" i="2" s="1"/>
  <c r="A101" i="2" s="1"/>
  <c r="A102" i="2" s="1"/>
  <c r="A103" i="2" s="1"/>
  <c r="A104" i="2" s="1"/>
  <c r="A105" i="2" s="1"/>
  <c r="A106" i="2" s="1"/>
  <c r="A107" i="2" s="1"/>
  <c r="A108" i="2" s="1"/>
  <c r="C95" i="2"/>
  <c r="N95" i="2" s="1"/>
  <c r="C89" i="2"/>
  <c r="N89" i="2" s="1"/>
  <c r="C88" i="2"/>
  <c r="N88" i="2" s="1"/>
  <c r="O88" i="2" s="1"/>
  <c r="C87" i="2"/>
  <c r="N87" i="2" s="1"/>
  <c r="C94" i="2"/>
  <c r="N94" i="2" s="1"/>
  <c r="C93" i="2"/>
  <c r="N93" i="2" s="1"/>
  <c r="C92" i="2"/>
  <c r="N92" i="2" s="1"/>
  <c r="C91" i="2"/>
  <c r="N91" i="2" s="1"/>
  <c r="C90" i="2"/>
  <c r="N90" i="2" s="1"/>
  <c r="F143" i="2"/>
  <c r="F146" i="2"/>
  <c r="F149" i="2"/>
  <c r="F147" i="2"/>
  <c r="F145" i="2"/>
  <c r="F148" i="2"/>
  <c r="F150" i="2"/>
  <c r="F144" i="2"/>
  <c r="F142" i="2"/>
  <c r="O79" i="2" l="1"/>
  <c r="O78" i="2"/>
  <c r="O76" i="2"/>
  <c r="O140" i="2"/>
  <c r="O141" i="2"/>
  <c r="O80" i="2"/>
  <c r="O82" i="2"/>
  <c r="O84" i="2"/>
  <c r="O83" i="2"/>
  <c r="O81" i="2"/>
  <c r="L92" i="2"/>
  <c r="M92" i="2"/>
  <c r="L88" i="2"/>
  <c r="M88" i="2"/>
  <c r="L93" i="2"/>
  <c r="M93" i="2"/>
  <c r="L89" i="2"/>
  <c r="M89" i="2"/>
  <c r="L95" i="2"/>
  <c r="M95" i="2"/>
  <c r="L90" i="2"/>
  <c r="M90" i="2"/>
  <c r="L94" i="2"/>
  <c r="M94" i="2"/>
  <c r="L152" i="2"/>
  <c r="M152" i="2"/>
  <c r="L91" i="2"/>
  <c r="M91" i="2"/>
  <c r="L87" i="2"/>
  <c r="M87" i="2"/>
  <c r="L151" i="2"/>
  <c r="M151" i="2"/>
  <c r="J88" i="2"/>
  <c r="K88" i="2"/>
  <c r="J93" i="2"/>
  <c r="K93" i="2"/>
  <c r="J89" i="2"/>
  <c r="K89" i="2"/>
  <c r="J90" i="2"/>
  <c r="K90" i="2"/>
  <c r="J94" i="2"/>
  <c r="K94" i="2"/>
  <c r="J95" i="2"/>
  <c r="K95" i="2"/>
  <c r="J152" i="2"/>
  <c r="K152" i="2"/>
  <c r="J91" i="2"/>
  <c r="K91" i="2"/>
  <c r="J87" i="2"/>
  <c r="K87" i="2"/>
  <c r="J151" i="2"/>
  <c r="K151" i="2"/>
  <c r="J92" i="2"/>
  <c r="K92" i="2"/>
  <c r="I93" i="2"/>
  <c r="G93" i="2"/>
  <c r="H93" i="2"/>
  <c r="I89" i="2"/>
  <c r="H89" i="2"/>
  <c r="G89" i="2"/>
  <c r="I90" i="2"/>
  <c r="G90" i="2"/>
  <c r="H90" i="2"/>
  <c r="I95" i="2"/>
  <c r="H95" i="2"/>
  <c r="G95" i="2"/>
  <c r="G152" i="2"/>
  <c r="H152" i="2"/>
  <c r="I152" i="2"/>
  <c r="H91" i="2"/>
  <c r="G91" i="2"/>
  <c r="I91" i="2"/>
  <c r="G87" i="2"/>
  <c r="H87" i="2"/>
  <c r="I87" i="2"/>
  <c r="G151" i="2"/>
  <c r="H151" i="2"/>
  <c r="I151" i="2"/>
  <c r="I88" i="2"/>
  <c r="G88" i="2"/>
  <c r="H88" i="2"/>
  <c r="I92" i="2"/>
  <c r="G92" i="2"/>
  <c r="H92" i="2"/>
  <c r="G94" i="2"/>
  <c r="H94" i="2"/>
  <c r="I94" i="2"/>
  <c r="D163" i="2"/>
  <c r="N163" i="2" s="1"/>
  <c r="D162" i="2"/>
  <c r="N162" i="2" s="1"/>
  <c r="D159" i="2"/>
  <c r="D154" i="2"/>
  <c r="D155" i="2"/>
  <c r="D161" i="2"/>
  <c r="D158" i="2"/>
  <c r="D156" i="2"/>
  <c r="D160" i="2"/>
  <c r="D153" i="2"/>
  <c r="D157" i="2"/>
  <c r="F108" i="2"/>
  <c r="A109" i="2"/>
  <c r="A110" i="2" s="1"/>
  <c r="A111" i="2" s="1"/>
  <c r="A112" i="2" s="1"/>
  <c r="A113" i="2" s="1"/>
  <c r="A114" i="2" s="1"/>
  <c r="A115" i="2" s="1"/>
  <c r="A116" i="2" s="1"/>
  <c r="A117" i="2" s="1"/>
  <c r="A118" i="2" s="1"/>
  <c r="A119" i="2" s="1"/>
  <c r="C98" i="2"/>
  <c r="N98" i="2" s="1"/>
  <c r="C103" i="2"/>
  <c r="N103" i="2" s="1"/>
  <c r="C99" i="2"/>
  <c r="N99" i="2" s="1"/>
  <c r="O99" i="2" s="1"/>
  <c r="C105" i="2"/>
  <c r="N105" i="2" s="1"/>
  <c r="C104" i="2"/>
  <c r="N104" i="2" s="1"/>
  <c r="C106" i="2"/>
  <c r="N106" i="2" s="1"/>
  <c r="C102" i="2"/>
  <c r="N102" i="2" s="1"/>
  <c r="C101" i="2"/>
  <c r="N101" i="2" s="1"/>
  <c r="C100" i="2"/>
  <c r="N100" i="2" s="1"/>
  <c r="F160" i="2"/>
  <c r="F153" i="2"/>
  <c r="F155" i="2"/>
  <c r="F154" i="2"/>
  <c r="F161" i="2"/>
  <c r="F157" i="2"/>
  <c r="F156" i="2"/>
  <c r="F159" i="2"/>
  <c r="F158" i="2"/>
  <c r="O89" i="2" l="1"/>
  <c r="O94" i="2"/>
  <c r="O87" i="2"/>
  <c r="O151" i="2"/>
  <c r="O93" i="2"/>
  <c r="O92" i="2"/>
  <c r="O91" i="2"/>
  <c r="O152" i="2"/>
  <c r="O95" i="2"/>
  <c r="O90" i="2"/>
  <c r="L102" i="2"/>
  <c r="M102" i="2"/>
  <c r="L99" i="2"/>
  <c r="M99" i="2"/>
  <c r="L106" i="2"/>
  <c r="M106" i="2"/>
  <c r="L103" i="2"/>
  <c r="M103" i="2"/>
  <c r="L100" i="2"/>
  <c r="M100" i="2"/>
  <c r="L104" i="2"/>
  <c r="M104" i="2"/>
  <c r="L98" i="2"/>
  <c r="M98" i="2"/>
  <c r="L162" i="2"/>
  <c r="M162" i="2"/>
  <c r="L101" i="2"/>
  <c r="M101" i="2"/>
  <c r="L105" i="2"/>
  <c r="M105" i="2"/>
  <c r="L163" i="2"/>
  <c r="M163" i="2"/>
  <c r="J106" i="2"/>
  <c r="K106" i="2"/>
  <c r="J103" i="2"/>
  <c r="K103" i="2"/>
  <c r="J102" i="2"/>
  <c r="K102" i="2"/>
  <c r="J99" i="2"/>
  <c r="K99" i="2"/>
  <c r="J100" i="2"/>
  <c r="K100" i="2"/>
  <c r="J104" i="2"/>
  <c r="K104" i="2"/>
  <c r="J98" i="2"/>
  <c r="K98" i="2"/>
  <c r="J162" i="2"/>
  <c r="K162" i="2"/>
  <c r="J101" i="2"/>
  <c r="K101" i="2"/>
  <c r="J105" i="2"/>
  <c r="K105" i="2"/>
  <c r="J163" i="2"/>
  <c r="K163" i="2"/>
  <c r="G102" i="2"/>
  <c r="H102" i="2"/>
  <c r="I102" i="2"/>
  <c r="G99" i="2"/>
  <c r="H99" i="2"/>
  <c r="I99" i="2"/>
  <c r="I100" i="2"/>
  <c r="G100" i="2"/>
  <c r="H100" i="2"/>
  <c r="G104" i="2"/>
  <c r="I104" i="2"/>
  <c r="H104" i="2"/>
  <c r="G98" i="2"/>
  <c r="H98" i="2"/>
  <c r="I98" i="2"/>
  <c r="G162" i="2"/>
  <c r="H162" i="2"/>
  <c r="I162" i="2"/>
  <c r="G101" i="2"/>
  <c r="H101" i="2"/>
  <c r="I101" i="2"/>
  <c r="I105" i="2"/>
  <c r="G105" i="2"/>
  <c r="H105" i="2"/>
  <c r="G163" i="2"/>
  <c r="H163" i="2"/>
  <c r="I163" i="2"/>
  <c r="I106" i="2"/>
  <c r="G106" i="2"/>
  <c r="H106" i="2"/>
  <c r="I103" i="2"/>
  <c r="G103" i="2"/>
  <c r="H103" i="2"/>
  <c r="D174" i="2"/>
  <c r="N174" i="2" s="1"/>
  <c r="D173" i="2"/>
  <c r="N173" i="2" s="1"/>
  <c r="D172" i="2"/>
  <c r="D171" i="2"/>
  <c r="D165" i="2"/>
  <c r="D168" i="2"/>
  <c r="D169" i="2"/>
  <c r="D170" i="2"/>
  <c r="D166" i="2"/>
  <c r="D164" i="2"/>
  <c r="D167" i="2"/>
  <c r="F119" i="2"/>
  <c r="A120" i="2"/>
  <c r="A121" i="2" s="1"/>
  <c r="A122" i="2" s="1"/>
  <c r="A123" i="2" s="1"/>
  <c r="A124" i="2" s="1"/>
  <c r="A125" i="2" s="1"/>
  <c r="A126" i="2" s="1"/>
  <c r="A127" i="2" s="1"/>
  <c r="A128" i="2" s="1"/>
  <c r="A129" i="2" s="1"/>
  <c r="A130" i="2" s="1"/>
  <c r="C116" i="2"/>
  <c r="N116" i="2" s="1"/>
  <c r="C111" i="2"/>
  <c r="N111" i="2" s="1"/>
  <c r="C115" i="2"/>
  <c r="N115" i="2" s="1"/>
  <c r="C112" i="2"/>
  <c r="N112" i="2" s="1"/>
  <c r="C109" i="2"/>
  <c r="N109" i="2" s="1"/>
  <c r="C114" i="2"/>
  <c r="N114" i="2" s="1"/>
  <c r="C113" i="2"/>
  <c r="N113" i="2" s="1"/>
  <c r="C110" i="2"/>
  <c r="N110" i="2" s="1"/>
  <c r="O110" i="2" s="1"/>
  <c r="C117" i="2"/>
  <c r="N117" i="2" s="1"/>
  <c r="F166" i="2"/>
  <c r="F172" i="2"/>
  <c r="F169" i="2"/>
  <c r="F168" i="2"/>
  <c r="F165" i="2"/>
  <c r="F167" i="2"/>
  <c r="F171" i="2"/>
  <c r="F164" i="2"/>
  <c r="F170" i="2"/>
  <c r="O98" i="2" l="1"/>
  <c r="O102" i="2"/>
  <c r="O106" i="2"/>
  <c r="O163" i="2"/>
  <c r="O103" i="2"/>
  <c r="O162" i="2"/>
  <c r="O100" i="2"/>
  <c r="O105" i="2"/>
  <c r="O101" i="2"/>
  <c r="O104" i="2"/>
  <c r="L113" i="2"/>
  <c r="M113" i="2"/>
  <c r="L115" i="2"/>
  <c r="M115" i="2"/>
  <c r="L117" i="2"/>
  <c r="M117" i="2"/>
  <c r="L109" i="2"/>
  <c r="M109" i="2"/>
  <c r="L116" i="2"/>
  <c r="M116" i="2"/>
  <c r="L173" i="2"/>
  <c r="M173" i="2"/>
  <c r="L114" i="2"/>
  <c r="M114" i="2"/>
  <c r="L111" i="2"/>
  <c r="M111" i="2"/>
  <c r="L110" i="2"/>
  <c r="M110" i="2"/>
  <c r="L112" i="2"/>
  <c r="M112" i="2"/>
  <c r="L174" i="2"/>
  <c r="M174" i="2"/>
  <c r="J117" i="2"/>
  <c r="K117" i="2"/>
  <c r="J109" i="2"/>
  <c r="K109" i="2"/>
  <c r="J116" i="2"/>
  <c r="K116" i="2"/>
  <c r="J173" i="2"/>
  <c r="K173" i="2"/>
  <c r="J110" i="2"/>
  <c r="K110" i="2"/>
  <c r="J112" i="2"/>
  <c r="K112" i="2"/>
  <c r="J174" i="2"/>
  <c r="K174" i="2"/>
  <c r="J113" i="2"/>
  <c r="K113" i="2"/>
  <c r="J115" i="2"/>
  <c r="K115" i="2"/>
  <c r="J114" i="2"/>
  <c r="K114" i="2"/>
  <c r="J111" i="2"/>
  <c r="K111" i="2"/>
  <c r="G113" i="2"/>
  <c r="H113" i="2"/>
  <c r="I113" i="2"/>
  <c r="H115" i="2"/>
  <c r="I115" i="2"/>
  <c r="G115" i="2"/>
  <c r="G117" i="2"/>
  <c r="H117" i="2"/>
  <c r="I117" i="2"/>
  <c r="G109" i="2"/>
  <c r="I109" i="2"/>
  <c r="H109" i="2"/>
  <c r="I116" i="2"/>
  <c r="G116" i="2"/>
  <c r="H116" i="2"/>
  <c r="G173" i="2"/>
  <c r="H173" i="2"/>
  <c r="I173" i="2"/>
  <c r="G110" i="2"/>
  <c r="H110" i="2"/>
  <c r="I110" i="2"/>
  <c r="H112" i="2"/>
  <c r="I112" i="2"/>
  <c r="G112" i="2"/>
  <c r="G174" i="2"/>
  <c r="H174" i="2"/>
  <c r="I174" i="2"/>
  <c r="G114" i="2"/>
  <c r="H114" i="2"/>
  <c r="I114" i="2"/>
  <c r="H111" i="2"/>
  <c r="I111" i="2"/>
  <c r="G111" i="2"/>
  <c r="D185" i="2"/>
  <c r="N185" i="2" s="1"/>
  <c r="D184" i="2"/>
  <c r="N184" i="2" s="1"/>
  <c r="D178" i="2"/>
  <c r="D179" i="2"/>
  <c r="D182" i="2"/>
  <c r="D177" i="2"/>
  <c r="D181" i="2"/>
  <c r="D176" i="2"/>
  <c r="D175" i="2"/>
  <c r="D180" i="2"/>
  <c r="D183" i="2"/>
  <c r="F130" i="2"/>
  <c r="A131" i="2"/>
  <c r="A132" i="2" s="1"/>
  <c r="A133" i="2" s="1"/>
  <c r="A134" i="2" s="1"/>
  <c r="A135" i="2" s="1"/>
  <c r="A136" i="2" s="1"/>
  <c r="A137" i="2" s="1"/>
  <c r="A138" i="2" s="1"/>
  <c r="A139" i="2" s="1"/>
  <c r="A140" i="2" s="1"/>
  <c r="A141" i="2" s="1"/>
  <c r="C125" i="2"/>
  <c r="N125" i="2" s="1"/>
  <c r="C124" i="2"/>
  <c r="N124" i="2" s="1"/>
  <c r="C126" i="2"/>
  <c r="N126" i="2" s="1"/>
  <c r="C128" i="2"/>
  <c r="N128" i="2" s="1"/>
  <c r="C127" i="2"/>
  <c r="N127" i="2" s="1"/>
  <c r="C120" i="2"/>
  <c r="N120" i="2" s="1"/>
  <c r="C123" i="2"/>
  <c r="N123" i="2" s="1"/>
  <c r="C122" i="2"/>
  <c r="N122" i="2" s="1"/>
  <c r="C121" i="2"/>
  <c r="N121" i="2" s="1"/>
  <c r="O121" i="2" s="1"/>
  <c r="F20" i="2"/>
  <c r="F179" i="2"/>
  <c r="F175" i="2"/>
  <c r="F180" i="2"/>
  <c r="F182" i="2"/>
  <c r="F181" i="2"/>
  <c r="F183" i="2"/>
  <c r="F176" i="2"/>
  <c r="F177" i="2"/>
  <c r="F178" i="2"/>
  <c r="O117" i="2" l="1"/>
  <c r="O114" i="2"/>
  <c r="O112" i="2"/>
  <c r="O173" i="2"/>
  <c r="O116" i="2"/>
  <c r="O109" i="2"/>
  <c r="O115" i="2"/>
  <c r="O111" i="2"/>
  <c r="O174" i="2"/>
  <c r="O113" i="2"/>
  <c r="L123" i="2"/>
  <c r="M123" i="2"/>
  <c r="L126" i="2"/>
  <c r="M126" i="2"/>
  <c r="L121" i="2"/>
  <c r="M121" i="2"/>
  <c r="L127" i="2"/>
  <c r="M127" i="2"/>
  <c r="L125" i="2"/>
  <c r="M125" i="2"/>
  <c r="L184" i="2"/>
  <c r="M184" i="2"/>
  <c r="L120" i="2"/>
  <c r="M120" i="2"/>
  <c r="L124" i="2"/>
  <c r="M124" i="2"/>
  <c r="L122" i="2"/>
  <c r="M122" i="2"/>
  <c r="L128" i="2"/>
  <c r="M128" i="2"/>
  <c r="L185" i="2"/>
  <c r="M185" i="2"/>
  <c r="J121" i="2"/>
  <c r="K121" i="2"/>
  <c r="J127" i="2"/>
  <c r="K127" i="2"/>
  <c r="J125" i="2"/>
  <c r="K125" i="2"/>
  <c r="J184" i="2"/>
  <c r="K184" i="2"/>
  <c r="J120" i="2"/>
  <c r="K120" i="2"/>
  <c r="J124" i="2"/>
  <c r="K124" i="2"/>
  <c r="J122" i="2"/>
  <c r="K122" i="2"/>
  <c r="J128" i="2"/>
  <c r="K128" i="2"/>
  <c r="J185" i="2"/>
  <c r="K185" i="2"/>
  <c r="J123" i="2"/>
  <c r="K123" i="2"/>
  <c r="J126" i="2"/>
  <c r="K126" i="2"/>
  <c r="I122" i="2"/>
  <c r="G122" i="2"/>
  <c r="H122" i="2"/>
  <c r="I128" i="2"/>
  <c r="G128" i="2"/>
  <c r="H128" i="2"/>
  <c r="G185" i="2"/>
  <c r="H185" i="2"/>
  <c r="I185" i="2"/>
  <c r="G120" i="2"/>
  <c r="H120" i="2"/>
  <c r="I120" i="2"/>
  <c r="I121" i="2"/>
  <c r="G121" i="2"/>
  <c r="H121" i="2"/>
  <c r="I127" i="2"/>
  <c r="G127" i="2"/>
  <c r="H127" i="2"/>
  <c r="I125" i="2"/>
  <c r="G125" i="2"/>
  <c r="H125" i="2"/>
  <c r="G184" i="2"/>
  <c r="H184" i="2"/>
  <c r="I184" i="2"/>
  <c r="G123" i="2"/>
  <c r="H123" i="2"/>
  <c r="I123" i="2"/>
  <c r="G126" i="2"/>
  <c r="H126" i="2"/>
  <c r="I126" i="2"/>
  <c r="G124" i="2"/>
  <c r="H124" i="2"/>
  <c r="I124" i="2"/>
  <c r="D196" i="2"/>
  <c r="N196" i="2" s="1"/>
  <c r="D195" i="2"/>
  <c r="N195" i="2" s="1"/>
  <c r="D193" i="2"/>
  <c r="D188" i="2"/>
  <c r="D187" i="2"/>
  <c r="D190" i="2"/>
  <c r="D191" i="2"/>
  <c r="D189" i="2"/>
  <c r="D186" i="2"/>
  <c r="D192" i="2"/>
  <c r="D194" i="2"/>
  <c r="C25" i="2"/>
  <c r="N25" i="2" s="1"/>
  <c r="C28" i="2"/>
  <c r="N28" i="2" s="1"/>
  <c r="C27" i="2"/>
  <c r="N27" i="2" s="1"/>
  <c r="C22" i="2"/>
  <c r="N22" i="2" s="1"/>
  <c r="O22" i="2" s="1"/>
  <c r="C21" i="2"/>
  <c r="N21" i="2" s="1"/>
  <c r="C29" i="2"/>
  <c r="N29" i="2" s="1"/>
  <c r="C26" i="2"/>
  <c r="N26" i="2" s="1"/>
  <c r="C24" i="2"/>
  <c r="N24" i="2" s="1"/>
  <c r="C23" i="2"/>
  <c r="N23" i="2" s="1"/>
  <c r="F141" i="2"/>
  <c r="A142" i="2"/>
  <c r="A143" i="2" s="1"/>
  <c r="A144" i="2" s="1"/>
  <c r="A145" i="2" s="1"/>
  <c r="A146" i="2" s="1"/>
  <c r="A147" i="2" s="1"/>
  <c r="A148" i="2" s="1"/>
  <c r="A149" i="2" s="1"/>
  <c r="A150" i="2" s="1"/>
  <c r="A151" i="2" s="1"/>
  <c r="A152" i="2" s="1"/>
  <c r="C136" i="2"/>
  <c r="N136" i="2" s="1"/>
  <c r="C135" i="2"/>
  <c r="N135" i="2" s="1"/>
  <c r="C138" i="2"/>
  <c r="N138" i="2" s="1"/>
  <c r="C137" i="2"/>
  <c r="N137" i="2" s="1"/>
  <c r="C134" i="2"/>
  <c r="N134" i="2" s="1"/>
  <c r="C133" i="2"/>
  <c r="N133" i="2" s="1"/>
  <c r="C132" i="2"/>
  <c r="N132" i="2" s="1"/>
  <c r="O132" i="2" s="1"/>
  <c r="C131" i="2"/>
  <c r="N131" i="2" s="1"/>
  <c r="C139" i="2"/>
  <c r="N139" i="2" s="1"/>
  <c r="F193" i="2"/>
  <c r="F189" i="2"/>
  <c r="F192" i="2"/>
  <c r="F186" i="2"/>
  <c r="F194" i="2"/>
  <c r="F191" i="2"/>
  <c r="F190" i="2"/>
  <c r="F187" i="2"/>
  <c r="F188" i="2"/>
  <c r="O184" i="2" l="1"/>
  <c r="O120" i="2"/>
  <c r="O122" i="2"/>
  <c r="O124" i="2"/>
  <c r="O185" i="2"/>
  <c r="O123" i="2"/>
  <c r="O127" i="2"/>
  <c r="O128" i="2"/>
  <c r="O126" i="2"/>
  <c r="O125" i="2"/>
  <c r="L133" i="2"/>
  <c r="M133" i="2"/>
  <c r="L135" i="2"/>
  <c r="M135" i="2"/>
  <c r="L23" i="2"/>
  <c r="M23" i="2"/>
  <c r="L21" i="2"/>
  <c r="M21" i="2"/>
  <c r="L25" i="2"/>
  <c r="M25" i="2"/>
  <c r="L139" i="2"/>
  <c r="M139" i="2"/>
  <c r="L134" i="2"/>
  <c r="M134" i="2"/>
  <c r="L136" i="2"/>
  <c r="M136" i="2"/>
  <c r="L24" i="2"/>
  <c r="M24" i="2"/>
  <c r="L22" i="2"/>
  <c r="M22" i="2"/>
  <c r="L131" i="2"/>
  <c r="M131" i="2"/>
  <c r="L137" i="2"/>
  <c r="M137" i="2"/>
  <c r="L26" i="2"/>
  <c r="M26" i="2"/>
  <c r="L27" i="2"/>
  <c r="M27" i="2"/>
  <c r="L195" i="2"/>
  <c r="M195" i="2"/>
  <c r="L132" i="2"/>
  <c r="M132" i="2"/>
  <c r="L138" i="2"/>
  <c r="M138" i="2"/>
  <c r="L29" i="2"/>
  <c r="M29" i="2"/>
  <c r="L28" i="2"/>
  <c r="M28" i="2"/>
  <c r="L196" i="2"/>
  <c r="M196" i="2"/>
  <c r="J139" i="2"/>
  <c r="K139" i="2"/>
  <c r="J134" i="2"/>
  <c r="K134" i="2"/>
  <c r="J136" i="2"/>
  <c r="K136" i="2"/>
  <c r="J24" i="2"/>
  <c r="K24" i="2"/>
  <c r="J22" i="2"/>
  <c r="K22" i="2"/>
  <c r="J131" i="2"/>
  <c r="K131" i="2"/>
  <c r="J137" i="2"/>
  <c r="K137" i="2"/>
  <c r="J26" i="2"/>
  <c r="K26" i="2"/>
  <c r="J27" i="2"/>
  <c r="K27" i="2"/>
  <c r="J195" i="2"/>
  <c r="K195" i="2"/>
  <c r="J132" i="2"/>
  <c r="K132" i="2"/>
  <c r="J138" i="2"/>
  <c r="K138" i="2"/>
  <c r="J29" i="2"/>
  <c r="K29" i="2"/>
  <c r="J28" i="2"/>
  <c r="K28" i="2"/>
  <c r="J196" i="2"/>
  <c r="K196" i="2"/>
  <c r="J135" i="2"/>
  <c r="K135" i="2"/>
  <c r="J23" i="2"/>
  <c r="K23" i="2"/>
  <c r="J21" i="2"/>
  <c r="K21" i="2"/>
  <c r="J25" i="2"/>
  <c r="K25" i="2"/>
  <c r="J133" i="2"/>
  <c r="K133" i="2"/>
  <c r="H135" i="2"/>
  <c r="I135" i="2"/>
  <c r="G135" i="2"/>
  <c r="G21" i="2"/>
  <c r="H21" i="2"/>
  <c r="I21" i="2"/>
  <c r="H131" i="2"/>
  <c r="I131" i="2"/>
  <c r="G131" i="2"/>
  <c r="I137" i="2"/>
  <c r="G137" i="2"/>
  <c r="H137" i="2"/>
  <c r="H26" i="2"/>
  <c r="I26" i="2"/>
  <c r="G26" i="2"/>
  <c r="H27" i="2"/>
  <c r="I27" i="2"/>
  <c r="G27" i="2"/>
  <c r="G195" i="2"/>
  <c r="H195" i="2"/>
  <c r="I195" i="2"/>
  <c r="I132" i="2"/>
  <c r="G132" i="2"/>
  <c r="H132" i="2"/>
  <c r="G138" i="2"/>
  <c r="H138" i="2"/>
  <c r="I138" i="2"/>
  <c r="H29" i="2"/>
  <c r="I29" i="2"/>
  <c r="G29" i="2"/>
  <c r="I28" i="2"/>
  <c r="G28" i="2"/>
  <c r="H28" i="2"/>
  <c r="G196" i="2"/>
  <c r="H196" i="2"/>
  <c r="I196" i="2"/>
  <c r="G133" i="2"/>
  <c r="H133" i="2"/>
  <c r="I133" i="2"/>
  <c r="H25" i="2"/>
  <c r="I25" i="2"/>
  <c r="G25" i="2"/>
  <c r="G139" i="2"/>
  <c r="H139" i="2"/>
  <c r="I139" i="2"/>
  <c r="G134" i="2"/>
  <c r="H134" i="2"/>
  <c r="I134" i="2"/>
  <c r="I136" i="2"/>
  <c r="G136" i="2"/>
  <c r="H136" i="2"/>
  <c r="I24" i="2"/>
  <c r="G24" i="2"/>
  <c r="H24" i="2"/>
  <c r="I22" i="2"/>
  <c r="G22" i="2"/>
  <c r="H22" i="2"/>
  <c r="G23" i="2"/>
  <c r="H23" i="2"/>
  <c r="I23" i="2"/>
  <c r="D207" i="2"/>
  <c r="N207" i="2" s="1"/>
  <c r="D206" i="2"/>
  <c r="N206" i="2" s="1"/>
  <c r="D200" i="2"/>
  <c r="D201" i="2"/>
  <c r="D197" i="2"/>
  <c r="D205" i="2"/>
  <c r="D203" i="2"/>
  <c r="D198" i="2"/>
  <c r="D199" i="2"/>
  <c r="D202" i="2"/>
  <c r="D204" i="2"/>
  <c r="F152" i="2"/>
  <c r="A153" i="2"/>
  <c r="A154" i="2" s="1"/>
  <c r="A155" i="2" s="1"/>
  <c r="A156" i="2" s="1"/>
  <c r="A157" i="2" s="1"/>
  <c r="A158" i="2" s="1"/>
  <c r="A159" i="2" s="1"/>
  <c r="A160" i="2" s="1"/>
  <c r="A161" i="2" s="1"/>
  <c r="A162" i="2" s="1"/>
  <c r="A163" i="2" s="1"/>
  <c r="C149" i="2"/>
  <c r="N149" i="2" s="1"/>
  <c r="C150" i="2"/>
  <c r="N150" i="2" s="1"/>
  <c r="C148" i="2"/>
  <c r="N148" i="2" s="1"/>
  <c r="C144" i="2"/>
  <c r="N144" i="2" s="1"/>
  <c r="C146" i="2"/>
  <c r="N146" i="2" s="1"/>
  <c r="C145" i="2"/>
  <c r="N145" i="2" s="1"/>
  <c r="C143" i="2"/>
  <c r="N143" i="2" s="1"/>
  <c r="O143" i="2" s="1"/>
  <c r="C147" i="2"/>
  <c r="N147" i="2" s="1"/>
  <c r="C142" i="2"/>
  <c r="N142" i="2" s="1"/>
  <c r="F200" i="2"/>
  <c r="F199" i="2"/>
  <c r="F202" i="2"/>
  <c r="F203" i="2"/>
  <c r="F201" i="2"/>
  <c r="F204" i="2"/>
  <c r="F197" i="2"/>
  <c r="F205" i="2"/>
  <c r="F198" i="2"/>
  <c r="O26" i="2" l="1"/>
  <c r="O23" i="2"/>
  <c r="O134" i="2"/>
  <c r="O29" i="2"/>
  <c r="O24" i="2"/>
  <c r="O133" i="2"/>
  <c r="O131" i="2"/>
  <c r="O138" i="2"/>
  <c r="O28" i="2"/>
  <c r="O21" i="2"/>
  <c r="O139" i="2"/>
  <c r="O195" i="2"/>
  <c r="O137" i="2"/>
  <c r="O135" i="2"/>
  <c r="O136" i="2"/>
  <c r="O25" i="2"/>
  <c r="O196" i="2"/>
  <c r="O27" i="2"/>
  <c r="L142" i="2"/>
  <c r="M142" i="2"/>
  <c r="L146" i="2"/>
  <c r="M146" i="2"/>
  <c r="L149" i="2"/>
  <c r="M149" i="2"/>
  <c r="L206" i="2"/>
  <c r="M206" i="2"/>
  <c r="L147" i="2"/>
  <c r="M147" i="2"/>
  <c r="L144" i="2"/>
  <c r="M144" i="2"/>
  <c r="L207" i="2"/>
  <c r="M207" i="2"/>
  <c r="L143" i="2"/>
  <c r="M143" i="2"/>
  <c r="L148" i="2"/>
  <c r="M148" i="2"/>
  <c r="L145" i="2"/>
  <c r="M145" i="2"/>
  <c r="L150" i="2"/>
  <c r="M150" i="2"/>
  <c r="J142" i="2"/>
  <c r="K142" i="2"/>
  <c r="J146" i="2"/>
  <c r="K146" i="2"/>
  <c r="J206" i="2"/>
  <c r="K206" i="2"/>
  <c r="J147" i="2"/>
  <c r="K147" i="2"/>
  <c r="J144" i="2"/>
  <c r="K144" i="2"/>
  <c r="J207" i="2"/>
  <c r="K207" i="2"/>
  <c r="J143" i="2"/>
  <c r="K143" i="2"/>
  <c r="J148" i="2"/>
  <c r="K148" i="2"/>
  <c r="J145" i="2"/>
  <c r="K145" i="2"/>
  <c r="J150" i="2"/>
  <c r="K150" i="2"/>
  <c r="J149" i="2"/>
  <c r="K149" i="2"/>
  <c r="I145" i="2"/>
  <c r="G145" i="2"/>
  <c r="H145" i="2"/>
  <c r="G142" i="2"/>
  <c r="H142" i="2"/>
  <c r="I142" i="2"/>
  <c r="G146" i="2"/>
  <c r="H146" i="2"/>
  <c r="I146" i="2"/>
  <c r="I149" i="2"/>
  <c r="G149" i="2"/>
  <c r="H149" i="2"/>
  <c r="G206" i="2"/>
  <c r="H206" i="2"/>
  <c r="I206" i="2"/>
  <c r="I144" i="2"/>
  <c r="G144" i="2"/>
  <c r="H144" i="2"/>
  <c r="G147" i="2"/>
  <c r="H147" i="2"/>
  <c r="I147" i="2"/>
  <c r="G207" i="2"/>
  <c r="H207" i="2"/>
  <c r="I207" i="2"/>
  <c r="G143" i="2"/>
  <c r="H143" i="2"/>
  <c r="I143" i="2"/>
  <c r="G148" i="2"/>
  <c r="I148" i="2"/>
  <c r="H148" i="2"/>
  <c r="I150" i="2"/>
  <c r="G150" i="2"/>
  <c r="H150" i="2"/>
  <c r="D217" i="2"/>
  <c r="N217" i="2" s="1"/>
  <c r="D218" i="2"/>
  <c r="N218" i="2" s="1"/>
  <c r="D216" i="2"/>
  <c r="D212" i="2"/>
  <c r="D209" i="2"/>
  <c r="D215" i="2"/>
  <c r="D210" i="2"/>
  <c r="D214" i="2"/>
  <c r="D208" i="2"/>
  <c r="D213" i="2"/>
  <c r="D211" i="2"/>
  <c r="F163" i="2"/>
  <c r="A164" i="2"/>
  <c r="A165" i="2" s="1"/>
  <c r="A166" i="2" s="1"/>
  <c r="A167" i="2" s="1"/>
  <c r="A168" i="2" s="1"/>
  <c r="A169" i="2" s="1"/>
  <c r="A170" i="2" s="1"/>
  <c r="A171" i="2" s="1"/>
  <c r="A172" i="2" s="1"/>
  <c r="A173" i="2" s="1"/>
  <c r="A174" i="2" s="1"/>
  <c r="C156" i="2"/>
  <c r="N156" i="2" s="1"/>
  <c r="C155" i="2"/>
  <c r="N155" i="2" s="1"/>
  <c r="C154" i="2"/>
  <c r="N154" i="2" s="1"/>
  <c r="O154" i="2" s="1"/>
  <c r="C153" i="2"/>
  <c r="N153" i="2" s="1"/>
  <c r="C157" i="2"/>
  <c r="N157" i="2" s="1"/>
  <c r="C161" i="2"/>
  <c r="N161" i="2" s="1"/>
  <c r="C160" i="2"/>
  <c r="N160" i="2" s="1"/>
  <c r="C159" i="2"/>
  <c r="N159" i="2" s="1"/>
  <c r="C158" i="2"/>
  <c r="N158" i="2" s="1"/>
  <c r="F209" i="2"/>
  <c r="F215" i="2"/>
  <c r="F208" i="2"/>
  <c r="F214" i="2"/>
  <c r="F216" i="2"/>
  <c r="F210" i="2"/>
  <c r="F213" i="2"/>
  <c r="F211" i="2"/>
  <c r="F212" i="2"/>
  <c r="O144" i="2" l="1"/>
  <c r="O206" i="2"/>
  <c r="O150" i="2"/>
  <c r="O148" i="2"/>
  <c r="O142" i="2"/>
  <c r="O147" i="2"/>
  <c r="O149" i="2"/>
  <c r="O146" i="2"/>
  <c r="O207" i="2"/>
  <c r="O145" i="2"/>
  <c r="L217" i="2"/>
  <c r="M217" i="2"/>
  <c r="L160" i="2"/>
  <c r="M160" i="2"/>
  <c r="L154" i="2"/>
  <c r="M154" i="2"/>
  <c r="L158" i="2"/>
  <c r="M158" i="2"/>
  <c r="L157" i="2"/>
  <c r="M157" i="2"/>
  <c r="L156" i="2"/>
  <c r="M156" i="2"/>
  <c r="L218" i="2"/>
  <c r="M218" i="2"/>
  <c r="L159" i="2"/>
  <c r="M159" i="2"/>
  <c r="L153" i="2"/>
  <c r="M153" i="2"/>
  <c r="L161" i="2"/>
  <c r="M161" i="2"/>
  <c r="L155" i="2"/>
  <c r="M155" i="2"/>
  <c r="J153" i="2"/>
  <c r="K153" i="2"/>
  <c r="J158" i="2"/>
  <c r="K158" i="2"/>
  <c r="J157" i="2"/>
  <c r="K157" i="2"/>
  <c r="J156" i="2"/>
  <c r="K156" i="2"/>
  <c r="J218" i="2"/>
  <c r="K218" i="2"/>
  <c r="J217" i="2"/>
  <c r="K217" i="2"/>
  <c r="J160" i="2"/>
  <c r="K160" i="2"/>
  <c r="J154" i="2"/>
  <c r="K154" i="2"/>
  <c r="J159" i="2"/>
  <c r="K159" i="2"/>
  <c r="J161" i="2"/>
  <c r="K161" i="2"/>
  <c r="J155" i="2"/>
  <c r="K155" i="2"/>
  <c r="G159" i="2"/>
  <c r="H159" i="2"/>
  <c r="I159" i="2"/>
  <c r="G153" i="2"/>
  <c r="H153" i="2"/>
  <c r="I153" i="2"/>
  <c r="G217" i="2"/>
  <c r="H217" i="2"/>
  <c r="I217" i="2"/>
  <c r="G160" i="2"/>
  <c r="H160" i="2"/>
  <c r="I160" i="2"/>
  <c r="H154" i="2"/>
  <c r="G154" i="2"/>
  <c r="I154" i="2"/>
  <c r="H161" i="2"/>
  <c r="I161" i="2"/>
  <c r="G161" i="2"/>
  <c r="I155" i="2"/>
  <c r="H155" i="2"/>
  <c r="G155" i="2"/>
  <c r="H158" i="2"/>
  <c r="G158" i="2"/>
  <c r="I158" i="2"/>
  <c r="G157" i="2"/>
  <c r="H157" i="2"/>
  <c r="I157" i="2"/>
  <c r="H156" i="2"/>
  <c r="I156" i="2"/>
  <c r="G156" i="2"/>
  <c r="G218" i="2"/>
  <c r="H218" i="2"/>
  <c r="I218" i="2"/>
  <c r="D229" i="2"/>
  <c r="N229" i="2" s="1"/>
  <c r="D228" i="2"/>
  <c r="N228" i="2" s="1"/>
  <c r="D220" i="2"/>
  <c r="D225" i="2"/>
  <c r="D226" i="2"/>
  <c r="D222" i="2"/>
  <c r="D223" i="2"/>
  <c r="D219" i="2"/>
  <c r="D221" i="2"/>
  <c r="D224" i="2"/>
  <c r="D227" i="2"/>
  <c r="F174" i="2"/>
  <c r="A175" i="2"/>
  <c r="A176" i="2" s="1"/>
  <c r="A177" i="2" s="1"/>
  <c r="A178" i="2" s="1"/>
  <c r="A179" i="2" s="1"/>
  <c r="A180" i="2" s="1"/>
  <c r="A181" i="2" s="1"/>
  <c r="A182" i="2" s="1"/>
  <c r="A183" i="2" s="1"/>
  <c r="A184" i="2" s="1"/>
  <c r="A185" i="2" s="1"/>
  <c r="C169" i="2"/>
  <c r="N169" i="2" s="1"/>
  <c r="C168" i="2"/>
  <c r="N168" i="2" s="1"/>
  <c r="C165" i="2"/>
  <c r="N165" i="2" s="1"/>
  <c r="O165" i="2" s="1"/>
  <c r="C172" i="2"/>
  <c r="N172" i="2" s="1"/>
  <c r="C171" i="2"/>
  <c r="N171" i="2" s="1"/>
  <c r="C170" i="2"/>
  <c r="N170" i="2" s="1"/>
  <c r="C164" i="2"/>
  <c r="N164" i="2" s="1"/>
  <c r="C167" i="2"/>
  <c r="N167" i="2" s="1"/>
  <c r="C166" i="2"/>
  <c r="N166" i="2" s="1"/>
  <c r="F221" i="2"/>
  <c r="F224" i="2"/>
  <c r="F226" i="2"/>
  <c r="F220" i="2"/>
  <c r="F223" i="2"/>
  <c r="F225" i="2"/>
  <c r="F222" i="2"/>
  <c r="F219" i="2"/>
  <c r="F227" i="2"/>
  <c r="O156" i="2" l="1"/>
  <c r="O161" i="2"/>
  <c r="O160" i="2"/>
  <c r="O157" i="2"/>
  <c r="O155" i="2"/>
  <c r="O159" i="2"/>
  <c r="O153" i="2"/>
  <c r="O218" i="2"/>
  <c r="O158" i="2"/>
  <c r="O217" i="2"/>
  <c r="L167" i="2"/>
  <c r="M167" i="2"/>
  <c r="L172" i="2"/>
  <c r="M172" i="2"/>
  <c r="L229" i="2"/>
  <c r="M229" i="2"/>
  <c r="L164" i="2"/>
  <c r="M164" i="2"/>
  <c r="L165" i="2"/>
  <c r="M165" i="2"/>
  <c r="L170" i="2"/>
  <c r="M170" i="2"/>
  <c r="L168" i="2"/>
  <c r="M168" i="2"/>
  <c r="L166" i="2"/>
  <c r="M166" i="2"/>
  <c r="L171" i="2"/>
  <c r="M171" i="2"/>
  <c r="L169" i="2"/>
  <c r="M169" i="2"/>
  <c r="L228" i="2"/>
  <c r="M228" i="2"/>
  <c r="J228" i="2"/>
  <c r="K228" i="2"/>
  <c r="J167" i="2"/>
  <c r="K167" i="2"/>
  <c r="J172" i="2"/>
  <c r="K172" i="2"/>
  <c r="J166" i="2"/>
  <c r="K166" i="2"/>
  <c r="J171" i="2"/>
  <c r="K171" i="2"/>
  <c r="J229" i="2"/>
  <c r="K229" i="2"/>
  <c r="J164" i="2"/>
  <c r="K164" i="2"/>
  <c r="J165" i="2"/>
  <c r="K165" i="2"/>
  <c r="J169" i="2"/>
  <c r="K169" i="2"/>
  <c r="J170" i="2"/>
  <c r="K170" i="2"/>
  <c r="J168" i="2"/>
  <c r="K168" i="2"/>
  <c r="G164" i="2"/>
  <c r="H164" i="2"/>
  <c r="I164" i="2"/>
  <c r="I167" i="2"/>
  <c r="G167" i="2"/>
  <c r="H167" i="2"/>
  <c r="G172" i="2"/>
  <c r="I172" i="2"/>
  <c r="H172" i="2"/>
  <c r="G229" i="2"/>
  <c r="H229" i="2"/>
  <c r="I229" i="2"/>
  <c r="I165" i="2"/>
  <c r="G165" i="2"/>
  <c r="H165" i="2"/>
  <c r="G170" i="2"/>
  <c r="H170" i="2"/>
  <c r="I170" i="2"/>
  <c r="I168" i="2"/>
  <c r="G168" i="2"/>
  <c r="H168" i="2"/>
  <c r="I166" i="2"/>
  <c r="G166" i="2"/>
  <c r="H166" i="2"/>
  <c r="I171" i="2"/>
  <c r="G171" i="2"/>
  <c r="H171" i="2"/>
  <c r="G169" i="2"/>
  <c r="H169" i="2"/>
  <c r="I169" i="2"/>
  <c r="G228" i="2"/>
  <c r="H228" i="2"/>
  <c r="I228" i="2"/>
  <c r="D240" i="2"/>
  <c r="D251" i="2" s="1"/>
  <c r="N251" i="2" s="1"/>
  <c r="D239" i="2"/>
  <c r="N239" i="2" s="1"/>
  <c r="D235" i="2"/>
  <c r="D233" i="2"/>
  <c r="D234" i="2"/>
  <c r="D236" i="2"/>
  <c r="D232" i="2"/>
  <c r="D238" i="2"/>
  <c r="D230" i="2"/>
  <c r="D237" i="2"/>
  <c r="D231" i="2"/>
  <c r="F185" i="2"/>
  <c r="A186" i="2"/>
  <c r="A187" i="2" s="1"/>
  <c r="A188" i="2" s="1"/>
  <c r="A189" i="2" s="1"/>
  <c r="A190" i="2" s="1"/>
  <c r="A191" i="2" s="1"/>
  <c r="A192" i="2" s="1"/>
  <c r="A193" i="2" s="1"/>
  <c r="A194" i="2" s="1"/>
  <c r="A195" i="2" s="1"/>
  <c r="A196" i="2" s="1"/>
  <c r="C176" i="2"/>
  <c r="N176" i="2" s="1"/>
  <c r="O176" i="2" s="1"/>
  <c r="C183" i="2"/>
  <c r="N183" i="2" s="1"/>
  <c r="C182" i="2"/>
  <c r="N182" i="2" s="1"/>
  <c r="C181" i="2"/>
  <c r="N181" i="2" s="1"/>
  <c r="C175" i="2"/>
  <c r="N175" i="2" s="1"/>
  <c r="C180" i="2"/>
  <c r="N180" i="2" s="1"/>
  <c r="C177" i="2"/>
  <c r="N177" i="2" s="1"/>
  <c r="C179" i="2"/>
  <c r="N179" i="2" s="1"/>
  <c r="C178" i="2"/>
  <c r="N178" i="2" s="1"/>
  <c r="F238" i="2"/>
  <c r="F232" i="2"/>
  <c r="F234" i="2"/>
  <c r="F235" i="2"/>
  <c r="F230" i="2"/>
  <c r="F231" i="2"/>
  <c r="F237" i="2"/>
  <c r="F236" i="2"/>
  <c r="F233" i="2"/>
  <c r="O167" i="2" l="1"/>
  <c r="O164" i="2"/>
  <c r="O169" i="2"/>
  <c r="O168" i="2"/>
  <c r="O170" i="2"/>
  <c r="O228" i="2"/>
  <c r="O166" i="2"/>
  <c r="O172" i="2"/>
  <c r="O171" i="2"/>
  <c r="O229" i="2"/>
  <c r="L177" i="2"/>
  <c r="M177" i="2"/>
  <c r="L182" i="2"/>
  <c r="M182" i="2"/>
  <c r="L178" i="2"/>
  <c r="M178" i="2"/>
  <c r="L175" i="2"/>
  <c r="M175" i="2"/>
  <c r="L176" i="2"/>
  <c r="M176" i="2"/>
  <c r="L239" i="2"/>
  <c r="M239" i="2"/>
  <c r="L180" i="2"/>
  <c r="M180" i="2"/>
  <c r="L183" i="2"/>
  <c r="M183" i="2"/>
  <c r="L179" i="2"/>
  <c r="M179" i="2"/>
  <c r="L181" i="2"/>
  <c r="M181" i="2"/>
  <c r="L251" i="2"/>
  <c r="M251" i="2"/>
  <c r="J179" i="2"/>
  <c r="K179" i="2"/>
  <c r="J181" i="2"/>
  <c r="K181" i="2"/>
  <c r="J178" i="2"/>
  <c r="K178" i="2"/>
  <c r="J175" i="2"/>
  <c r="K175" i="2"/>
  <c r="J176" i="2"/>
  <c r="K176" i="2"/>
  <c r="J239" i="2"/>
  <c r="K239" i="2"/>
  <c r="J177" i="2"/>
  <c r="K177" i="2"/>
  <c r="J182" i="2"/>
  <c r="K182" i="2"/>
  <c r="J251" i="2"/>
  <c r="K251" i="2"/>
  <c r="J180" i="2"/>
  <c r="K180" i="2"/>
  <c r="J183" i="2"/>
  <c r="K183" i="2"/>
  <c r="I175" i="2"/>
  <c r="G175" i="2"/>
  <c r="H175" i="2"/>
  <c r="I176" i="2"/>
  <c r="G176" i="2"/>
  <c r="H176" i="2"/>
  <c r="G239" i="2"/>
  <c r="H239" i="2"/>
  <c r="I239" i="2"/>
  <c r="G179" i="2"/>
  <c r="H179" i="2"/>
  <c r="I179" i="2"/>
  <c r="I181" i="2"/>
  <c r="G181" i="2"/>
  <c r="H181" i="2"/>
  <c r="G251" i="2"/>
  <c r="H251" i="2"/>
  <c r="I251" i="2"/>
  <c r="G180" i="2"/>
  <c r="H180" i="2"/>
  <c r="I180" i="2"/>
  <c r="G183" i="2"/>
  <c r="H183" i="2"/>
  <c r="I183" i="2"/>
  <c r="G177" i="2"/>
  <c r="H177" i="2"/>
  <c r="I177" i="2"/>
  <c r="G182" i="2"/>
  <c r="H182" i="2"/>
  <c r="I182" i="2"/>
  <c r="H178" i="2"/>
  <c r="I178" i="2"/>
  <c r="G178" i="2"/>
  <c r="D262" i="2"/>
  <c r="N262" i="2" s="1"/>
  <c r="D250" i="2"/>
  <c r="N250" i="2" s="1"/>
  <c r="D246" i="2"/>
  <c r="D243" i="2"/>
  <c r="D245" i="2"/>
  <c r="D244" i="2"/>
  <c r="D241" i="2"/>
  <c r="D248" i="2"/>
  <c r="D247" i="2"/>
  <c r="D242" i="2"/>
  <c r="D249" i="2"/>
  <c r="F196" i="2"/>
  <c r="A197" i="2"/>
  <c r="A198" i="2" s="1"/>
  <c r="A199" i="2" s="1"/>
  <c r="A200" i="2" s="1"/>
  <c r="A201" i="2" s="1"/>
  <c r="A202" i="2" s="1"/>
  <c r="A203" i="2" s="1"/>
  <c r="A204" i="2" s="1"/>
  <c r="A205" i="2" s="1"/>
  <c r="A206" i="2" s="1"/>
  <c r="A207" i="2" s="1"/>
  <c r="C194" i="2"/>
  <c r="N194" i="2" s="1"/>
  <c r="C189" i="2"/>
  <c r="N189" i="2" s="1"/>
  <c r="C193" i="2"/>
  <c r="N193" i="2" s="1"/>
  <c r="C190" i="2"/>
  <c r="N190" i="2" s="1"/>
  <c r="C192" i="2"/>
  <c r="N192" i="2" s="1"/>
  <c r="C191" i="2"/>
  <c r="N191" i="2" s="1"/>
  <c r="C188" i="2"/>
  <c r="N188" i="2" s="1"/>
  <c r="C187" i="2"/>
  <c r="N187" i="2" s="1"/>
  <c r="O187" i="2" s="1"/>
  <c r="C186" i="2"/>
  <c r="N186" i="2" s="1"/>
  <c r="F241" i="2"/>
  <c r="F245" i="2"/>
  <c r="F247" i="2"/>
  <c r="F244" i="2"/>
  <c r="F246" i="2"/>
  <c r="F249" i="2"/>
  <c r="F248" i="2"/>
  <c r="F242" i="2"/>
  <c r="F243" i="2"/>
  <c r="O178" i="2" l="1"/>
  <c r="O183" i="2"/>
  <c r="O181" i="2"/>
  <c r="O179" i="2"/>
  <c r="O175" i="2"/>
  <c r="O182" i="2"/>
  <c r="O251" i="2"/>
  <c r="O180" i="2"/>
  <c r="O239" i="2"/>
  <c r="O177" i="2"/>
  <c r="L188" i="2"/>
  <c r="M188" i="2"/>
  <c r="L193" i="2"/>
  <c r="M193" i="2"/>
  <c r="L191" i="2"/>
  <c r="M191" i="2"/>
  <c r="L189" i="2"/>
  <c r="M189" i="2"/>
  <c r="L192" i="2"/>
  <c r="M192" i="2"/>
  <c r="L186" i="2"/>
  <c r="M186" i="2"/>
  <c r="L194" i="2"/>
  <c r="M194" i="2"/>
  <c r="L250" i="2"/>
  <c r="M250" i="2"/>
  <c r="L187" i="2"/>
  <c r="M187" i="2"/>
  <c r="L190" i="2"/>
  <c r="M190" i="2"/>
  <c r="L262" i="2"/>
  <c r="M262" i="2"/>
  <c r="J191" i="2"/>
  <c r="K191" i="2"/>
  <c r="J186" i="2"/>
  <c r="K186" i="2"/>
  <c r="J192" i="2"/>
  <c r="K192" i="2"/>
  <c r="J194" i="2"/>
  <c r="K194" i="2"/>
  <c r="J250" i="2"/>
  <c r="K250" i="2"/>
  <c r="J187" i="2"/>
  <c r="K187" i="2"/>
  <c r="J190" i="2"/>
  <c r="K190" i="2"/>
  <c r="J262" i="2"/>
  <c r="K262" i="2"/>
  <c r="J188" i="2"/>
  <c r="K188" i="2"/>
  <c r="J193" i="2"/>
  <c r="K193" i="2"/>
  <c r="J189" i="2"/>
  <c r="K189" i="2"/>
  <c r="H186" i="2"/>
  <c r="I186" i="2"/>
  <c r="G186" i="2"/>
  <c r="I192" i="2"/>
  <c r="G192" i="2"/>
  <c r="H192" i="2"/>
  <c r="H194" i="2"/>
  <c r="I194" i="2"/>
  <c r="G194" i="2"/>
  <c r="G250" i="2"/>
  <c r="H250" i="2"/>
  <c r="I250" i="2"/>
  <c r="G187" i="2"/>
  <c r="H187" i="2"/>
  <c r="I187" i="2"/>
  <c r="G190" i="2"/>
  <c r="H190" i="2"/>
  <c r="I190" i="2"/>
  <c r="G262" i="2"/>
  <c r="H262" i="2"/>
  <c r="I262" i="2"/>
  <c r="H188" i="2"/>
  <c r="I188" i="2"/>
  <c r="G188" i="2"/>
  <c r="H193" i="2"/>
  <c r="I193" i="2"/>
  <c r="G193" i="2"/>
  <c r="G191" i="2"/>
  <c r="I191" i="2"/>
  <c r="H191" i="2"/>
  <c r="G189" i="2"/>
  <c r="H189" i="2"/>
  <c r="I189" i="2"/>
  <c r="D261" i="2"/>
  <c r="N261" i="2" s="1"/>
  <c r="D273" i="2"/>
  <c r="N273" i="2" s="1"/>
  <c r="D253" i="2"/>
  <c r="D259" i="2"/>
  <c r="D254" i="2"/>
  <c r="D260" i="2"/>
  <c r="D252" i="2"/>
  <c r="D255" i="2"/>
  <c r="D257" i="2"/>
  <c r="D256" i="2"/>
  <c r="D258" i="2"/>
  <c r="F207" i="2"/>
  <c r="A208" i="2"/>
  <c r="A209" i="2" s="1"/>
  <c r="A210" i="2" s="1"/>
  <c r="A211" i="2" s="1"/>
  <c r="A212" i="2" s="1"/>
  <c r="A213" i="2" s="1"/>
  <c r="A214" i="2" s="1"/>
  <c r="A215" i="2" s="1"/>
  <c r="A216" i="2" s="1"/>
  <c r="A217" i="2" s="1"/>
  <c r="A218" i="2" s="1"/>
  <c r="C202" i="2"/>
  <c r="N202" i="2" s="1"/>
  <c r="C201" i="2"/>
  <c r="N201" i="2" s="1"/>
  <c r="C203" i="2"/>
  <c r="N203" i="2" s="1"/>
  <c r="C197" i="2"/>
  <c r="N197" i="2" s="1"/>
  <c r="C205" i="2"/>
  <c r="N205" i="2" s="1"/>
  <c r="C204" i="2"/>
  <c r="N204" i="2" s="1"/>
  <c r="C200" i="2"/>
  <c r="N200" i="2" s="1"/>
  <c r="C198" i="2"/>
  <c r="N198" i="2" s="1"/>
  <c r="O198" i="2" s="1"/>
  <c r="C199" i="2"/>
  <c r="N199" i="2" s="1"/>
  <c r="F258" i="2"/>
  <c r="F260" i="2"/>
  <c r="F256" i="2"/>
  <c r="F253" i="2"/>
  <c r="F257" i="2"/>
  <c r="F252" i="2"/>
  <c r="F254" i="2"/>
  <c r="F259" i="2"/>
  <c r="F255" i="2"/>
  <c r="O194" i="2" l="1"/>
  <c r="O186" i="2"/>
  <c r="O189" i="2"/>
  <c r="O193" i="2"/>
  <c r="O262" i="2"/>
  <c r="O250" i="2"/>
  <c r="O192" i="2"/>
  <c r="O191" i="2"/>
  <c r="O188" i="2"/>
  <c r="O190" i="2"/>
  <c r="L200" i="2"/>
  <c r="M200" i="2"/>
  <c r="L203" i="2"/>
  <c r="M203" i="2"/>
  <c r="L204" i="2"/>
  <c r="M204" i="2"/>
  <c r="L201" i="2"/>
  <c r="M201" i="2"/>
  <c r="L199" i="2"/>
  <c r="M199" i="2"/>
  <c r="L205" i="2"/>
  <c r="M205" i="2"/>
  <c r="L202" i="2"/>
  <c r="M202" i="2"/>
  <c r="L273" i="2"/>
  <c r="M273" i="2"/>
  <c r="L198" i="2"/>
  <c r="M198" i="2"/>
  <c r="L197" i="2"/>
  <c r="M197" i="2"/>
  <c r="L261" i="2"/>
  <c r="M261" i="2"/>
  <c r="J198" i="2"/>
  <c r="K198" i="2"/>
  <c r="J261" i="2"/>
  <c r="K261" i="2"/>
  <c r="J203" i="2"/>
  <c r="K203" i="2"/>
  <c r="J199" i="2"/>
  <c r="K199" i="2"/>
  <c r="J205" i="2"/>
  <c r="K205" i="2"/>
  <c r="J202" i="2"/>
  <c r="K202" i="2"/>
  <c r="J273" i="2"/>
  <c r="K273" i="2"/>
  <c r="J197" i="2"/>
  <c r="K197" i="2"/>
  <c r="J200" i="2"/>
  <c r="K200" i="2"/>
  <c r="J204" i="2"/>
  <c r="K204" i="2"/>
  <c r="J201" i="2"/>
  <c r="K201" i="2"/>
  <c r="I204" i="2"/>
  <c r="G204" i="2"/>
  <c r="H204" i="2"/>
  <c r="G201" i="2"/>
  <c r="H201" i="2"/>
  <c r="I201" i="2"/>
  <c r="H198" i="2"/>
  <c r="I198" i="2"/>
  <c r="G198" i="2"/>
  <c r="H197" i="2"/>
  <c r="I197" i="2"/>
  <c r="G197" i="2"/>
  <c r="G261" i="2"/>
  <c r="H261" i="2"/>
  <c r="I261" i="2"/>
  <c r="I200" i="2"/>
  <c r="H200" i="2"/>
  <c r="G200" i="2"/>
  <c r="I203" i="2"/>
  <c r="G203" i="2"/>
  <c r="H203" i="2"/>
  <c r="I199" i="2"/>
  <c r="G199" i="2"/>
  <c r="H199" i="2"/>
  <c r="G205" i="2"/>
  <c r="H205" i="2"/>
  <c r="I205" i="2"/>
  <c r="I202" i="2"/>
  <c r="G202" i="2"/>
  <c r="H202" i="2"/>
  <c r="G273" i="2"/>
  <c r="H273" i="2"/>
  <c r="I273" i="2"/>
  <c r="D272" i="2"/>
  <c r="N272" i="2" s="1"/>
  <c r="D284" i="2"/>
  <c r="N284" i="2" s="1"/>
  <c r="D271" i="2"/>
  <c r="D264" i="2"/>
  <c r="D269" i="2"/>
  <c r="D270" i="2"/>
  <c r="D263" i="2"/>
  <c r="D268" i="2"/>
  <c r="D266" i="2"/>
  <c r="D267" i="2"/>
  <c r="D265" i="2"/>
  <c r="F218" i="2"/>
  <c r="A219" i="2"/>
  <c r="A220" i="2" s="1"/>
  <c r="A221" i="2" s="1"/>
  <c r="A222" i="2" s="1"/>
  <c r="A223" i="2" s="1"/>
  <c r="A224" i="2" s="1"/>
  <c r="A225" i="2" s="1"/>
  <c r="A226" i="2" s="1"/>
  <c r="A227" i="2" s="1"/>
  <c r="A228" i="2" s="1"/>
  <c r="A229" i="2" s="1"/>
  <c r="C214" i="2"/>
  <c r="N214" i="2" s="1"/>
  <c r="C209" i="2"/>
  <c r="N209" i="2" s="1"/>
  <c r="O209" i="2" s="1"/>
  <c r="C213" i="2"/>
  <c r="N213" i="2" s="1"/>
  <c r="C212" i="2"/>
  <c r="N212" i="2" s="1"/>
  <c r="C208" i="2"/>
  <c r="N208" i="2" s="1"/>
  <c r="C211" i="2"/>
  <c r="N211" i="2" s="1"/>
  <c r="C210" i="2"/>
  <c r="N210" i="2" s="1"/>
  <c r="C215" i="2"/>
  <c r="N215" i="2" s="1"/>
  <c r="C216" i="2"/>
  <c r="N216" i="2" s="1"/>
  <c r="F267" i="2"/>
  <c r="F268" i="2"/>
  <c r="F263" i="2"/>
  <c r="F266" i="2"/>
  <c r="F265" i="2"/>
  <c r="F271" i="2"/>
  <c r="F264" i="2"/>
  <c r="F270" i="2"/>
  <c r="F269" i="2"/>
  <c r="O200" i="2" l="1"/>
  <c r="O204" i="2"/>
  <c r="O203" i="2"/>
  <c r="O197" i="2"/>
  <c r="O201" i="2"/>
  <c r="O273" i="2"/>
  <c r="O199" i="2"/>
  <c r="O202" i="2"/>
  <c r="O205" i="2"/>
  <c r="O261" i="2"/>
  <c r="L216" i="2"/>
  <c r="M216" i="2"/>
  <c r="L208" i="2"/>
  <c r="M208" i="2"/>
  <c r="L214" i="2"/>
  <c r="M214" i="2"/>
  <c r="L284" i="2"/>
  <c r="M284" i="2"/>
  <c r="L210" i="2"/>
  <c r="M210" i="2"/>
  <c r="L213" i="2"/>
  <c r="M213" i="2"/>
  <c r="L211" i="2"/>
  <c r="M211" i="2"/>
  <c r="L209" i="2"/>
  <c r="M209" i="2"/>
  <c r="L215" i="2"/>
  <c r="M215" i="2"/>
  <c r="L212" i="2"/>
  <c r="M212" i="2"/>
  <c r="L272" i="2"/>
  <c r="M272" i="2"/>
  <c r="J211" i="2"/>
  <c r="K211" i="2"/>
  <c r="J209" i="2"/>
  <c r="K209" i="2"/>
  <c r="J216" i="2"/>
  <c r="K216" i="2"/>
  <c r="J208" i="2"/>
  <c r="K208" i="2"/>
  <c r="J214" i="2"/>
  <c r="K214" i="2"/>
  <c r="J284" i="2"/>
  <c r="K284" i="2"/>
  <c r="J215" i="2"/>
  <c r="K215" i="2"/>
  <c r="J212" i="2"/>
  <c r="K212" i="2"/>
  <c r="J272" i="2"/>
  <c r="K272" i="2"/>
  <c r="J210" i="2"/>
  <c r="K210" i="2"/>
  <c r="J213" i="2"/>
  <c r="K213" i="2"/>
  <c r="G215" i="2"/>
  <c r="H215" i="2"/>
  <c r="I215" i="2"/>
  <c r="I212" i="2"/>
  <c r="G212" i="2"/>
  <c r="H212" i="2"/>
  <c r="G272" i="2"/>
  <c r="H272" i="2"/>
  <c r="I272" i="2"/>
  <c r="I211" i="2"/>
  <c r="G211" i="2"/>
  <c r="H211" i="2"/>
  <c r="I209" i="2"/>
  <c r="G209" i="2"/>
  <c r="H209" i="2"/>
  <c r="G210" i="2"/>
  <c r="H210" i="2"/>
  <c r="I210" i="2"/>
  <c r="I213" i="2"/>
  <c r="G213" i="2"/>
  <c r="H213" i="2"/>
  <c r="I216" i="2"/>
  <c r="G216" i="2"/>
  <c r="H216" i="2"/>
  <c r="G208" i="2"/>
  <c r="H208" i="2"/>
  <c r="I208" i="2"/>
  <c r="G214" i="2"/>
  <c r="H214" i="2"/>
  <c r="I214" i="2"/>
  <c r="G284" i="2"/>
  <c r="H284" i="2"/>
  <c r="I284" i="2"/>
  <c r="D283" i="2"/>
  <c r="N283" i="2" s="1"/>
  <c r="D295" i="2"/>
  <c r="N295" i="2" s="1"/>
  <c r="D275" i="2"/>
  <c r="D279" i="2"/>
  <c r="D277" i="2"/>
  <c r="D281" i="2"/>
  <c r="D282" i="2"/>
  <c r="D276" i="2"/>
  <c r="D278" i="2"/>
  <c r="D274" i="2"/>
  <c r="D280" i="2"/>
  <c r="F229" i="2"/>
  <c r="A230" i="2"/>
  <c r="A231" i="2" s="1"/>
  <c r="A232" i="2" s="1"/>
  <c r="A233" i="2" s="1"/>
  <c r="A234" i="2" s="1"/>
  <c r="A235" i="2" s="1"/>
  <c r="A236" i="2" s="1"/>
  <c r="A237" i="2" s="1"/>
  <c r="A238" i="2" s="1"/>
  <c r="A239" i="2" s="1"/>
  <c r="A240" i="2" s="1"/>
  <c r="C223" i="2"/>
  <c r="N223" i="2" s="1"/>
  <c r="C227" i="2"/>
  <c r="N227" i="2" s="1"/>
  <c r="C222" i="2"/>
  <c r="N222" i="2" s="1"/>
  <c r="C226" i="2"/>
  <c r="N226" i="2" s="1"/>
  <c r="C221" i="2"/>
  <c r="N221" i="2" s="1"/>
  <c r="C225" i="2"/>
  <c r="N225" i="2" s="1"/>
  <c r="C224" i="2"/>
  <c r="N224" i="2" s="1"/>
  <c r="C220" i="2"/>
  <c r="N220" i="2" s="1"/>
  <c r="O220" i="2" s="1"/>
  <c r="C219" i="2"/>
  <c r="N219" i="2" s="1"/>
  <c r="F279" i="2"/>
  <c r="F280" i="2"/>
  <c r="F282" i="2"/>
  <c r="F276" i="2"/>
  <c r="F277" i="2"/>
  <c r="F281" i="2"/>
  <c r="F278" i="2"/>
  <c r="F274" i="2"/>
  <c r="F275" i="2"/>
  <c r="O216" i="2" l="1"/>
  <c r="O211" i="2"/>
  <c r="O212" i="2"/>
  <c r="O214" i="2"/>
  <c r="O213" i="2"/>
  <c r="O210" i="2"/>
  <c r="O284" i="2"/>
  <c r="O272" i="2"/>
  <c r="O208" i="2"/>
  <c r="O215" i="2"/>
  <c r="L219" i="2"/>
  <c r="M219" i="2"/>
  <c r="L223" i="2"/>
  <c r="M223" i="2"/>
  <c r="L224" i="2"/>
  <c r="M224" i="2"/>
  <c r="L222" i="2"/>
  <c r="M222" i="2"/>
  <c r="L225" i="2"/>
  <c r="M225" i="2"/>
  <c r="L227" i="2"/>
  <c r="M227" i="2"/>
  <c r="L221" i="2"/>
  <c r="M221" i="2"/>
  <c r="L295" i="2"/>
  <c r="M295" i="2"/>
  <c r="L220" i="2"/>
  <c r="M220" i="2"/>
  <c r="L226" i="2"/>
  <c r="M226" i="2"/>
  <c r="L283" i="2"/>
  <c r="M283" i="2"/>
  <c r="J219" i="2"/>
  <c r="K219" i="2"/>
  <c r="J221" i="2"/>
  <c r="K221" i="2"/>
  <c r="J223" i="2"/>
  <c r="K223" i="2"/>
  <c r="J295" i="2"/>
  <c r="K295" i="2"/>
  <c r="J227" i="2"/>
  <c r="K227" i="2"/>
  <c r="J220" i="2"/>
  <c r="K220" i="2"/>
  <c r="J226" i="2"/>
  <c r="K226" i="2"/>
  <c r="J283" i="2"/>
  <c r="K283" i="2"/>
  <c r="J224" i="2"/>
  <c r="K224" i="2"/>
  <c r="J222" i="2"/>
  <c r="K222" i="2"/>
  <c r="J225" i="2"/>
  <c r="K225" i="2"/>
  <c r="G225" i="2"/>
  <c r="H225" i="2"/>
  <c r="I225" i="2"/>
  <c r="I227" i="2"/>
  <c r="G227" i="2"/>
  <c r="H227" i="2"/>
  <c r="I219" i="2"/>
  <c r="G219" i="2"/>
  <c r="H219" i="2"/>
  <c r="I221" i="2"/>
  <c r="G221" i="2"/>
  <c r="H221" i="2"/>
  <c r="G223" i="2"/>
  <c r="H223" i="2"/>
  <c r="I223" i="2"/>
  <c r="G295" i="2"/>
  <c r="H295" i="2"/>
  <c r="I295" i="2"/>
  <c r="I220" i="2"/>
  <c r="G220" i="2"/>
  <c r="H220" i="2"/>
  <c r="G226" i="2"/>
  <c r="H226" i="2"/>
  <c r="I226" i="2"/>
  <c r="G283" i="2"/>
  <c r="H283" i="2"/>
  <c r="I283" i="2"/>
  <c r="I224" i="2"/>
  <c r="H224" i="2"/>
  <c r="G224" i="2"/>
  <c r="H222" i="2"/>
  <c r="G222" i="2"/>
  <c r="I222" i="2"/>
  <c r="D306" i="2"/>
  <c r="N306" i="2" s="1"/>
  <c r="D294" i="2"/>
  <c r="N294" i="2" s="1"/>
  <c r="D287" i="2"/>
  <c r="D292" i="2"/>
  <c r="D293" i="2"/>
  <c r="D286" i="2"/>
  <c r="D290" i="2"/>
  <c r="D291" i="2"/>
  <c r="D288" i="2"/>
  <c r="D289" i="2"/>
  <c r="D285" i="2"/>
  <c r="F240" i="2"/>
  <c r="A241" i="2"/>
  <c r="A242" i="2" s="1"/>
  <c r="A243" i="2" s="1"/>
  <c r="A244" i="2" s="1"/>
  <c r="A245" i="2" s="1"/>
  <c r="A246" i="2" s="1"/>
  <c r="A247" i="2" s="1"/>
  <c r="A248" i="2" s="1"/>
  <c r="A249" i="2" s="1"/>
  <c r="A250" i="2" s="1"/>
  <c r="A251" i="2" s="1"/>
  <c r="C234" i="2"/>
  <c r="N234" i="2" s="1"/>
  <c r="C233" i="2"/>
  <c r="N233" i="2" s="1"/>
  <c r="C230" i="2"/>
  <c r="N230" i="2" s="1"/>
  <c r="C232" i="2"/>
  <c r="N232" i="2" s="1"/>
  <c r="C235" i="2"/>
  <c r="N235" i="2" s="1"/>
  <c r="C231" i="2"/>
  <c r="N231" i="2" s="1"/>
  <c r="O231" i="2" s="1"/>
  <c r="C238" i="2"/>
  <c r="N238" i="2" s="1"/>
  <c r="C237" i="2"/>
  <c r="N237" i="2" s="1"/>
  <c r="C236" i="2"/>
  <c r="N236" i="2" s="1"/>
  <c r="F293" i="2"/>
  <c r="F290" i="2"/>
  <c r="F285" i="2"/>
  <c r="F289" i="2"/>
  <c r="F287" i="2"/>
  <c r="F292" i="2"/>
  <c r="F286" i="2"/>
  <c r="F288" i="2"/>
  <c r="F291" i="2"/>
  <c r="O227" i="2" l="1"/>
  <c r="O283" i="2"/>
  <c r="O223" i="2"/>
  <c r="O225" i="2"/>
  <c r="O222" i="2"/>
  <c r="O295" i="2"/>
  <c r="O219" i="2"/>
  <c r="O221" i="2"/>
  <c r="O224" i="2"/>
  <c r="O226" i="2"/>
  <c r="L238" i="2"/>
  <c r="M238" i="2"/>
  <c r="L230" i="2"/>
  <c r="M230" i="2"/>
  <c r="L236" i="2"/>
  <c r="M236" i="2"/>
  <c r="L235" i="2"/>
  <c r="M235" i="2"/>
  <c r="L234" i="2"/>
  <c r="M234" i="2"/>
  <c r="L294" i="2"/>
  <c r="M294" i="2"/>
  <c r="L231" i="2"/>
  <c r="M231" i="2"/>
  <c r="L233" i="2"/>
  <c r="M233" i="2"/>
  <c r="L237" i="2"/>
  <c r="M237" i="2"/>
  <c r="L232" i="2"/>
  <c r="M232" i="2"/>
  <c r="L306" i="2"/>
  <c r="M306" i="2"/>
  <c r="J234" i="2"/>
  <c r="K234" i="2"/>
  <c r="J236" i="2"/>
  <c r="K236" i="2"/>
  <c r="J235" i="2"/>
  <c r="K235" i="2"/>
  <c r="J294" i="2"/>
  <c r="K294" i="2"/>
  <c r="J237" i="2"/>
  <c r="K237" i="2"/>
  <c r="J232" i="2"/>
  <c r="K232" i="2"/>
  <c r="J306" i="2"/>
  <c r="K306" i="2"/>
  <c r="J238" i="2"/>
  <c r="K238" i="2"/>
  <c r="J230" i="2"/>
  <c r="K230" i="2"/>
  <c r="J231" i="2"/>
  <c r="K231" i="2"/>
  <c r="J233" i="2"/>
  <c r="K233" i="2"/>
  <c r="G306" i="2"/>
  <c r="H306" i="2"/>
  <c r="I306" i="2"/>
  <c r="G238" i="2"/>
  <c r="H238" i="2"/>
  <c r="I238" i="2"/>
  <c r="G230" i="2"/>
  <c r="H230" i="2"/>
  <c r="I230" i="2"/>
  <c r="G231" i="2"/>
  <c r="H231" i="2"/>
  <c r="I231" i="2"/>
  <c r="G233" i="2"/>
  <c r="H233" i="2"/>
  <c r="I233" i="2"/>
  <c r="I236" i="2"/>
  <c r="G236" i="2"/>
  <c r="H236" i="2"/>
  <c r="H234" i="2"/>
  <c r="I234" i="2"/>
  <c r="G234" i="2"/>
  <c r="G237" i="2"/>
  <c r="H237" i="2"/>
  <c r="I237" i="2"/>
  <c r="I232" i="2"/>
  <c r="G232" i="2"/>
  <c r="H232" i="2"/>
  <c r="G235" i="2"/>
  <c r="H235" i="2"/>
  <c r="I235" i="2"/>
  <c r="G294" i="2"/>
  <c r="H294" i="2"/>
  <c r="I294" i="2"/>
  <c r="D305" i="2"/>
  <c r="N305" i="2" s="1"/>
  <c r="D317" i="2"/>
  <c r="N317" i="2" s="1"/>
  <c r="D298" i="2"/>
  <c r="D296" i="2"/>
  <c r="D303" i="2"/>
  <c r="D299" i="2"/>
  <c r="D302" i="2"/>
  <c r="D297" i="2"/>
  <c r="D301" i="2"/>
  <c r="D300" i="2"/>
  <c r="D304" i="2"/>
  <c r="F251" i="2"/>
  <c r="A252" i="2"/>
  <c r="A253" i="2" s="1"/>
  <c r="A254" i="2" s="1"/>
  <c r="A255" i="2" s="1"/>
  <c r="A256" i="2" s="1"/>
  <c r="A257" i="2" s="1"/>
  <c r="A258" i="2" s="1"/>
  <c r="A259" i="2" s="1"/>
  <c r="A260" i="2" s="1"/>
  <c r="A261" i="2" s="1"/>
  <c r="A262" i="2" s="1"/>
  <c r="C246" i="2"/>
  <c r="N246" i="2" s="1"/>
  <c r="C243" i="2"/>
  <c r="N243" i="2" s="1"/>
  <c r="C247" i="2"/>
  <c r="N247" i="2" s="1"/>
  <c r="C242" i="2"/>
  <c r="N242" i="2" s="1"/>
  <c r="O242" i="2" s="1"/>
  <c r="C241" i="2"/>
  <c r="N241" i="2" s="1"/>
  <c r="C249" i="2"/>
  <c r="N249" i="2" s="1"/>
  <c r="C248" i="2"/>
  <c r="N248" i="2" s="1"/>
  <c r="C245" i="2"/>
  <c r="N245" i="2" s="1"/>
  <c r="C244" i="2"/>
  <c r="N244" i="2" s="1"/>
  <c r="F299" i="2"/>
  <c r="F303" i="2"/>
  <c r="F302" i="2"/>
  <c r="F301" i="2"/>
  <c r="F296" i="2"/>
  <c r="F300" i="2"/>
  <c r="F304" i="2"/>
  <c r="F298" i="2"/>
  <c r="F297" i="2"/>
  <c r="O234" i="2" l="1"/>
  <c r="O236" i="2"/>
  <c r="O233" i="2"/>
  <c r="O306" i="2"/>
  <c r="O294" i="2"/>
  <c r="O230" i="2"/>
  <c r="O232" i="2"/>
  <c r="O237" i="2"/>
  <c r="O235" i="2"/>
  <c r="O238" i="2"/>
  <c r="L243" i="2"/>
  <c r="M243" i="2"/>
  <c r="L244" i="2"/>
  <c r="M244" i="2"/>
  <c r="L241" i="2"/>
  <c r="M241" i="2"/>
  <c r="L246" i="2"/>
  <c r="M246" i="2"/>
  <c r="L317" i="2"/>
  <c r="M317" i="2"/>
  <c r="L248" i="2"/>
  <c r="M248" i="2"/>
  <c r="L247" i="2"/>
  <c r="M247" i="2"/>
  <c r="L249" i="2"/>
  <c r="M249" i="2"/>
  <c r="L245" i="2"/>
  <c r="M245" i="2"/>
  <c r="L242" i="2"/>
  <c r="M242" i="2"/>
  <c r="L305" i="2"/>
  <c r="M305" i="2"/>
  <c r="J248" i="2"/>
  <c r="K248" i="2"/>
  <c r="J247" i="2"/>
  <c r="K247" i="2"/>
  <c r="J244" i="2"/>
  <c r="K244" i="2"/>
  <c r="J241" i="2"/>
  <c r="K241" i="2"/>
  <c r="J246" i="2"/>
  <c r="K246" i="2"/>
  <c r="J317" i="2"/>
  <c r="K317" i="2"/>
  <c r="J245" i="2"/>
  <c r="K245" i="2"/>
  <c r="J242" i="2"/>
  <c r="K242" i="2"/>
  <c r="J305" i="2"/>
  <c r="K305" i="2"/>
  <c r="J249" i="2"/>
  <c r="K249" i="2"/>
  <c r="J243" i="2"/>
  <c r="K243" i="2"/>
  <c r="G245" i="2"/>
  <c r="H245" i="2"/>
  <c r="I245" i="2"/>
  <c r="G242" i="2"/>
  <c r="H242" i="2"/>
  <c r="I242" i="2"/>
  <c r="G305" i="2"/>
  <c r="H305" i="2"/>
  <c r="I305" i="2"/>
  <c r="G248" i="2"/>
  <c r="H248" i="2"/>
  <c r="I248" i="2"/>
  <c r="I247" i="2"/>
  <c r="H247" i="2"/>
  <c r="G247" i="2"/>
  <c r="I249" i="2"/>
  <c r="G249" i="2"/>
  <c r="H249" i="2"/>
  <c r="G243" i="2"/>
  <c r="H243" i="2"/>
  <c r="I243" i="2"/>
  <c r="I244" i="2"/>
  <c r="G244" i="2"/>
  <c r="H244" i="2"/>
  <c r="G241" i="2"/>
  <c r="I241" i="2"/>
  <c r="H241" i="2"/>
  <c r="I246" i="2"/>
  <c r="G246" i="2"/>
  <c r="H246" i="2"/>
  <c r="G317" i="2"/>
  <c r="H317" i="2"/>
  <c r="I317" i="2"/>
  <c r="D316" i="2"/>
  <c r="N316" i="2" s="1"/>
  <c r="D328" i="2"/>
  <c r="N328" i="2" s="1"/>
  <c r="D315" i="2"/>
  <c r="D310" i="2"/>
  <c r="D307" i="2"/>
  <c r="D309" i="2"/>
  <c r="D313" i="2"/>
  <c r="D312" i="2"/>
  <c r="D314" i="2"/>
  <c r="D311" i="2"/>
  <c r="D308" i="2"/>
  <c r="F262" i="2"/>
  <c r="A263" i="2"/>
  <c r="A264" i="2" s="1"/>
  <c r="A265" i="2" s="1"/>
  <c r="A266" i="2" s="1"/>
  <c r="A267" i="2" s="1"/>
  <c r="A268" i="2" s="1"/>
  <c r="A269" i="2" s="1"/>
  <c r="A270" i="2" s="1"/>
  <c r="A271" i="2" s="1"/>
  <c r="A272" i="2" s="1"/>
  <c r="A273" i="2" s="1"/>
  <c r="C254" i="2"/>
  <c r="N254" i="2" s="1"/>
  <c r="C260" i="2"/>
  <c r="N260" i="2" s="1"/>
  <c r="C253" i="2"/>
  <c r="N253" i="2" s="1"/>
  <c r="O253" i="2" s="1"/>
  <c r="C252" i="2"/>
  <c r="N252" i="2" s="1"/>
  <c r="C259" i="2"/>
  <c r="N259" i="2" s="1"/>
  <c r="C255" i="2"/>
  <c r="N255" i="2" s="1"/>
  <c r="C258" i="2"/>
  <c r="N258" i="2" s="1"/>
  <c r="C256" i="2"/>
  <c r="N256" i="2" s="1"/>
  <c r="C257" i="2"/>
  <c r="N257" i="2" s="1"/>
  <c r="F307" i="2"/>
  <c r="F313" i="2"/>
  <c r="F315" i="2"/>
  <c r="F308" i="2"/>
  <c r="F310" i="2"/>
  <c r="F312" i="2"/>
  <c r="F311" i="2"/>
  <c r="F309" i="2"/>
  <c r="F314" i="2"/>
  <c r="O247" i="2" l="1"/>
  <c r="O248" i="2"/>
  <c r="O246" i="2"/>
  <c r="O241" i="2"/>
  <c r="O249" i="2"/>
  <c r="O245" i="2"/>
  <c r="O317" i="2"/>
  <c r="O244" i="2"/>
  <c r="O243" i="2"/>
  <c r="O305" i="2"/>
  <c r="L253" i="2"/>
  <c r="M253" i="2"/>
  <c r="L260" i="2"/>
  <c r="M260" i="2"/>
  <c r="L256" i="2"/>
  <c r="M256" i="2"/>
  <c r="L252" i="2"/>
  <c r="M252" i="2"/>
  <c r="L258" i="2"/>
  <c r="M258" i="2"/>
  <c r="L255" i="2"/>
  <c r="M255" i="2"/>
  <c r="L257" i="2"/>
  <c r="M257" i="2"/>
  <c r="L259" i="2"/>
  <c r="M259" i="2"/>
  <c r="L254" i="2"/>
  <c r="M254" i="2"/>
  <c r="L328" i="2"/>
  <c r="M328" i="2"/>
  <c r="L316" i="2"/>
  <c r="M316" i="2"/>
  <c r="J253" i="2"/>
  <c r="K253" i="2"/>
  <c r="J260" i="2"/>
  <c r="K260" i="2"/>
  <c r="J257" i="2"/>
  <c r="K257" i="2"/>
  <c r="J259" i="2"/>
  <c r="K259" i="2"/>
  <c r="J254" i="2"/>
  <c r="K254" i="2"/>
  <c r="J328" i="2"/>
  <c r="K328" i="2"/>
  <c r="J256" i="2"/>
  <c r="K256" i="2"/>
  <c r="J252" i="2"/>
  <c r="K252" i="2"/>
  <c r="J316" i="2"/>
  <c r="K316" i="2"/>
  <c r="J258" i="2"/>
  <c r="K258" i="2"/>
  <c r="J255" i="2"/>
  <c r="K255" i="2"/>
  <c r="I257" i="2"/>
  <c r="G257" i="2"/>
  <c r="H257" i="2"/>
  <c r="I259" i="2"/>
  <c r="G259" i="2"/>
  <c r="H259" i="2"/>
  <c r="G254" i="2"/>
  <c r="H254" i="2"/>
  <c r="I254" i="2"/>
  <c r="G328" i="2"/>
  <c r="H328" i="2"/>
  <c r="I328" i="2"/>
  <c r="I256" i="2"/>
  <c r="G256" i="2"/>
  <c r="H256" i="2"/>
  <c r="G252" i="2"/>
  <c r="H252" i="2"/>
  <c r="I252" i="2"/>
  <c r="G316" i="2"/>
  <c r="H316" i="2"/>
  <c r="I316" i="2"/>
  <c r="G258" i="2"/>
  <c r="H258" i="2"/>
  <c r="I258" i="2"/>
  <c r="G255" i="2"/>
  <c r="H255" i="2"/>
  <c r="I255" i="2"/>
  <c r="G260" i="2"/>
  <c r="H260" i="2"/>
  <c r="I260" i="2"/>
  <c r="I253" i="2"/>
  <c r="G253" i="2"/>
  <c r="H253" i="2"/>
  <c r="D327" i="2"/>
  <c r="N327" i="2" s="1"/>
  <c r="D339" i="2"/>
  <c r="N339" i="2" s="1"/>
  <c r="D324" i="2"/>
  <c r="D323" i="2"/>
  <c r="D322" i="2"/>
  <c r="D320" i="2"/>
  <c r="D321" i="2"/>
  <c r="D326" i="2"/>
  <c r="D319" i="2"/>
  <c r="D325" i="2"/>
  <c r="D318" i="2"/>
  <c r="F273" i="2"/>
  <c r="A274" i="2"/>
  <c r="A275" i="2" s="1"/>
  <c r="A276" i="2" s="1"/>
  <c r="A277" i="2" s="1"/>
  <c r="A278" i="2" s="1"/>
  <c r="A279" i="2" s="1"/>
  <c r="A280" i="2" s="1"/>
  <c r="A281" i="2" s="1"/>
  <c r="A282" i="2" s="1"/>
  <c r="A283" i="2" s="1"/>
  <c r="A284" i="2" s="1"/>
  <c r="C271" i="2"/>
  <c r="N271" i="2" s="1"/>
  <c r="C268" i="2"/>
  <c r="N268" i="2" s="1"/>
  <c r="C270" i="2"/>
  <c r="N270" i="2" s="1"/>
  <c r="C269" i="2"/>
  <c r="N269" i="2" s="1"/>
  <c r="C267" i="2"/>
  <c r="N267" i="2" s="1"/>
  <c r="C266" i="2"/>
  <c r="N266" i="2" s="1"/>
  <c r="C263" i="2"/>
  <c r="N263" i="2" s="1"/>
  <c r="C265" i="2"/>
  <c r="N265" i="2" s="1"/>
  <c r="C264" i="2"/>
  <c r="N264" i="2" s="1"/>
  <c r="O264" i="2" s="1"/>
  <c r="F323" i="2"/>
  <c r="F325" i="2"/>
  <c r="F326" i="2"/>
  <c r="F324" i="2"/>
  <c r="F319" i="2"/>
  <c r="F322" i="2"/>
  <c r="F318" i="2"/>
  <c r="F320" i="2"/>
  <c r="F321" i="2"/>
  <c r="O258" i="2" l="1"/>
  <c r="O328" i="2"/>
  <c r="O257" i="2"/>
  <c r="O255" i="2"/>
  <c r="O259" i="2"/>
  <c r="O316" i="2"/>
  <c r="O254" i="2"/>
  <c r="O256" i="2"/>
  <c r="O260" i="2"/>
  <c r="O252" i="2"/>
  <c r="L263" i="2"/>
  <c r="M263" i="2"/>
  <c r="L270" i="2"/>
  <c r="M270" i="2"/>
  <c r="L266" i="2"/>
  <c r="M266" i="2"/>
  <c r="L268" i="2"/>
  <c r="M268" i="2"/>
  <c r="L264" i="2"/>
  <c r="M264" i="2"/>
  <c r="L267" i="2"/>
  <c r="M267" i="2"/>
  <c r="L271" i="2"/>
  <c r="M271" i="2"/>
  <c r="L339" i="2"/>
  <c r="M339" i="2"/>
  <c r="L265" i="2"/>
  <c r="M265" i="2"/>
  <c r="L269" i="2"/>
  <c r="M269" i="2"/>
  <c r="L327" i="2"/>
  <c r="M327" i="2"/>
  <c r="J264" i="2"/>
  <c r="K264" i="2"/>
  <c r="J267" i="2"/>
  <c r="K267" i="2"/>
  <c r="J271" i="2"/>
  <c r="K271" i="2"/>
  <c r="J339" i="2"/>
  <c r="K339" i="2"/>
  <c r="J266" i="2"/>
  <c r="K266" i="2"/>
  <c r="J265" i="2"/>
  <c r="K265" i="2"/>
  <c r="J269" i="2"/>
  <c r="K269" i="2"/>
  <c r="J327" i="2"/>
  <c r="K327" i="2"/>
  <c r="J263" i="2"/>
  <c r="K263" i="2"/>
  <c r="J270" i="2"/>
  <c r="K270" i="2"/>
  <c r="J268" i="2"/>
  <c r="K268" i="2"/>
  <c r="I264" i="2"/>
  <c r="G264" i="2"/>
  <c r="H264" i="2"/>
  <c r="H267" i="2"/>
  <c r="I267" i="2"/>
  <c r="G267" i="2"/>
  <c r="H266" i="2"/>
  <c r="I266" i="2"/>
  <c r="G266" i="2"/>
  <c r="G268" i="2"/>
  <c r="H268" i="2"/>
  <c r="I268" i="2"/>
  <c r="I271" i="2"/>
  <c r="H271" i="2"/>
  <c r="G271" i="2"/>
  <c r="G339" i="2"/>
  <c r="H339" i="2"/>
  <c r="I339" i="2"/>
  <c r="I265" i="2"/>
  <c r="H265" i="2"/>
  <c r="G265" i="2"/>
  <c r="G269" i="2"/>
  <c r="H269" i="2"/>
  <c r="I269" i="2"/>
  <c r="G327" i="2"/>
  <c r="H327" i="2"/>
  <c r="I327" i="2"/>
  <c r="G263" i="2"/>
  <c r="H263" i="2"/>
  <c r="I263" i="2"/>
  <c r="H270" i="2"/>
  <c r="G270" i="2"/>
  <c r="I270" i="2"/>
  <c r="D350" i="2"/>
  <c r="N350" i="2" s="1"/>
  <c r="D338" i="2"/>
  <c r="N338" i="2" s="1"/>
  <c r="D331" i="2"/>
  <c r="D332" i="2"/>
  <c r="D334" i="2"/>
  <c r="D330" i="2"/>
  <c r="D329" i="2"/>
  <c r="D335" i="2"/>
  <c r="D333" i="2"/>
  <c r="D336" i="2"/>
  <c r="D337" i="2"/>
  <c r="F284" i="2"/>
  <c r="A285" i="2"/>
  <c r="A286" i="2" s="1"/>
  <c r="A287" i="2" s="1"/>
  <c r="A288" i="2" s="1"/>
  <c r="A289" i="2" s="1"/>
  <c r="A290" i="2" s="1"/>
  <c r="A291" i="2" s="1"/>
  <c r="A292" i="2" s="1"/>
  <c r="A293" i="2" s="1"/>
  <c r="A294" i="2" s="1"/>
  <c r="A295" i="2" s="1"/>
  <c r="C274" i="2"/>
  <c r="N274" i="2" s="1"/>
  <c r="C279" i="2"/>
  <c r="N279" i="2" s="1"/>
  <c r="C281" i="2"/>
  <c r="N281" i="2" s="1"/>
  <c r="C275" i="2"/>
  <c r="N275" i="2" s="1"/>
  <c r="C280" i="2"/>
  <c r="N280" i="2" s="1"/>
  <c r="C282" i="2"/>
  <c r="N282" i="2" s="1"/>
  <c r="C278" i="2"/>
  <c r="N278" i="2" s="1"/>
  <c r="C277" i="2"/>
  <c r="N277" i="2" s="1"/>
  <c r="C276" i="2"/>
  <c r="N276" i="2" s="1"/>
  <c r="F331" i="2"/>
  <c r="F332" i="2"/>
  <c r="F329" i="2"/>
  <c r="F337" i="2"/>
  <c r="F336" i="2"/>
  <c r="F330" i="2"/>
  <c r="F334" i="2"/>
  <c r="F335" i="2"/>
  <c r="F333" i="2"/>
  <c r="O271" i="2" l="1"/>
  <c r="O263" i="2"/>
  <c r="O339" i="2"/>
  <c r="O269" i="2"/>
  <c r="O268" i="2"/>
  <c r="O267" i="2"/>
  <c r="O327" i="2"/>
  <c r="O265" i="2"/>
  <c r="O266" i="2"/>
  <c r="O270" i="2"/>
  <c r="L282" i="2"/>
  <c r="M282" i="2"/>
  <c r="L279" i="2"/>
  <c r="M279" i="2"/>
  <c r="L280" i="2"/>
  <c r="M280" i="2"/>
  <c r="L278" i="2"/>
  <c r="M278" i="2"/>
  <c r="L281" i="2"/>
  <c r="M281" i="2"/>
  <c r="L276" i="2"/>
  <c r="M276" i="2"/>
  <c r="L274" i="2"/>
  <c r="M274" i="2"/>
  <c r="L338" i="2"/>
  <c r="M338" i="2"/>
  <c r="L277" i="2"/>
  <c r="M277" i="2"/>
  <c r="L275" i="2"/>
  <c r="M275" i="2"/>
  <c r="L350" i="2"/>
  <c r="M350" i="2"/>
  <c r="J276" i="2"/>
  <c r="K276" i="2"/>
  <c r="J280" i="2"/>
  <c r="K280" i="2"/>
  <c r="J274" i="2"/>
  <c r="K274" i="2"/>
  <c r="J350" i="2"/>
  <c r="K350" i="2"/>
  <c r="J338" i="2"/>
  <c r="K338" i="2"/>
  <c r="J277" i="2"/>
  <c r="K277" i="2"/>
  <c r="J275" i="2"/>
  <c r="K275" i="2"/>
  <c r="J278" i="2"/>
  <c r="K278" i="2"/>
  <c r="J281" i="2"/>
  <c r="K281" i="2"/>
  <c r="J282" i="2"/>
  <c r="K282" i="2"/>
  <c r="J279" i="2"/>
  <c r="K279" i="2"/>
  <c r="G277" i="2"/>
  <c r="H277" i="2"/>
  <c r="I277" i="2"/>
  <c r="H275" i="2"/>
  <c r="I275" i="2"/>
  <c r="G275" i="2"/>
  <c r="G350" i="2"/>
  <c r="H350" i="2"/>
  <c r="I350" i="2"/>
  <c r="G282" i="2"/>
  <c r="H282" i="2"/>
  <c r="I282" i="2"/>
  <c r="I279" i="2"/>
  <c r="G279" i="2"/>
  <c r="H279" i="2"/>
  <c r="G276" i="2"/>
  <c r="H276" i="2"/>
  <c r="I276" i="2"/>
  <c r="H280" i="2"/>
  <c r="I280" i="2"/>
  <c r="G280" i="2"/>
  <c r="G274" i="2"/>
  <c r="H274" i="2"/>
  <c r="I274" i="2"/>
  <c r="G338" i="2"/>
  <c r="H338" i="2"/>
  <c r="I338" i="2"/>
  <c r="G278" i="2"/>
  <c r="H278" i="2"/>
  <c r="I278" i="2"/>
  <c r="I281" i="2"/>
  <c r="G281" i="2"/>
  <c r="H281" i="2"/>
  <c r="D349" i="2"/>
  <c r="N349" i="2" s="1"/>
  <c r="D361" i="2"/>
  <c r="N361" i="2" s="1"/>
  <c r="D343" i="2"/>
  <c r="D346" i="2"/>
  <c r="D345" i="2"/>
  <c r="D340" i="2"/>
  <c r="D342" i="2"/>
  <c r="D344" i="2"/>
  <c r="D341" i="2"/>
  <c r="D347" i="2"/>
  <c r="D348" i="2"/>
  <c r="F295" i="2"/>
  <c r="A296" i="2"/>
  <c r="A297" i="2" s="1"/>
  <c r="A298" i="2" s="1"/>
  <c r="A299" i="2" s="1"/>
  <c r="A300" i="2" s="1"/>
  <c r="A301" i="2" s="1"/>
  <c r="A302" i="2" s="1"/>
  <c r="A303" i="2" s="1"/>
  <c r="A304" i="2" s="1"/>
  <c r="A305" i="2" s="1"/>
  <c r="A306" i="2" s="1"/>
  <c r="C292" i="2"/>
  <c r="N292" i="2" s="1"/>
  <c r="C287" i="2"/>
  <c r="N287" i="2" s="1"/>
  <c r="C293" i="2"/>
  <c r="N293" i="2" s="1"/>
  <c r="C291" i="2"/>
  <c r="N291" i="2" s="1"/>
  <c r="C288" i="2"/>
  <c r="N288" i="2" s="1"/>
  <c r="C286" i="2"/>
  <c r="N286" i="2" s="1"/>
  <c r="C290" i="2"/>
  <c r="N290" i="2" s="1"/>
  <c r="C289" i="2"/>
  <c r="N289" i="2" s="1"/>
  <c r="C285" i="2"/>
  <c r="N285" i="2" s="1"/>
  <c r="F347" i="2"/>
  <c r="F346" i="2"/>
  <c r="F341" i="2"/>
  <c r="F340" i="2"/>
  <c r="F345" i="2"/>
  <c r="F344" i="2"/>
  <c r="F342" i="2"/>
  <c r="F348" i="2"/>
  <c r="F343" i="2"/>
  <c r="O280" i="2" l="1"/>
  <c r="O338" i="2"/>
  <c r="O277" i="2"/>
  <c r="O281" i="2"/>
  <c r="O278" i="2"/>
  <c r="O276" i="2"/>
  <c r="O350" i="2"/>
  <c r="O274" i="2"/>
  <c r="O279" i="2"/>
  <c r="O282" i="2"/>
  <c r="O275" i="2"/>
  <c r="L290" i="2"/>
  <c r="M290" i="2"/>
  <c r="L293" i="2"/>
  <c r="M293" i="2"/>
  <c r="L286" i="2"/>
  <c r="M286" i="2"/>
  <c r="L287" i="2"/>
  <c r="M287" i="2"/>
  <c r="L285" i="2"/>
  <c r="M285" i="2"/>
  <c r="L288" i="2"/>
  <c r="M288" i="2"/>
  <c r="L292" i="2"/>
  <c r="M292" i="2"/>
  <c r="L361" i="2"/>
  <c r="M361" i="2"/>
  <c r="L289" i="2"/>
  <c r="M289" i="2"/>
  <c r="L291" i="2"/>
  <c r="M291" i="2"/>
  <c r="L349" i="2"/>
  <c r="M349" i="2"/>
  <c r="J285" i="2"/>
  <c r="K285" i="2"/>
  <c r="J288" i="2"/>
  <c r="K288" i="2"/>
  <c r="J292" i="2"/>
  <c r="K292" i="2"/>
  <c r="J361" i="2"/>
  <c r="K361" i="2"/>
  <c r="J289" i="2"/>
  <c r="K289" i="2"/>
  <c r="J291" i="2"/>
  <c r="K291" i="2"/>
  <c r="J349" i="2"/>
  <c r="K349" i="2"/>
  <c r="J290" i="2"/>
  <c r="K290" i="2"/>
  <c r="J293" i="2"/>
  <c r="K293" i="2"/>
  <c r="J286" i="2"/>
  <c r="K286" i="2"/>
  <c r="J287" i="2"/>
  <c r="K287" i="2"/>
  <c r="I290" i="2"/>
  <c r="G290" i="2"/>
  <c r="H290" i="2"/>
  <c r="H293" i="2"/>
  <c r="I293" i="2"/>
  <c r="G293" i="2"/>
  <c r="G285" i="2"/>
  <c r="H285" i="2"/>
  <c r="I285" i="2"/>
  <c r="G288" i="2"/>
  <c r="H288" i="2"/>
  <c r="I288" i="2"/>
  <c r="I292" i="2"/>
  <c r="G292" i="2"/>
  <c r="H292" i="2"/>
  <c r="G361" i="2"/>
  <c r="H361" i="2"/>
  <c r="I361" i="2"/>
  <c r="I286" i="2"/>
  <c r="G286" i="2"/>
  <c r="H286" i="2"/>
  <c r="G287" i="2"/>
  <c r="H287" i="2"/>
  <c r="I287" i="2"/>
  <c r="G289" i="2"/>
  <c r="H289" i="2"/>
  <c r="I289" i="2"/>
  <c r="G291" i="2"/>
  <c r="H291" i="2"/>
  <c r="I291" i="2"/>
  <c r="G349" i="2"/>
  <c r="H349" i="2"/>
  <c r="I349" i="2"/>
  <c r="D372" i="2"/>
  <c r="N372" i="2" s="1"/>
  <c r="D360" i="2"/>
  <c r="N360" i="2" s="1"/>
  <c r="D353" i="2"/>
  <c r="D354" i="2"/>
  <c r="D352" i="2"/>
  <c r="D351" i="2"/>
  <c r="D355" i="2"/>
  <c r="D359" i="2"/>
  <c r="D357" i="2"/>
  <c r="D358" i="2"/>
  <c r="D356" i="2"/>
  <c r="F306" i="2"/>
  <c r="A307" i="2"/>
  <c r="A308" i="2" s="1"/>
  <c r="A309" i="2" s="1"/>
  <c r="A310" i="2" s="1"/>
  <c r="A311" i="2" s="1"/>
  <c r="A312" i="2" s="1"/>
  <c r="A313" i="2" s="1"/>
  <c r="A314" i="2" s="1"/>
  <c r="A315" i="2" s="1"/>
  <c r="A316" i="2" s="1"/>
  <c r="A317" i="2" s="1"/>
  <c r="C304" i="2"/>
  <c r="N304" i="2" s="1"/>
  <c r="C301" i="2"/>
  <c r="N301" i="2" s="1"/>
  <c r="C300" i="2"/>
  <c r="N300" i="2" s="1"/>
  <c r="C299" i="2"/>
  <c r="N299" i="2" s="1"/>
  <c r="C303" i="2"/>
  <c r="N303" i="2" s="1"/>
  <c r="C302" i="2"/>
  <c r="N302" i="2" s="1"/>
  <c r="C298" i="2"/>
  <c r="N298" i="2" s="1"/>
  <c r="C297" i="2"/>
  <c r="N297" i="2" s="1"/>
  <c r="C296" i="2"/>
  <c r="N296" i="2" s="1"/>
  <c r="F355" i="2"/>
  <c r="F352" i="2"/>
  <c r="F357" i="2"/>
  <c r="F359" i="2"/>
  <c r="F354" i="2"/>
  <c r="F358" i="2"/>
  <c r="F353" i="2"/>
  <c r="F356" i="2"/>
  <c r="F351" i="2"/>
  <c r="O287" i="2" l="1"/>
  <c r="O288" i="2"/>
  <c r="O292" i="2"/>
  <c r="O293" i="2"/>
  <c r="O291" i="2"/>
  <c r="O286" i="2"/>
  <c r="O361" i="2"/>
  <c r="O349" i="2"/>
  <c r="O285" i="2"/>
  <c r="O290" i="2"/>
  <c r="O289" i="2"/>
  <c r="L360" i="2"/>
  <c r="M360" i="2"/>
  <c r="L296" i="2"/>
  <c r="M296" i="2"/>
  <c r="L303" i="2"/>
  <c r="M303" i="2"/>
  <c r="L304" i="2"/>
  <c r="M304" i="2"/>
  <c r="L297" i="2"/>
  <c r="M297" i="2"/>
  <c r="L299" i="2"/>
  <c r="M299" i="2"/>
  <c r="L372" i="2"/>
  <c r="M372" i="2"/>
  <c r="L302" i="2"/>
  <c r="M302" i="2"/>
  <c r="L301" i="2"/>
  <c r="M301" i="2"/>
  <c r="L298" i="2"/>
  <c r="M298" i="2"/>
  <c r="L300" i="2"/>
  <c r="M300" i="2"/>
  <c r="J303" i="2"/>
  <c r="K303" i="2"/>
  <c r="J360" i="2"/>
  <c r="K360" i="2"/>
  <c r="J297" i="2"/>
  <c r="K297" i="2"/>
  <c r="J299" i="2"/>
  <c r="K299" i="2"/>
  <c r="J372" i="2"/>
  <c r="K372" i="2"/>
  <c r="J296" i="2"/>
  <c r="K296" i="2"/>
  <c r="J304" i="2"/>
  <c r="K304" i="2"/>
  <c r="J298" i="2"/>
  <c r="K298" i="2"/>
  <c r="J300" i="2"/>
  <c r="K300" i="2"/>
  <c r="J302" i="2"/>
  <c r="K302" i="2"/>
  <c r="J301" i="2"/>
  <c r="K301" i="2"/>
  <c r="G298" i="2"/>
  <c r="H298" i="2"/>
  <c r="I298" i="2"/>
  <c r="G300" i="2"/>
  <c r="H300" i="2"/>
  <c r="I300" i="2"/>
  <c r="H296" i="2"/>
  <c r="I296" i="2"/>
  <c r="G296" i="2"/>
  <c r="I303" i="2"/>
  <c r="G303" i="2"/>
  <c r="H303" i="2"/>
  <c r="G304" i="2"/>
  <c r="H304" i="2"/>
  <c r="I304" i="2"/>
  <c r="G360" i="2"/>
  <c r="H360" i="2"/>
  <c r="I360" i="2"/>
  <c r="I302" i="2"/>
  <c r="H302" i="2"/>
  <c r="G302" i="2"/>
  <c r="G301" i="2"/>
  <c r="H301" i="2"/>
  <c r="I301" i="2"/>
  <c r="G297" i="2"/>
  <c r="H297" i="2"/>
  <c r="I297" i="2"/>
  <c r="I299" i="2"/>
  <c r="G299" i="2"/>
  <c r="H299" i="2"/>
  <c r="G372" i="2"/>
  <c r="H372" i="2"/>
  <c r="I372" i="2"/>
  <c r="D383" i="2"/>
  <c r="N383" i="2" s="1"/>
  <c r="D371" i="2"/>
  <c r="N371" i="2" s="1"/>
  <c r="D367" i="2"/>
  <c r="D364" i="2"/>
  <c r="D362" i="2"/>
  <c r="D369" i="2"/>
  <c r="D365" i="2"/>
  <c r="D363" i="2"/>
  <c r="D366" i="2"/>
  <c r="D370" i="2"/>
  <c r="D368" i="2"/>
  <c r="F317" i="2"/>
  <c r="A318" i="2"/>
  <c r="A319" i="2" s="1"/>
  <c r="A320" i="2" s="1"/>
  <c r="A321" i="2" s="1"/>
  <c r="A322" i="2" s="1"/>
  <c r="A323" i="2" s="1"/>
  <c r="A324" i="2" s="1"/>
  <c r="A325" i="2" s="1"/>
  <c r="A326" i="2" s="1"/>
  <c r="A327" i="2" s="1"/>
  <c r="A328" i="2" s="1"/>
  <c r="C312" i="2"/>
  <c r="N312" i="2" s="1"/>
  <c r="C311" i="2"/>
  <c r="N311" i="2" s="1"/>
  <c r="C308" i="2"/>
  <c r="N308" i="2" s="1"/>
  <c r="C310" i="2"/>
  <c r="N310" i="2" s="1"/>
  <c r="C309" i="2"/>
  <c r="N309" i="2" s="1"/>
  <c r="C307" i="2"/>
  <c r="N307" i="2" s="1"/>
  <c r="C313" i="2"/>
  <c r="N313" i="2" s="1"/>
  <c r="C315" i="2"/>
  <c r="N315" i="2" s="1"/>
  <c r="C314" i="2"/>
  <c r="N314" i="2" s="1"/>
  <c r="F365" i="2"/>
  <c r="F363" i="2"/>
  <c r="F369" i="2"/>
  <c r="F368" i="2"/>
  <c r="F362" i="2"/>
  <c r="F367" i="2"/>
  <c r="F364" i="2"/>
  <c r="F366" i="2"/>
  <c r="F370" i="2"/>
  <c r="O372" i="2" l="1"/>
  <c r="O296" i="2"/>
  <c r="O299" i="2"/>
  <c r="O297" i="2"/>
  <c r="O302" i="2"/>
  <c r="O304" i="2"/>
  <c r="O298" i="2"/>
  <c r="O360" i="2"/>
  <c r="O300" i="2"/>
  <c r="O303" i="2"/>
  <c r="O301" i="2"/>
  <c r="L315" i="2"/>
  <c r="M315" i="2"/>
  <c r="L310" i="2"/>
  <c r="M310" i="2"/>
  <c r="L307" i="2"/>
  <c r="M307" i="2"/>
  <c r="L311" i="2"/>
  <c r="M311" i="2"/>
  <c r="L314" i="2"/>
  <c r="M314" i="2"/>
  <c r="L309" i="2"/>
  <c r="M309" i="2"/>
  <c r="L312" i="2"/>
  <c r="M312" i="2"/>
  <c r="L371" i="2"/>
  <c r="M371" i="2"/>
  <c r="L383" i="2"/>
  <c r="M383" i="2"/>
  <c r="L313" i="2"/>
  <c r="M313" i="2"/>
  <c r="L308" i="2"/>
  <c r="M308" i="2"/>
  <c r="J315" i="2"/>
  <c r="K315" i="2"/>
  <c r="J310" i="2"/>
  <c r="K310" i="2"/>
  <c r="J383" i="2"/>
  <c r="K383" i="2"/>
  <c r="J313" i="2"/>
  <c r="K313" i="2"/>
  <c r="J308" i="2"/>
  <c r="K308" i="2"/>
  <c r="J314" i="2"/>
  <c r="K314" i="2"/>
  <c r="J309" i="2"/>
  <c r="K309" i="2"/>
  <c r="J312" i="2"/>
  <c r="K312" i="2"/>
  <c r="J371" i="2"/>
  <c r="K371" i="2"/>
  <c r="J307" i="2"/>
  <c r="K307" i="2"/>
  <c r="J311" i="2"/>
  <c r="K311" i="2"/>
  <c r="I313" i="2"/>
  <c r="H313" i="2"/>
  <c r="G313" i="2"/>
  <c r="G308" i="2"/>
  <c r="H308" i="2"/>
  <c r="I308" i="2"/>
  <c r="I311" i="2"/>
  <c r="G311" i="2"/>
  <c r="H311" i="2"/>
  <c r="I307" i="2"/>
  <c r="H307" i="2"/>
  <c r="G307" i="2"/>
  <c r="G314" i="2"/>
  <c r="H314" i="2"/>
  <c r="I314" i="2"/>
  <c r="G309" i="2"/>
  <c r="H309" i="2"/>
  <c r="I309" i="2"/>
  <c r="G312" i="2"/>
  <c r="H312" i="2"/>
  <c r="I312" i="2"/>
  <c r="G371" i="2"/>
  <c r="H371" i="2"/>
  <c r="I371" i="2"/>
  <c r="G315" i="2"/>
  <c r="H315" i="2"/>
  <c r="I315" i="2"/>
  <c r="H310" i="2"/>
  <c r="I310" i="2"/>
  <c r="G310" i="2"/>
  <c r="G383" i="2"/>
  <c r="H383" i="2"/>
  <c r="I383" i="2"/>
  <c r="D382" i="2"/>
  <c r="N382" i="2" s="1"/>
  <c r="D394" i="2"/>
  <c r="N394" i="2" s="1"/>
  <c r="D377" i="2"/>
  <c r="D378" i="2"/>
  <c r="D374" i="2"/>
  <c r="D373" i="2"/>
  <c r="D376" i="2"/>
  <c r="D379" i="2"/>
  <c r="D381" i="2"/>
  <c r="D380" i="2"/>
  <c r="D375" i="2"/>
  <c r="F328" i="2"/>
  <c r="A329" i="2"/>
  <c r="A330" i="2" s="1"/>
  <c r="A331" i="2" s="1"/>
  <c r="A332" i="2" s="1"/>
  <c r="A333" i="2" s="1"/>
  <c r="A334" i="2" s="1"/>
  <c r="A335" i="2" s="1"/>
  <c r="A336" i="2" s="1"/>
  <c r="A337" i="2" s="1"/>
  <c r="A338" i="2" s="1"/>
  <c r="A339" i="2" s="1"/>
  <c r="C320" i="2"/>
  <c r="N320" i="2" s="1"/>
  <c r="C319" i="2"/>
  <c r="N319" i="2" s="1"/>
  <c r="C321" i="2"/>
  <c r="N321" i="2" s="1"/>
  <c r="C326" i="2"/>
  <c r="N326" i="2" s="1"/>
  <c r="C325" i="2"/>
  <c r="N325" i="2" s="1"/>
  <c r="C324" i="2"/>
  <c r="N324" i="2" s="1"/>
  <c r="C323" i="2"/>
  <c r="N323" i="2" s="1"/>
  <c r="C322" i="2"/>
  <c r="N322" i="2" s="1"/>
  <c r="C318" i="2"/>
  <c r="N318" i="2" s="1"/>
  <c r="F376" i="2"/>
  <c r="F374" i="2"/>
  <c r="F375" i="2"/>
  <c r="F379" i="2"/>
  <c r="F377" i="2"/>
  <c r="F378" i="2"/>
  <c r="F381" i="2"/>
  <c r="F380" i="2"/>
  <c r="F373" i="2"/>
  <c r="O371" i="2" l="1"/>
  <c r="O315" i="2"/>
  <c r="O314" i="2"/>
  <c r="O383" i="2"/>
  <c r="O312" i="2"/>
  <c r="O313" i="2"/>
  <c r="O310" i="2"/>
  <c r="O309" i="2"/>
  <c r="O307" i="2"/>
  <c r="O311" i="2"/>
  <c r="O308" i="2"/>
  <c r="L323" i="2"/>
  <c r="M323" i="2"/>
  <c r="L321" i="2"/>
  <c r="M321" i="2"/>
  <c r="L324" i="2"/>
  <c r="M324" i="2"/>
  <c r="L319" i="2"/>
  <c r="M319" i="2"/>
  <c r="L318" i="2"/>
  <c r="M318" i="2"/>
  <c r="L325" i="2"/>
  <c r="M325" i="2"/>
  <c r="L320" i="2"/>
  <c r="M320" i="2"/>
  <c r="L394" i="2"/>
  <c r="M394" i="2"/>
  <c r="L322" i="2"/>
  <c r="M322" i="2"/>
  <c r="L326" i="2"/>
  <c r="M326" i="2"/>
  <c r="L382" i="2"/>
  <c r="M382" i="2"/>
  <c r="J322" i="2"/>
  <c r="K322" i="2"/>
  <c r="J326" i="2"/>
  <c r="K326" i="2"/>
  <c r="J382" i="2"/>
  <c r="K382" i="2"/>
  <c r="J324" i="2"/>
  <c r="K324" i="2"/>
  <c r="J319" i="2"/>
  <c r="K319" i="2"/>
  <c r="J323" i="2"/>
  <c r="K323" i="2"/>
  <c r="J321" i="2"/>
  <c r="K321" i="2"/>
  <c r="J318" i="2"/>
  <c r="K318" i="2"/>
  <c r="J325" i="2"/>
  <c r="K325" i="2"/>
  <c r="J320" i="2"/>
  <c r="K320" i="2"/>
  <c r="J394" i="2"/>
  <c r="K394" i="2"/>
  <c r="G382" i="2"/>
  <c r="H382" i="2"/>
  <c r="I382" i="2"/>
  <c r="I323" i="2"/>
  <c r="G323" i="2"/>
  <c r="H323" i="2"/>
  <c r="G321" i="2"/>
  <c r="H321" i="2"/>
  <c r="I321" i="2"/>
  <c r="H324" i="2"/>
  <c r="I324" i="2"/>
  <c r="G324" i="2"/>
  <c r="I319" i="2"/>
  <c r="G319" i="2"/>
  <c r="H319" i="2"/>
  <c r="G322" i="2"/>
  <c r="H322" i="2"/>
  <c r="I322" i="2"/>
  <c r="G326" i="2"/>
  <c r="H326" i="2"/>
  <c r="I326" i="2"/>
  <c r="H318" i="2"/>
  <c r="I318" i="2"/>
  <c r="G318" i="2"/>
  <c r="G325" i="2"/>
  <c r="H325" i="2"/>
  <c r="I325" i="2"/>
  <c r="I320" i="2"/>
  <c r="G320" i="2"/>
  <c r="H320" i="2"/>
  <c r="G394" i="2"/>
  <c r="H394" i="2"/>
  <c r="I394" i="2"/>
  <c r="D405" i="2"/>
  <c r="N405" i="2" s="1"/>
  <c r="D393" i="2"/>
  <c r="N393" i="2" s="1"/>
  <c r="D386" i="2"/>
  <c r="D388" i="2"/>
  <c r="D384" i="2"/>
  <c r="D392" i="2"/>
  <c r="D387" i="2"/>
  <c r="D389" i="2"/>
  <c r="D391" i="2"/>
  <c r="D390" i="2"/>
  <c r="D385" i="2"/>
  <c r="F339" i="2"/>
  <c r="A340" i="2"/>
  <c r="A341" i="2" s="1"/>
  <c r="A342" i="2" s="1"/>
  <c r="A343" i="2" s="1"/>
  <c r="A344" i="2" s="1"/>
  <c r="A345" i="2" s="1"/>
  <c r="A346" i="2" s="1"/>
  <c r="A347" i="2" s="1"/>
  <c r="A348" i="2" s="1"/>
  <c r="A349" i="2" s="1"/>
  <c r="A350" i="2" s="1"/>
  <c r="C332" i="2"/>
  <c r="N332" i="2" s="1"/>
  <c r="C331" i="2"/>
  <c r="N331" i="2" s="1"/>
  <c r="C337" i="2"/>
  <c r="N337" i="2" s="1"/>
  <c r="C330" i="2"/>
  <c r="N330" i="2" s="1"/>
  <c r="C329" i="2"/>
  <c r="N329" i="2" s="1"/>
  <c r="C333" i="2"/>
  <c r="N333" i="2" s="1"/>
  <c r="C336" i="2"/>
  <c r="N336" i="2" s="1"/>
  <c r="C334" i="2"/>
  <c r="N334" i="2" s="1"/>
  <c r="C335" i="2"/>
  <c r="N335" i="2" s="1"/>
  <c r="F385" i="2"/>
  <c r="F390" i="2"/>
  <c r="F387" i="2"/>
  <c r="F391" i="2"/>
  <c r="F384" i="2"/>
  <c r="F386" i="2"/>
  <c r="F389" i="2"/>
  <c r="F392" i="2"/>
  <c r="F388" i="2"/>
  <c r="O325" i="2" l="1"/>
  <c r="O323" i="2"/>
  <c r="O320" i="2"/>
  <c r="O382" i="2"/>
  <c r="O318" i="2"/>
  <c r="O322" i="2"/>
  <c r="O324" i="2"/>
  <c r="O394" i="2"/>
  <c r="O326" i="2"/>
  <c r="O321" i="2"/>
  <c r="O319" i="2"/>
  <c r="L333" i="2"/>
  <c r="M333" i="2"/>
  <c r="L331" i="2"/>
  <c r="M331" i="2"/>
  <c r="L335" i="2"/>
  <c r="M335" i="2"/>
  <c r="L329" i="2"/>
  <c r="M329" i="2"/>
  <c r="L332" i="2"/>
  <c r="M332" i="2"/>
  <c r="L393" i="2"/>
  <c r="M393" i="2"/>
  <c r="L336" i="2"/>
  <c r="M336" i="2"/>
  <c r="L337" i="2"/>
  <c r="M337" i="2"/>
  <c r="L334" i="2"/>
  <c r="M334" i="2"/>
  <c r="L330" i="2"/>
  <c r="M330" i="2"/>
  <c r="L405" i="2"/>
  <c r="M405" i="2"/>
  <c r="J405" i="2"/>
  <c r="K405" i="2"/>
  <c r="J330" i="2"/>
  <c r="K330" i="2"/>
  <c r="J336" i="2"/>
  <c r="K336" i="2"/>
  <c r="J337" i="2"/>
  <c r="K337" i="2"/>
  <c r="J334" i="2"/>
  <c r="K334" i="2"/>
  <c r="J333" i="2"/>
  <c r="K333" i="2"/>
  <c r="J331" i="2"/>
  <c r="K331" i="2"/>
  <c r="J335" i="2"/>
  <c r="K335" i="2"/>
  <c r="J329" i="2"/>
  <c r="K329" i="2"/>
  <c r="J332" i="2"/>
  <c r="K332" i="2"/>
  <c r="J393" i="2"/>
  <c r="K393" i="2"/>
  <c r="G333" i="2"/>
  <c r="H333" i="2"/>
  <c r="I333" i="2"/>
  <c r="I331" i="2"/>
  <c r="G331" i="2"/>
  <c r="H331" i="2"/>
  <c r="H336" i="2"/>
  <c r="I336" i="2"/>
  <c r="G336" i="2"/>
  <c r="I337" i="2"/>
  <c r="G337" i="2"/>
  <c r="H337" i="2"/>
  <c r="G335" i="2"/>
  <c r="H335" i="2"/>
  <c r="I335" i="2"/>
  <c r="G329" i="2"/>
  <c r="H329" i="2"/>
  <c r="I329" i="2"/>
  <c r="I332" i="2"/>
  <c r="G332" i="2"/>
  <c r="H332" i="2"/>
  <c r="G393" i="2"/>
  <c r="H393" i="2"/>
  <c r="I393" i="2"/>
  <c r="H334" i="2"/>
  <c r="I334" i="2"/>
  <c r="G334" i="2"/>
  <c r="H330" i="2"/>
  <c r="G330" i="2"/>
  <c r="I330" i="2"/>
  <c r="G405" i="2"/>
  <c r="H405" i="2"/>
  <c r="I405" i="2"/>
  <c r="D404" i="2"/>
  <c r="N404" i="2" s="1"/>
  <c r="D416" i="2"/>
  <c r="N416" i="2" s="1"/>
  <c r="D396" i="2"/>
  <c r="D395" i="2"/>
  <c r="D401" i="2"/>
  <c r="D397" i="2"/>
  <c r="D402" i="2"/>
  <c r="D400" i="2"/>
  <c r="D399" i="2"/>
  <c r="D398" i="2"/>
  <c r="D403" i="2"/>
  <c r="F350" i="2"/>
  <c r="A351" i="2"/>
  <c r="A352" i="2" s="1"/>
  <c r="A353" i="2" s="1"/>
  <c r="A354" i="2" s="1"/>
  <c r="A355" i="2" s="1"/>
  <c r="A356" i="2" s="1"/>
  <c r="A357" i="2" s="1"/>
  <c r="A358" i="2" s="1"/>
  <c r="A359" i="2" s="1"/>
  <c r="A360" i="2" s="1"/>
  <c r="A361" i="2" s="1"/>
  <c r="C344" i="2"/>
  <c r="N344" i="2" s="1"/>
  <c r="C341" i="2"/>
  <c r="N341" i="2" s="1"/>
  <c r="C346" i="2"/>
  <c r="N346" i="2" s="1"/>
  <c r="C348" i="2"/>
  <c r="N348" i="2" s="1"/>
  <c r="C347" i="2"/>
  <c r="N347" i="2" s="1"/>
  <c r="C340" i="2"/>
  <c r="N340" i="2" s="1"/>
  <c r="C345" i="2"/>
  <c r="N345" i="2" s="1"/>
  <c r="C343" i="2"/>
  <c r="N343" i="2" s="1"/>
  <c r="C342" i="2"/>
  <c r="N342" i="2" s="1"/>
  <c r="F397" i="2"/>
  <c r="F395" i="2"/>
  <c r="F398" i="2"/>
  <c r="F399" i="2"/>
  <c r="F400" i="2"/>
  <c r="F402" i="2"/>
  <c r="F396" i="2"/>
  <c r="F401" i="2"/>
  <c r="F403" i="2"/>
  <c r="O335" i="2" l="1"/>
  <c r="O336" i="2"/>
  <c r="O331" i="2"/>
  <c r="O333" i="2"/>
  <c r="O330" i="2"/>
  <c r="O393" i="2"/>
  <c r="O332" i="2"/>
  <c r="O329" i="2"/>
  <c r="O405" i="2"/>
  <c r="O334" i="2"/>
  <c r="O337" i="2"/>
  <c r="L342" i="2"/>
  <c r="M342" i="2"/>
  <c r="L347" i="2"/>
  <c r="M347" i="2"/>
  <c r="L344" i="2"/>
  <c r="M344" i="2"/>
  <c r="L416" i="2"/>
  <c r="M416" i="2"/>
  <c r="L343" i="2"/>
  <c r="M343" i="2"/>
  <c r="L348" i="2"/>
  <c r="M348" i="2"/>
  <c r="L340" i="2"/>
  <c r="M340" i="2"/>
  <c r="L341" i="2"/>
  <c r="M341" i="2"/>
  <c r="L404" i="2"/>
  <c r="M404" i="2"/>
  <c r="L345" i="2"/>
  <c r="M345" i="2"/>
  <c r="L346" i="2"/>
  <c r="M346" i="2"/>
  <c r="J343" i="2"/>
  <c r="K343" i="2"/>
  <c r="J348" i="2"/>
  <c r="K348" i="2"/>
  <c r="J404" i="2"/>
  <c r="K404" i="2"/>
  <c r="J345" i="2"/>
  <c r="K345" i="2"/>
  <c r="J346" i="2"/>
  <c r="K346" i="2"/>
  <c r="J340" i="2"/>
  <c r="K340" i="2"/>
  <c r="J341" i="2"/>
  <c r="K341" i="2"/>
  <c r="J342" i="2"/>
  <c r="K342" i="2"/>
  <c r="J347" i="2"/>
  <c r="K347" i="2"/>
  <c r="J344" i="2"/>
  <c r="K344" i="2"/>
  <c r="J416" i="2"/>
  <c r="K416" i="2"/>
  <c r="G345" i="2"/>
  <c r="H345" i="2"/>
  <c r="I345" i="2"/>
  <c r="H346" i="2"/>
  <c r="I346" i="2"/>
  <c r="G346" i="2"/>
  <c r="G342" i="2"/>
  <c r="H342" i="2"/>
  <c r="I342" i="2"/>
  <c r="G347" i="2"/>
  <c r="H347" i="2"/>
  <c r="I347" i="2"/>
  <c r="G344" i="2"/>
  <c r="H344" i="2"/>
  <c r="I344" i="2"/>
  <c r="G416" i="2"/>
  <c r="H416" i="2"/>
  <c r="I416" i="2"/>
  <c r="I340" i="2"/>
  <c r="G340" i="2"/>
  <c r="H340" i="2"/>
  <c r="I341" i="2"/>
  <c r="G341" i="2"/>
  <c r="H341" i="2"/>
  <c r="G343" i="2"/>
  <c r="H343" i="2"/>
  <c r="I343" i="2"/>
  <c r="I348" i="2"/>
  <c r="G348" i="2"/>
  <c r="H348" i="2"/>
  <c r="G404" i="2"/>
  <c r="H404" i="2"/>
  <c r="I404" i="2"/>
  <c r="D415" i="2"/>
  <c r="N415" i="2" s="1"/>
  <c r="D427" i="2"/>
  <c r="N427" i="2" s="1"/>
  <c r="D414" i="2"/>
  <c r="D407" i="2"/>
  <c r="D411" i="2"/>
  <c r="D409" i="2"/>
  <c r="D406" i="2"/>
  <c r="D410" i="2"/>
  <c r="D413" i="2"/>
  <c r="D408" i="2"/>
  <c r="D412" i="2"/>
  <c r="F361" i="2"/>
  <c r="A362" i="2"/>
  <c r="A363" i="2" s="1"/>
  <c r="A364" i="2" s="1"/>
  <c r="A365" i="2" s="1"/>
  <c r="A366" i="2" s="1"/>
  <c r="A367" i="2" s="1"/>
  <c r="A368" i="2" s="1"/>
  <c r="A369" i="2" s="1"/>
  <c r="A370" i="2" s="1"/>
  <c r="A371" i="2" s="1"/>
  <c r="A372" i="2" s="1"/>
  <c r="C352" i="2"/>
  <c r="N352" i="2" s="1"/>
  <c r="C351" i="2"/>
  <c r="N351" i="2" s="1"/>
  <c r="C359" i="2"/>
  <c r="N359" i="2" s="1"/>
  <c r="C358" i="2"/>
  <c r="N358" i="2" s="1"/>
  <c r="C353" i="2"/>
  <c r="N353" i="2" s="1"/>
  <c r="C357" i="2"/>
  <c r="N357" i="2" s="1"/>
  <c r="C356" i="2"/>
  <c r="N356" i="2" s="1"/>
  <c r="C355" i="2"/>
  <c r="N355" i="2" s="1"/>
  <c r="C354" i="2"/>
  <c r="N354" i="2" s="1"/>
  <c r="F411" i="2"/>
  <c r="F409" i="2"/>
  <c r="F408" i="2"/>
  <c r="F412" i="2"/>
  <c r="F414" i="2"/>
  <c r="F407" i="2"/>
  <c r="F410" i="2"/>
  <c r="F406" i="2"/>
  <c r="F413" i="2"/>
  <c r="A245" i="1"/>
  <c r="O341" i="2" l="1"/>
  <c r="O404" i="2"/>
  <c r="O342" i="2"/>
  <c r="O347" i="2"/>
  <c r="O346" i="2"/>
  <c r="O348" i="2"/>
  <c r="O343" i="2"/>
  <c r="O344" i="2"/>
  <c r="O345" i="2"/>
  <c r="O340" i="2"/>
  <c r="O416" i="2"/>
  <c r="L357" i="2"/>
  <c r="M357" i="2"/>
  <c r="L351" i="2"/>
  <c r="M351" i="2"/>
  <c r="L355" i="2"/>
  <c r="M355" i="2"/>
  <c r="L358" i="2"/>
  <c r="M358" i="2"/>
  <c r="L415" i="2"/>
  <c r="M415" i="2"/>
  <c r="L356" i="2"/>
  <c r="M356" i="2"/>
  <c r="L359" i="2"/>
  <c r="M359" i="2"/>
  <c r="L354" i="2"/>
  <c r="M354" i="2"/>
  <c r="L353" i="2"/>
  <c r="M353" i="2"/>
  <c r="L352" i="2"/>
  <c r="M352" i="2"/>
  <c r="L427" i="2"/>
  <c r="M427" i="2"/>
  <c r="J355" i="2"/>
  <c r="K355" i="2"/>
  <c r="J358" i="2"/>
  <c r="K358" i="2"/>
  <c r="J415" i="2"/>
  <c r="K415" i="2"/>
  <c r="J356" i="2"/>
  <c r="K356" i="2"/>
  <c r="J359" i="2"/>
  <c r="K359" i="2"/>
  <c r="J357" i="2"/>
  <c r="K357" i="2"/>
  <c r="J351" i="2"/>
  <c r="K351" i="2"/>
  <c r="J354" i="2"/>
  <c r="K354" i="2"/>
  <c r="J353" i="2"/>
  <c r="K353" i="2"/>
  <c r="J352" i="2"/>
  <c r="K352" i="2"/>
  <c r="J427" i="2"/>
  <c r="K427" i="2"/>
  <c r="G415" i="2"/>
  <c r="H415" i="2"/>
  <c r="I415" i="2"/>
  <c r="I356" i="2"/>
  <c r="G356" i="2"/>
  <c r="H356" i="2"/>
  <c r="G359" i="2"/>
  <c r="H359" i="2"/>
  <c r="I359" i="2"/>
  <c r="I354" i="2"/>
  <c r="G354" i="2"/>
  <c r="H354" i="2"/>
  <c r="G353" i="2"/>
  <c r="H353" i="2"/>
  <c r="I353" i="2"/>
  <c r="G352" i="2"/>
  <c r="H352" i="2"/>
  <c r="I352" i="2"/>
  <c r="G427" i="2"/>
  <c r="H427" i="2"/>
  <c r="I427" i="2"/>
  <c r="I357" i="2"/>
  <c r="G357" i="2"/>
  <c r="H357" i="2"/>
  <c r="I351" i="2"/>
  <c r="G351" i="2"/>
  <c r="H351" i="2"/>
  <c r="G355" i="2"/>
  <c r="H355" i="2"/>
  <c r="I355" i="2"/>
  <c r="G358" i="2"/>
  <c r="I358" i="2"/>
  <c r="H358" i="2"/>
  <c r="D438" i="2"/>
  <c r="N438" i="2" s="1"/>
  <c r="D426" i="2"/>
  <c r="N426" i="2" s="1"/>
  <c r="D417" i="2"/>
  <c r="D422" i="2"/>
  <c r="D425" i="2"/>
  <c r="D419" i="2"/>
  <c r="D421" i="2"/>
  <c r="D418" i="2"/>
  <c r="D423" i="2"/>
  <c r="D420" i="2"/>
  <c r="D424" i="2"/>
  <c r="F372" i="2"/>
  <c r="A373" i="2"/>
  <c r="A374" i="2" s="1"/>
  <c r="A375" i="2" s="1"/>
  <c r="A376" i="2" s="1"/>
  <c r="A377" i="2" s="1"/>
  <c r="A378" i="2" s="1"/>
  <c r="A379" i="2" s="1"/>
  <c r="A380" i="2" s="1"/>
  <c r="A381" i="2" s="1"/>
  <c r="A382" i="2" s="1"/>
  <c r="A383" i="2" s="1"/>
  <c r="C370" i="2"/>
  <c r="N370" i="2" s="1"/>
  <c r="C369" i="2"/>
  <c r="N369" i="2" s="1"/>
  <c r="C366" i="2"/>
  <c r="N366" i="2" s="1"/>
  <c r="C368" i="2"/>
  <c r="N368" i="2" s="1"/>
  <c r="C367" i="2"/>
  <c r="N367" i="2" s="1"/>
  <c r="C365" i="2"/>
  <c r="N365" i="2" s="1"/>
  <c r="C364" i="2"/>
  <c r="N364" i="2" s="1"/>
  <c r="C363" i="2"/>
  <c r="N363" i="2" s="1"/>
  <c r="C362" i="2"/>
  <c r="N362" i="2" s="1"/>
  <c r="F424" i="2"/>
  <c r="F418" i="2"/>
  <c r="F419" i="2"/>
  <c r="F425" i="2"/>
  <c r="F417" i="2"/>
  <c r="A246" i="1"/>
  <c r="F421" i="2"/>
  <c r="F423" i="2"/>
  <c r="F422" i="2"/>
  <c r="F420" i="2"/>
  <c r="O351" i="2" l="1"/>
  <c r="O353" i="2"/>
  <c r="O356" i="2"/>
  <c r="O355" i="2"/>
  <c r="O352" i="2"/>
  <c r="O358" i="2"/>
  <c r="O357" i="2"/>
  <c r="O427" i="2"/>
  <c r="O354" i="2"/>
  <c r="O359" i="2"/>
  <c r="O415" i="2"/>
  <c r="L364" i="2"/>
  <c r="M364" i="2"/>
  <c r="L366" i="2"/>
  <c r="M366" i="2"/>
  <c r="L365" i="2"/>
  <c r="M365" i="2"/>
  <c r="L369" i="2"/>
  <c r="M369" i="2"/>
  <c r="L426" i="2"/>
  <c r="M426" i="2"/>
  <c r="L363" i="2"/>
  <c r="M363" i="2"/>
  <c r="L368" i="2"/>
  <c r="M368" i="2"/>
  <c r="L362" i="2"/>
  <c r="M362" i="2"/>
  <c r="L367" i="2"/>
  <c r="M367" i="2"/>
  <c r="L370" i="2"/>
  <c r="M370" i="2"/>
  <c r="L438" i="2"/>
  <c r="M438" i="2"/>
  <c r="J363" i="2"/>
  <c r="K363" i="2"/>
  <c r="J368" i="2"/>
  <c r="K368" i="2"/>
  <c r="J438" i="2"/>
  <c r="K438" i="2"/>
  <c r="J365" i="2"/>
  <c r="K365" i="2"/>
  <c r="J369" i="2"/>
  <c r="K369" i="2"/>
  <c r="J364" i="2"/>
  <c r="K364" i="2"/>
  <c r="J366" i="2"/>
  <c r="K366" i="2"/>
  <c r="J362" i="2"/>
  <c r="K362" i="2"/>
  <c r="J367" i="2"/>
  <c r="K367" i="2"/>
  <c r="J370" i="2"/>
  <c r="K370" i="2"/>
  <c r="J426" i="2"/>
  <c r="K426" i="2"/>
  <c r="G364" i="2"/>
  <c r="H364" i="2"/>
  <c r="I364" i="2"/>
  <c r="G366" i="2"/>
  <c r="H366" i="2"/>
  <c r="I366" i="2"/>
  <c r="G365" i="2"/>
  <c r="H365" i="2"/>
  <c r="I365" i="2"/>
  <c r="I369" i="2"/>
  <c r="G369" i="2"/>
  <c r="H369" i="2"/>
  <c r="H362" i="2"/>
  <c r="I362" i="2"/>
  <c r="G362" i="2"/>
  <c r="G367" i="2"/>
  <c r="H367" i="2"/>
  <c r="I367" i="2"/>
  <c r="G370" i="2"/>
  <c r="H370" i="2"/>
  <c r="I370" i="2"/>
  <c r="G426" i="2"/>
  <c r="H426" i="2"/>
  <c r="I426" i="2"/>
  <c r="I363" i="2"/>
  <c r="G363" i="2"/>
  <c r="H363" i="2"/>
  <c r="I368" i="2"/>
  <c r="G368" i="2"/>
  <c r="H368" i="2"/>
  <c r="G438" i="2"/>
  <c r="H438" i="2"/>
  <c r="I438" i="2"/>
  <c r="D437" i="2"/>
  <c r="N437" i="2" s="1"/>
  <c r="D449" i="2"/>
  <c r="N449" i="2" s="1"/>
  <c r="D436" i="2"/>
  <c r="D428" i="2"/>
  <c r="D432" i="2"/>
  <c r="D431" i="2"/>
  <c r="D434" i="2"/>
  <c r="D433" i="2"/>
  <c r="D435" i="2"/>
  <c r="D429" i="2"/>
  <c r="D430" i="2"/>
  <c r="F383" i="2"/>
  <c r="A384" i="2"/>
  <c r="A385" i="2" s="1"/>
  <c r="A386" i="2" s="1"/>
  <c r="A387" i="2" s="1"/>
  <c r="A388" i="2" s="1"/>
  <c r="A389" i="2" s="1"/>
  <c r="A390" i="2" s="1"/>
  <c r="A391" i="2" s="1"/>
  <c r="A392" i="2" s="1"/>
  <c r="A393" i="2" s="1"/>
  <c r="A394" i="2" s="1"/>
  <c r="C379" i="2"/>
  <c r="N379" i="2" s="1"/>
  <c r="C377" i="2"/>
  <c r="N377" i="2" s="1"/>
  <c r="C378" i="2"/>
  <c r="N378" i="2" s="1"/>
  <c r="C381" i="2"/>
  <c r="N381" i="2" s="1"/>
  <c r="C380" i="2"/>
  <c r="N380" i="2" s="1"/>
  <c r="C376" i="2"/>
  <c r="N376" i="2" s="1"/>
  <c r="C373" i="2"/>
  <c r="N373" i="2" s="1"/>
  <c r="C375" i="2"/>
  <c r="N375" i="2" s="1"/>
  <c r="C374" i="2"/>
  <c r="N374" i="2" s="1"/>
  <c r="F435" i="2"/>
  <c r="F431" i="2"/>
  <c r="F432" i="2"/>
  <c r="F429" i="2"/>
  <c r="F433" i="2"/>
  <c r="F428" i="2"/>
  <c r="F436" i="2"/>
  <c r="F434" i="2"/>
  <c r="F430" i="2"/>
  <c r="A247" i="1"/>
  <c r="O362" i="2" l="1"/>
  <c r="O367" i="2"/>
  <c r="O366" i="2"/>
  <c r="O438" i="2"/>
  <c r="O370" i="2"/>
  <c r="O369" i="2"/>
  <c r="O365" i="2"/>
  <c r="O363" i="2"/>
  <c r="O426" i="2"/>
  <c r="O368" i="2"/>
  <c r="O364" i="2"/>
  <c r="L376" i="2"/>
  <c r="M376" i="2"/>
  <c r="L377" i="2"/>
  <c r="M377" i="2"/>
  <c r="L375" i="2"/>
  <c r="M375" i="2"/>
  <c r="L381" i="2"/>
  <c r="M381" i="2"/>
  <c r="L374" i="2"/>
  <c r="M374" i="2"/>
  <c r="L380" i="2"/>
  <c r="M380" i="2"/>
  <c r="L379" i="2"/>
  <c r="M379" i="2"/>
  <c r="L449" i="2"/>
  <c r="M449" i="2"/>
  <c r="L437" i="2"/>
  <c r="M437" i="2"/>
  <c r="L373" i="2"/>
  <c r="M373" i="2"/>
  <c r="L378" i="2"/>
  <c r="M378" i="2"/>
  <c r="J376" i="2"/>
  <c r="K376" i="2"/>
  <c r="J377" i="2"/>
  <c r="K377" i="2"/>
  <c r="J375" i="2"/>
  <c r="K375" i="2"/>
  <c r="J381" i="2"/>
  <c r="K381" i="2"/>
  <c r="J437" i="2"/>
  <c r="K437" i="2"/>
  <c r="J373" i="2"/>
  <c r="K373" i="2"/>
  <c r="J378" i="2"/>
  <c r="K378" i="2"/>
  <c r="J374" i="2"/>
  <c r="K374" i="2"/>
  <c r="J380" i="2"/>
  <c r="K380" i="2"/>
  <c r="J379" i="2"/>
  <c r="K379" i="2"/>
  <c r="J449" i="2"/>
  <c r="K449" i="2"/>
  <c r="G376" i="2"/>
  <c r="H376" i="2"/>
  <c r="I376" i="2"/>
  <c r="I377" i="2"/>
  <c r="G377" i="2"/>
  <c r="H377" i="2"/>
  <c r="I375" i="2"/>
  <c r="G375" i="2"/>
  <c r="H375" i="2"/>
  <c r="G381" i="2"/>
  <c r="H381" i="2"/>
  <c r="I381" i="2"/>
  <c r="G437" i="2"/>
  <c r="H437" i="2"/>
  <c r="I437" i="2"/>
  <c r="G373" i="2"/>
  <c r="I373" i="2"/>
  <c r="H373" i="2"/>
  <c r="G378" i="2"/>
  <c r="H378" i="2"/>
  <c r="I378" i="2"/>
  <c r="I374" i="2"/>
  <c r="G374" i="2"/>
  <c r="H374" i="2"/>
  <c r="I380" i="2"/>
  <c r="G380" i="2"/>
  <c r="H380" i="2"/>
  <c r="I379" i="2"/>
  <c r="G379" i="2"/>
  <c r="H379" i="2"/>
  <c r="G449" i="2"/>
  <c r="H449" i="2"/>
  <c r="I449" i="2"/>
  <c r="D460" i="2"/>
  <c r="N460" i="2" s="1"/>
  <c r="D448" i="2"/>
  <c r="N448" i="2" s="1"/>
  <c r="D447" i="2"/>
  <c r="D443" i="2"/>
  <c r="D440" i="2"/>
  <c r="D445" i="2"/>
  <c r="D439" i="2"/>
  <c r="D444" i="2"/>
  <c r="D442" i="2"/>
  <c r="D441" i="2"/>
  <c r="D446" i="2"/>
  <c r="F394" i="2"/>
  <c r="A395" i="2"/>
  <c r="A396" i="2" s="1"/>
  <c r="A397" i="2" s="1"/>
  <c r="A398" i="2" s="1"/>
  <c r="A399" i="2" s="1"/>
  <c r="A400" i="2" s="1"/>
  <c r="A401" i="2" s="1"/>
  <c r="A402" i="2" s="1"/>
  <c r="A403" i="2" s="1"/>
  <c r="A404" i="2" s="1"/>
  <c r="A405" i="2" s="1"/>
  <c r="C390" i="2"/>
  <c r="N390" i="2" s="1"/>
  <c r="C385" i="2"/>
  <c r="N385" i="2" s="1"/>
  <c r="C389" i="2"/>
  <c r="N389" i="2" s="1"/>
  <c r="C386" i="2"/>
  <c r="N386" i="2" s="1"/>
  <c r="C388" i="2"/>
  <c r="N388" i="2" s="1"/>
  <c r="C387" i="2"/>
  <c r="N387" i="2" s="1"/>
  <c r="C384" i="2"/>
  <c r="N384" i="2" s="1"/>
  <c r="C392" i="2"/>
  <c r="N392" i="2" s="1"/>
  <c r="C391" i="2"/>
  <c r="N391" i="2" s="1"/>
  <c r="F443" i="2"/>
  <c r="F445" i="2"/>
  <c r="F446" i="2"/>
  <c r="F444" i="2"/>
  <c r="F442" i="2"/>
  <c r="A248" i="1"/>
  <c r="F447" i="2"/>
  <c r="F441" i="2"/>
  <c r="F439" i="2"/>
  <c r="F440" i="2"/>
  <c r="O379" i="2" l="1"/>
  <c r="O437" i="2"/>
  <c r="O377" i="2"/>
  <c r="O381" i="2"/>
  <c r="O373" i="2"/>
  <c r="O375" i="2"/>
  <c r="O449" i="2"/>
  <c r="O374" i="2"/>
  <c r="O378" i="2"/>
  <c r="O380" i="2"/>
  <c r="O376" i="2"/>
  <c r="L387" i="2"/>
  <c r="M387" i="2"/>
  <c r="L385" i="2"/>
  <c r="M385" i="2"/>
  <c r="L392" i="2"/>
  <c r="M392" i="2"/>
  <c r="L386" i="2"/>
  <c r="M386" i="2"/>
  <c r="L391" i="2"/>
  <c r="M391" i="2"/>
  <c r="L388" i="2"/>
  <c r="M388" i="2"/>
  <c r="L390" i="2"/>
  <c r="M390" i="2"/>
  <c r="L448" i="2"/>
  <c r="M448" i="2"/>
  <c r="L460" i="2"/>
  <c r="M460" i="2"/>
  <c r="L384" i="2"/>
  <c r="M384" i="2"/>
  <c r="L389" i="2"/>
  <c r="M389" i="2"/>
  <c r="J392" i="2"/>
  <c r="K392" i="2"/>
  <c r="J386" i="2"/>
  <c r="K386" i="2"/>
  <c r="J460" i="2"/>
  <c r="K460" i="2"/>
  <c r="J384" i="2"/>
  <c r="K384" i="2"/>
  <c r="J389" i="2"/>
  <c r="K389" i="2"/>
  <c r="J387" i="2"/>
  <c r="K387" i="2"/>
  <c r="J385" i="2"/>
  <c r="K385" i="2"/>
  <c r="J391" i="2"/>
  <c r="K391" i="2"/>
  <c r="J388" i="2"/>
  <c r="K388" i="2"/>
  <c r="J390" i="2"/>
  <c r="K390" i="2"/>
  <c r="J448" i="2"/>
  <c r="K448" i="2"/>
  <c r="G460" i="2"/>
  <c r="H460" i="2"/>
  <c r="I460" i="2"/>
  <c r="G384" i="2"/>
  <c r="H384" i="2"/>
  <c r="I384" i="2"/>
  <c r="I389" i="2"/>
  <c r="G389" i="2"/>
  <c r="H389" i="2"/>
  <c r="G392" i="2"/>
  <c r="H392" i="2"/>
  <c r="I392" i="2"/>
  <c r="G386" i="2"/>
  <c r="H386" i="2"/>
  <c r="I386" i="2"/>
  <c r="G387" i="2"/>
  <c r="H387" i="2"/>
  <c r="I387" i="2"/>
  <c r="I385" i="2"/>
  <c r="G385" i="2"/>
  <c r="H385" i="2"/>
  <c r="I391" i="2"/>
  <c r="G391" i="2"/>
  <c r="H391" i="2"/>
  <c r="G388" i="2"/>
  <c r="H388" i="2"/>
  <c r="I388" i="2"/>
  <c r="H390" i="2"/>
  <c r="I390" i="2"/>
  <c r="G390" i="2"/>
  <c r="G448" i="2"/>
  <c r="H448" i="2"/>
  <c r="I448" i="2"/>
  <c r="D471" i="2"/>
  <c r="N471" i="2" s="1"/>
  <c r="D459" i="2"/>
  <c r="N459" i="2" s="1"/>
  <c r="D454" i="2"/>
  <c r="D453" i="2"/>
  <c r="D450" i="2"/>
  <c r="D451" i="2"/>
  <c r="D452" i="2"/>
  <c r="D456" i="2"/>
  <c r="D455" i="2"/>
  <c r="D458" i="2"/>
  <c r="D457" i="2"/>
  <c r="F405" i="2"/>
  <c r="A406" i="2"/>
  <c r="A407" i="2" s="1"/>
  <c r="A408" i="2" s="1"/>
  <c r="A409" i="2" s="1"/>
  <c r="A410" i="2" s="1"/>
  <c r="A411" i="2" s="1"/>
  <c r="A412" i="2" s="1"/>
  <c r="A413" i="2" s="1"/>
  <c r="A414" i="2" s="1"/>
  <c r="A415" i="2" s="1"/>
  <c r="A416" i="2" s="1"/>
  <c r="C397" i="2"/>
  <c r="N397" i="2" s="1"/>
  <c r="C403" i="2"/>
  <c r="N403" i="2" s="1"/>
  <c r="C399" i="2"/>
  <c r="N399" i="2" s="1"/>
  <c r="C402" i="2"/>
  <c r="N402" i="2" s="1"/>
  <c r="C401" i="2"/>
  <c r="N401" i="2" s="1"/>
  <c r="C398" i="2"/>
  <c r="N398" i="2" s="1"/>
  <c r="C400" i="2"/>
  <c r="N400" i="2" s="1"/>
  <c r="C396" i="2"/>
  <c r="N396" i="2" s="1"/>
  <c r="C395" i="2"/>
  <c r="N395" i="2" s="1"/>
  <c r="F456" i="2"/>
  <c r="F454" i="2"/>
  <c r="F455" i="2"/>
  <c r="F458" i="2"/>
  <c r="F453" i="2"/>
  <c r="F452" i="2"/>
  <c r="F451" i="2"/>
  <c r="F457" i="2"/>
  <c r="F450" i="2"/>
  <c r="A249" i="1"/>
  <c r="O392" i="2" l="1"/>
  <c r="O386" i="2"/>
  <c r="O460" i="2"/>
  <c r="O390" i="2"/>
  <c r="O388" i="2"/>
  <c r="O385" i="2"/>
  <c r="O387" i="2"/>
  <c r="O389" i="2"/>
  <c r="O384" i="2"/>
  <c r="O448" i="2"/>
  <c r="O391" i="2"/>
  <c r="L395" i="2"/>
  <c r="M395" i="2"/>
  <c r="L401" i="2"/>
  <c r="M401" i="2"/>
  <c r="L397" i="2"/>
  <c r="M397" i="2"/>
  <c r="L459" i="2"/>
  <c r="M459" i="2"/>
  <c r="L398" i="2"/>
  <c r="M398" i="2"/>
  <c r="L403" i="2"/>
  <c r="M403" i="2"/>
  <c r="L396" i="2"/>
  <c r="M396" i="2"/>
  <c r="L402" i="2"/>
  <c r="M402" i="2"/>
  <c r="L471" i="2"/>
  <c r="M471" i="2"/>
  <c r="L400" i="2"/>
  <c r="M400" i="2"/>
  <c r="L399" i="2"/>
  <c r="M399" i="2"/>
  <c r="J396" i="2"/>
  <c r="K396" i="2"/>
  <c r="J402" i="2"/>
  <c r="K402" i="2"/>
  <c r="J471" i="2"/>
  <c r="K471" i="2"/>
  <c r="J400" i="2"/>
  <c r="K400" i="2"/>
  <c r="J399" i="2"/>
  <c r="K399" i="2"/>
  <c r="J398" i="2"/>
  <c r="K398" i="2"/>
  <c r="J403" i="2"/>
  <c r="K403" i="2"/>
  <c r="J395" i="2"/>
  <c r="K395" i="2"/>
  <c r="J401" i="2"/>
  <c r="K401" i="2"/>
  <c r="J397" i="2"/>
  <c r="K397" i="2"/>
  <c r="J459" i="2"/>
  <c r="K459" i="2"/>
  <c r="G400" i="2"/>
  <c r="H400" i="2"/>
  <c r="I400" i="2"/>
  <c r="G399" i="2"/>
  <c r="H399" i="2"/>
  <c r="I399" i="2"/>
  <c r="H396" i="2"/>
  <c r="I396" i="2"/>
  <c r="G396" i="2"/>
  <c r="G402" i="2"/>
  <c r="H402" i="2"/>
  <c r="I402" i="2"/>
  <c r="G471" i="2"/>
  <c r="H471" i="2"/>
  <c r="I471" i="2"/>
  <c r="H398" i="2"/>
  <c r="I398" i="2"/>
  <c r="G398" i="2"/>
  <c r="H403" i="2"/>
  <c r="I403" i="2"/>
  <c r="G403" i="2"/>
  <c r="I395" i="2"/>
  <c r="G395" i="2"/>
  <c r="H395" i="2"/>
  <c r="I401" i="2"/>
  <c r="H401" i="2"/>
  <c r="G401" i="2"/>
  <c r="G397" i="2"/>
  <c r="H397" i="2"/>
  <c r="I397" i="2"/>
  <c r="G459" i="2"/>
  <c r="H459" i="2"/>
  <c r="I459" i="2"/>
  <c r="D470" i="2"/>
  <c r="N470" i="2" s="1"/>
  <c r="D482" i="2"/>
  <c r="N482" i="2" s="1"/>
  <c r="D468" i="2"/>
  <c r="D463" i="2"/>
  <c r="D462" i="2"/>
  <c r="D464" i="2"/>
  <c r="D466" i="2"/>
  <c r="D465" i="2"/>
  <c r="D461" i="2"/>
  <c r="D467" i="2"/>
  <c r="D469" i="2"/>
  <c r="F416" i="2"/>
  <c r="A417" i="2"/>
  <c r="A418" i="2" s="1"/>
  <c r="A419" i="2" s="1"/>
  <c r="A420" i="2" s="1"/>
  <c r="A421" i="2" s="1"/>
  <c r="A422" i="2" s="1"/>
  <c r="A423" i="2" s="1"/>
  <c r="A424" i="2" s="1"/>
  <c r="A425" i="2" s="1"/>
  <c r="A426" i="2" s="1"/>
  <c r="A427" i="2" s="1"/>
  <c r="C410" i="2"/>
  <c r="N410" i="2" s="1"/>
  <c r="C411" i="2"/>
  <c r="N411" i="2" s="1"/>
  <c r="C409" i="2"/>
  <c r="N409" i="2" s="1"/>
  <c r="C406" i="2"/>
  <c r="N406" i="2" s="1"/>
  <c r="C408" i="2"/>
  <c r="N408" i="2" s="1"/>
  <c r="C407" i="2"/>
  <c r="N407" i="2" s="1"/>
  <c r="C414" i="2"/>
  <c r="N414" i="2" s="1"/>
  <c r="C413" i="2"/>
  <c r="N413" i="2" s="1"/>
  <c r="C412" i="2"/>
  <c r="N412" i="2" s="1"/>
  <c r="F466" i="2"/>
  <c r="F467" i="2"/>
  <c r="F465" i="2"/>
  <c r="F462" i="2"/>
  <c r="F463" i="2"/>
  <c r="F461" i="2"/>
  <c r="F468" i="2"/>
  <c r="F469" i="2"/>
  <c r="F464" i="2"/>
  <c r="A250" i="1"/>
  <c r="O402" i="2" l="1"/>
  <c r="O403" i="2"/>
  <c r="O396" i="2"/>
  <c r="O398" i="2"/>
  <c r="O400" i="2"/>
  <c r="O471" i="2"/>
  <c r="O397" i="2"/>
  <c r="O399" i="2"/>
  <c r="O459" i="2"/>
  <c r="O401" i="2"/>
  <c r="O395" i="2"/>
  <c r="L470" i="2"/>
  <c r="M470" i="2"/>
  <c r="L414" i="2"/>
  <c r="M414" i="2"/>
  <c r="L409" i="2"/>
  <c r="M409" i="2"/>
  <c r="L407" i="2"/>
  <c r="M407" i="2"/>
  <c r="L411" i="2"/>
  <c r="M411" i="2"/>
  <c r="L413" i="2"/>
  <c r="M413" i="2"/>
  <c r="L412" i="2"/>
  <c r="M412" i="2"/>
  <c r="L408" i="2"/>
  <c r="M408" i="2"/>
  <c r="L410" i="2"/>
  <c r="M410" i="2"/>
  <c r="L482" i="2"/>
  <c r="M482" i="2"/>
  <c r="L406" i="2"/>
  <c r="M406" i="2"/>
  <c r="J414" i="2"/>
  <c r="K414" i="2"/>
  <c r="J409" i="2"/>
  <c r="K409" i="2"/>
  <c r="J413" i="2"/>
  <c r="K413" i="2"/>
  <c r="J406" i="2"/>
  <c r="K406" i="2"/>
  <c r="J470" i="2"/>
  <c r="K470" i="2"/>
  <c r="J407" i="2"/>
  <c r="K407" i="2"/>
  <c r="J411" i="2"/>
  <c r="K411" i="2"/>
  <c r="J412" i="2"/>
  <c r="K412" i="2"/>
  <c r="J408" i="2"/>
  <c r="K408" i="2"/>
  <c r="J410" i="2"/>
  <c r="K410" i="2"/>
  <c r="J482" i="2"/>
  <c r="K482" i="2"/>
  <c r="G407" i="2"/>
  <c r="H407" i="2"/>
  <c r="I407" i="2"/>
  <c r="I411" i="2"/>
  <c r="G411" i="2"/>
  <c r="H411" i="2"/>
  <c r="G412" i="2"/>
  <c r="H412" i="2"/>
  <c r="I412" i="2"/>
  <c r="H408" i="2"/>
  <c r="I408" i="2"/>
  <c r="G408" i="2"/>
  <c r="I410" i="2"/>
  <c r="G410" i="2"/>
  <c r="H410" i="2"/>
  <c r="G482" i="2"/>
  <c r="H482" i="2"/>
  <c r="I482" i="2"/>
  <c r="G413" i="2"/>
  <c r="H413" i="2"/>
  <c r="I413" i="2"/>
  <c r="H406" i="2"/>
  <c r="I406" i="2"/>
  <c r="G406" i="2"/>
  <c r="G470" i="2"/>
  <c r="H470" i="2"/>
  <c r="I470" i="2"/>
  <c r="G414" i="2"/>
  <c r="H414" i="2"/>
  <c r="I414" i="2"/>
  <c r="G409" i="2"/>
  <c r="H409" i="2"/>
  <c r="I409" i="2"/>
  <c r="D493" i="2"/>
  <c r="N493" i="2" s="1"/>
  <c r="D481" i="2"/>
  <c r="N481" i="2" s="1"/>
  <c r="D474" i="2"/>
  <c r="D475" i="2"/>
  <c r="D477" i="2"/>
  <c r="D478" i="2"/>
  <c r="D476" i="2"/>
  <c r="D479" i="2"/>
  <c r="D480" i="2"/>
  <c r="D472" i="2"/>
  <c r="D473" i="2"/>
  <c r="F427" i="2"/>
  <c r="A428" i="2"/>
  <c r="A429" i="2" s="1"/>
  <c r="A430" i="2" s="1"/>
  <c r="A431" i="2" s="1"/>
  <c r="A432" i="2" s="1"/>
  <c r="A433" i="2" s="1"/>
  <c r="A434" i="2" s="1"/>
  <c r="A435" i="2" s="1"/>
  <c r="A436" i="2" s="1"/>
  <c r="A437" i="2" s="1"/>
  <c r="A438" i="2" s="1"/>
  <c r="C419" i="2"/>
  <c r="N419" i="2" s="1"/>
  <c r="C417" i="2"/>
  <c r="N417" i="2" s="1"/>
  <c r="C425" i="2"/>
  <c r="N425" i="2" s="1"/>
  <c r="C424" i="2"/>
  <c r="N424" i="2" s="1"/>
  <c r="C423" i="2"/>
  <c r="N423" i="2" s="1"/>
  <c r="C418" i="2"/>
  <c r="N418" i="2" s="1"/>
  <c r="C422" i="2"/>
  <c r="N422" i="2" s="1"/>
  <c r="C421" i="2"/>
  <c r="N421" i="2" s="1"/>
  <c r="C420" i="2"/>
  <c r="N420" i="2" s="1"/>
  <c r="F478" i="2"/>
  <c r="F476" i="2"/>
  <c r="F479" i="2"/>
  <c r="F480" i="2"/>
  <c r="F472" i="2"/>
  <c r="F475" i="2"/>
  <c r="F474" i="2"/>
  <c r="A251" i="1"/>
  <c r="F473" i="2"/>
  <c r="F477" i="2"/>
  <c r="O470" i="2" l="1"/>
  <c r="O411" i="2"/>
  <c r="O407" i="2"/>
  <c r="O410" i="2"/>
  <c r="O414" i="2"/>
  <c r="O406" i="2"/>
  <c r="O482" i="2"/>
  <c r="O408" i="2"/>
  <c r="O409" i="2"/>
  <c r="O413" i="2"/>
  <c r="O412" i="2"/>
  <c r="L418" i="2"/>
  <c r="M418" i="2"/>
  <c r="L417" i="2"/>
  <c r="M417" i="2"/>
  <c r="L420" i="2"/>
  <c r="M420" i="2"/>
  <c r="L423" i="2"/>
  <c r="M423" i="2"/>
  <c r="L419" i="2"/>
  <c r="M419" i="2"/>
  <c r="L481" i="2"/>
  <c r="M481" i="2"/>
  <c r="L421" i="2"/>
  <c r="M421" i="2"/>
  <c r="L424" i="2"/>
  <c r="M424" i="2"/>
  <c r="L493" i="2"/>
  <c r="M493" i="2"/>
  <c r="L422" i="2"/>
  <c r="M422" i="2"/>
  <c r="L425" i="2"/>
  <c r="M425" i="2"/>
  <c r="J425" i="2"/>
  <c r="K425" i="2"/>
  <c r="J420" i="2"/>
  <c r="K420" i="2"/>
  <c r="J423" i="2"/>
  <c r="K423" i="2"/>
  <c r="J419" i="2"/>
  <c r="K419" i="2"/>
  <c r="J481" i="2"/>
  <c r="K481" i="2"/>
  <c r="J421" i="2"/>
  <c r="K421" i="2"/>
  <c r="J424" i="2"/>
  <c r="K424" i="2"/>
  <c r="J493" i="2"/>
  <c r="K493" i="2"/>
  <c r="J422" i="2"/>
  <c r="K422" i="2"/>
  <c r="J418" i="2"/>
  <c r="K418" i="2"/>
  <c r="J417" i="2"/>
  <c r="K417" i="2"/>
  <c r="G493" i="2"/>
  <c r="H493" i="2"/>
  <c r="I493" i="2"/>
  <c r="I422" i="2"/>
  <c r="G422" i="2"/>
  <c r="H422" i="2"/>
  <c r="H425" i="2"/>
  <c r="I425" i="2"/>
  <c r="G425" i="2"/>
  <c r="G421" i="2"/>
  <c r="H421" i="2"/>
  <c r="I421" i="2"/>
  <c r="I424" i="2"/>
  <c r="G424" i="2"/>
  <c r="H424" i="2"/>
  <c r="G418" i="2"/>
  <c r="H418" i="2"/>
  <c r="I418" i="2"/>
  <c r="I417" i="2"/>
  <c r="G417" i="2"/>
  <c r="H417" i="2"/>
  <c r="I420" i="2"/>
  <c r="H420" i="2"/>
  <c r="G420" i="2"/>
  <c r="G423" i="2"/>
  <c r="H423" i="2"/>
  <c r="I423" i="2"/>
  <c r="G419" i="2"/>
  <c r="H419" i="2"/>
  <c r="I419" i="2"/>
  <c r="G481" i="2"/>
  <c r="H481" i="2"/>
  <c r="I481" i="2"/>
  <c r="D504" i="2"/>
  <c r="N504" i="2" s="1"/>
  <c r="D492" i="2"/>
  <c r="N492" i="2" s="1"/>
  <c r="D486" i="2"/>
  <c r="D483" i="2"/>
  <c r="D487" i="2"/>
  <c r="D488" i="2"/>
  <c r="D490" i="2"/>
  <c r="D489" i="2"/>
  <c r="D491" i="2"/>
  <c r="D484" i="2"/>
  <c r="D485" i="2"/>
  <c r="F438" i="2"/>
  <c r="A439" i="2"/>
  <c r="A440" i="2" s="1"/>
  <c r="A441" i="2" s="1"/>
  <c r="A442" i="2" s="1"/>
  <c r="A443" i="2" s="1"/>
  <c r="A444" i="2" s="1"/>
  <c r="A445" i="2" s="1"/>
  <c r="A446" i="2" s="1"/>
  <c r="A447" i="2" s="1"/>
  <c r="A448" i="2" s="1"/>
  <c r="A449" i="2" s="1"/>
  <c r="C430" i="2"/>
  <c r="N430" i="2" s="1"/>
  <c r="C429" i="2"/>
  <c r="N429" i="2" s="1"/>
  <c r="C428" i="2"/>
  <c r="N428" i="2" s="1"/>
  <c r="C435" i="2"/>
  <c r="N435" i="2" s="1"/>
  <c r="C431" i="2"/>
  <c r="N431" i="2" s="1"/>
  <c r="C436" i="2"/>
  <c r="N436" i="2" s="1"/>
  <c r="C434" i="2"/>
  <c r="N434" i="2" s="1"/>
  <c r="C433" i="2"/>
  <c r="N433" i="2" s="1"/>
  <c r="C432" i="2"/>
  <c r="N432" i="2" s="1"/>
  <c r="F489" i="2"/>
  <c r="F483" i="2"/>
  <c r="F485" i="2"/>
  <c r="F487" i="2"/>
  <c r="F491" i="2"/>
  <c r="F490" i="2"/>
  <c r="F488" i="2"/>
  <c r="F484" i="2"/>
  <c r="F486" i="2"/>
  <c r="A252" i="1"/>
  <c r="O419" i="2" l="1"/>
  <c r="O420" i="2"/>
  <c r="O417" i="2"/>
  <c r="O418" i="2"/>
  <c r="O481" i="2"/>
  <c r="O424" i="2"/>
  <c r="O421" i="2"/>
  <c r="O423" i="2"/>
  <c r="O425" i="2"/>
  <c r="O422" i="2"/>
  <c r="O493" i="2"/>
  <c r="L436" i="2"/>
  <c r="M436" i="2"/>
  <c r="L429" i="2"/>
  <c r="M429" i="2"/>
  <c r="L432" i="2"/>
  <c r="M432" i="2"/>
  <c r="L431" i="2"/>
  <c r="M431" i="2"/>
  <c r="L430" i="2"/>
  <c r="M430" i="2"/>
  <c r="L492" i="2"/>
  <c r="M492" i="2"/>
  <c r="L434" i="2"/>
  <c r="M434" i="2"/>
  <c r="L428" i="2"/>
  <c r="M428" i="2"/>
  <c r="L433" i="2"/>
  <c r="M433" i="2"/>
  <c r="L435" i="2"/>
  <c r="M435" i="2"/>
  <c r="L504" i="2"/>
  <c r="M504" i="2"/>
  <c r="J433" i="2"/>
  <c r="K433" i="2"/>
  <c r="J435" i="2"/>
  <c r="K435" i="2"/>
  <c r="J434" i="2"/>
  <c r="K434" i="2"/>
  <c r="J428" i="2"/>
  <c r="K428" i="2"/>
  <c r="J436" i="2"/>
  <c r="K436" i="2"/>
  <c r="J429" i="2"/>
  <c r="K429" i="2"/>
  <c r="J504" i="2"/>
  <c r="K504" i="2"/>
  <c r="J432" i="2"/>
  <c r="K432" i="2"/>
  <c r="J431" i="2"/>
  <c r="K431" i="2"/>
  <c r="J430" i="2"/>
  <c r="K430" i="2"/>
  <c r="J492" i="2"/>
  <c r="K492" i="2"/>
  <c r="H433" i="2"/>
  <c r="I433" i="2"/>
  <c r="G433" i="2"/>
  <c r="I435" i="2"/>
  <c r="G435" i="2"/>
  <c r="H435" i="2"/>
  <c r="I434" i="2"/>
  <c r="G434" i="2"/>
  <c r="H434" i="2"/>
  <c r="G428" i="2"/>
  <c r="H428" i="2"/>
  <c r="I428" i="2"/>
  <c r="G436" i="2"/>
  <c r="H436" i="2"/>
  <c r="I436" i="2"/>
  <c r="G429" i="2"/>
  <c r="H429" i="2"/>
  <c r="I429" i="2"/>
  <c r="G432" i="2"/>
  <c r="H432" i="2"/>
  <c r="I432" i="2"/>
  <c r="H431" i="2"/>
  <c r="I431" i="2"/>
  <c r="G431" i="2"/>
  <c r="G430" i="2"/>
  <c r="H430" i="2"/>
  <c r="I430" i="2"/>
  <c r="G492" i="2"/>
  <c r="H492" i="2"/>
  <c r="I492" i="2"/>
  <c r="G504" i="2"/>
  <c r="H504" i="2"/>
  <c r="I504" i="2"/>
  <c r="D515" i="2"/>
  <c r="N515" i="2" s="1"/>
  <c r="D503" i="2"/>
  <c r="N503" i="2" s="1"/>
  <c r="D494" i="2"/>
  <c r="D502" i="2"/>
  <c r="D501" i="2"/>
  <c r="D498" i="2"/>
  <c r="D497" i="2"/>
  <c r="D500" i="2"/>
  <c r="D495" i="2"/>
  <c r="D499" i="2"/>
  <c r="D496" i="2"/>
  <c r="F449" i="2"/>
  <c r="A450" i="2"/>
  <c r="A451" i="2" s="1"/>
  <c r="A452" i="2" s="1"/>
  <c r="A453" i="2" s="1"/>
  <c r="A454" i="2" s="1"/>
  <c r="A455" i="2" s="1"/>
  <c r="A456" i="2" s="1"/>
  <c r="A457" i="2" s="1"/>
  <c r="A458" i="2" s="1"/>
  <c r="A459" i="2" s="1"/>
  <c r="A460" i="2" s="1"/>
  <c r="C442" i="2"/>
  <c r="N442" i="2" s="1"/>
  <c r="C439" i="2"/>
  <c r="N439" i="2" s="1"/>
  <c r="C447" i="2"/>
  <c r="N447" i="2" s="1"/>
  <c r="C444" i="2"/>
  <c r="N444" i="2" s="1"/>
  <c r="C446" i="2"/>
  <c r="N446" i="2" s="1"/>
  <c r="C445" i="2"/>
  <c r="N445" i="2" s="1"/>
  <c r="C443" i="2"/>
  <c r="N443" i="2" s="1"/>
  <c r="C441" i="2"/>
  <c r="N441" i="2" s="1"/>
  <c r="C440" i="2"/>
  <c r="N440" i="2" s="1"/>
  <c r="F502" i="2"/>
  <c r="F495" i="2"/>
  <c r="F497" i="2"/>
  <c r="F501" i="2"/>
  <c r="F494" i="2"/>
  <c r="F496" i="2"/>
  <c r="F500" i="2"/>
  <c r="F498" i="2"/>
  <c r="A253" i="1"/>
  <c r="F499" i="2"/>
  <c r="O430" i="2" l="1"/>
  <c r="O436" i="2"/>
  <c r="O435" i="2"/>
  <c r="O431" i="2"/>
  <c r="O492" i="2"/>
  <c r="O429" i="2"/>
  <c r="O434" i="2"/>
  <c r="O504" i="2"/>
  <c r="O432" i="2"/>
  <c r="O433" i="2"/>
  <c r="O428" i="2"/>
  <c r="L444" i="2"/>
  <c r="M444" i="2"/>
  <c r="L445" i="2"/>
  <c r="M445" i="2"/>
  <c r="L439" i="2"/>
  <c r="M439" i="2"/>
  <c r="L441" i="2"/>
  <c r="M441" i="2"/>
  <c r="L515" i="2"/>
  <c r="M515" i="2"/>
  <c r="L440" i="2"/>
  <c r="M440" i="2"/>
  <c r="L446" i="2"/>
  <c r="M446" i="2"/>
  <c r="L442" i="2"/>
  <c r="M442" i="2"/>
  <c r="L503" i="2"/>
  <c r="M503" i="2"/>
  <c r="L443" i="2"/>
  <c r="M443" i="2"/>
  <c r="L447" i="2"/>
  <c r="M447" i="2"/>
  <c r="J441" i="2"/>
  <c r="K441" i="2"/>
  <c r="J444" i="2"/>
  <c r="K444" i="2"/>
  <c r="J515" i="2"/>
  <c r="K515" i="2"/>
  <c r="J445" i="2"/>
  <c r="K445" i="2"/>
  <c r="J439" i="2"/>
  <c r="K439" i="2"/>
  <c r="J443" i="2"/>
  <c r="K443" i="2"/>
  <c r="J447" i="2"/>
  <c r="K447" i="2"/>
  <c r="J440" i="2"/>
  <c r="K440" i="2"/>
  <c r="J446" i="2"/>
  <c r="K446" i="2"/>
  <c r="J442" i="2"/>
  <c r="K442" i="2"/>
  <c r="J503" i="2"/>
  <c r="K503" i="2"/>
  <c r="H445" i="2"/>
  <c r="I445" i="2"/>
  <c r="G445" i="2"/>
  <c r="G439" i="2"/>
  <c r="H439" i="2"/>
  <c r="I439" i="2"/>
  <c r="G515" i="2"/>
  <c r="H515" i="2"/>
  <c r="I515" i="2"/>
  <c r="H443" i="2"/>
  <c r="I443" i="2"/>
  <c r="G443" i="2"/>
  <c r="I447" i="2"/>
  <c r="G447" i="2"/>
  <c r="H447" i="2"/>
  <c r="I440" i="2"/>
  <c r="G440" i="2"/>
  <c r="H440" i="2"/>
  <c r="I446" i="2"/>
  <c r="G446" i="2"/>
  <c r="H446" i="2"/>
  <c r="G442" i="2"/>
  <c r="H442" i="2"/>
  <c r="I442" i="2"/>
  <c r="G503" i="2"/>
  <c r="H503" i="2"/>
  <c r="I503" i="2"/>
  <c r="G441" i="2"/>
  <c r="H441" i="2"/>
  <c r="I441" i="2"/>
  <c r="G444" i="2"/>
  <c r="H444" i="2"/>
  <c r="I444" i="2"/>
  <c r="D514" i="2"/>
  <c r="N514" i="2" s="1"/>
  <c r="D526" i="2"/>
  <c r="N526" i="2" s="1"/>
  <c r="D505" i="2"/>
  <c r="D506" i="2"/>
  <c r="D507" i="2"/>
  <c r="D512" i="2"/>
  <c r="D513" i="2"/>
  <c r="D511" i="2"/>
  <c r="D510" i="2"/>
  <c r="D508" i="2"/>
  <c r="D509" i="2"/>
  <c r="F460" i="2"/>
  <c r="A461" i="2"/>
  <c r="A462" i="2" s="1"/>
  <c r="A463" i="2" s="1"/>
  <c r="A464" i="2" s="1"/>
  <c r="A465" i="2" s="1"/>
  <c r="A466" i="2" s="1"/>
  <c r="A467" i="2" s="1"/>
  <c r="A468" i="2" s="1"/>
  <c r="A469" i="2" s="1"/>
  <c r="A470" i="2" s="1"/>
  <c r="A471" i="2" s="1"/>
  <c r="C450" i="2"/>
  <c r="N450" i="2" s="1"/>
  <c r="C457" i="2"/>
  <c r="N457" i="2" s="1"/>
  <c r="C456" i="2"/>
  <c r="N456" i="2" s="1"/>
  <c r="C451" i="2"/>
  <c r="N451" i="2" s="1"/>
  <c r="C458" i="2"/>
  <c r="N458" i="2" s="1"/>
  <c r="C455" i="2"/>
  <c r="N455" i="2" s="1"/>
  <c r="C454" i="2"/>
  <c r="N454" i="2" s="1"/>
  <c r="C453" i="2"/>
  <c r="N453" i="2" s="1"/>
  <c r="C452" i="2"/>
  <c r="N452" i="2" s="1"/>
  <c r="F508" i="2"/>
  <c r="F509" i="2"/>
  <c r="F505" i="2"/>
  <c r="F512" i="2"/>
  <c r="F513" i="2"/>
  <c r="F511" i="2"/>
  <c r="A254" i="1"/>
  <c r="F507" i="2"/>
  <c r="F506" i="2"/>
  <c r="F510" i="2"/>
  <c r="O447" i="2" l="1"/>
  <c r="O444" i="2"/>
  <c r="O503" i="2"/>
  <c r="O440" i="2"/>
  <c r="O441" i="2"/>
  <c r="O446" i="2"/>
  <c r="O443" i="2"/>
  <c r="O439" i="2"/>
  <c r="O515" i="2"/>
  <c r="O445" i="2"/>
  <c r="O442" i="2"/>
  <c r="L455" i="2"/>
  <c r="M455" i="2"/>
  <c r="L457" i="2"/>
  <c r="M457" i="2"/>
  <c r="L452" i="2"/>
  <c r="M452" i="2"/>
  <c r="L458" i="2"/>
  <c r="M458" i="2"/>
  <c r="L450" i="2"/>
  <c r="M450" i="2"/>
  <c r="L526" i="2"/>
  <c r="M526" i="2"/>
  <c r="L514" i="2"/>
  <c r="M514" i="2"/>
  <c r="L453" i="2"/>
  <c r="M453" i="2"/>
  <c r="L451" i="2"/>
  <c r="M451" i="2"/>
  <c r="L454" i="2"/>
  <c r="M454" i="2"/>
  <c r="L456" i="2"/>
  <c r="M456" i="2"/>
  <c r="J454" i="2"/>
  <c r="K454" i="2"/>
  <c r="J456" i="2"/>
  <c r="K456" i="2"/>
  <c r="J457" i="2"/>
  <c r="K457" i="2"/>
  <c r="J453" i="2"/>
  <c r="K453" i="2"/>
  <c r="J451" i="2"/>
  <c r="K451" i="2"/>
  <c r="J514" i="2"/>
  <c r="K514" i="2"/>
  <c r="J455" i="2"/>
  <c r="K455" i="2"/>
  <c r="J452" i="2"/>
  <c r="K452" i="2"/>
  <c r="J458" i="2"/>
  <c r="K458" i="2"/>
  <c r="J450" i="2"/>
  <c r="K450" i="2"/>
  <c r="J526" i="2"/>
  <c r="K526" i="2"/>
  <c r="I454" i="2"/>
  <c r="G454" i="2"/>
  <c r="H454" i="2"/>
  <c r="G456" i="2"/>
  <c r="H456" i="2"/>
  <c r="I456" i="2"/>
  <c r="G514" i="2"/>
  <c r="H514" i="2"/>
  <c r="I514" i="2"/>
  <c r="I457" i="2"/>
  <c r="G457" i="2"/>
  <c r="H457" i="2"/>
  <c r="I453" i="2"/>
  <c r="G453" i="2"/>
  <c r="H453" i="2"/>
  <c r="I451" i="2"/>
  <c r="G451" i="2"/>
  <c r="H451" i="2"/>
  <c r="G455" i="2"/>
  <c r="H455" i="2"/>
  <c r="I455" i="2"/>
  <c r="G452" i="2"/>
  <c r="H452" i="2"/>
  <c r="I452" i="2"/>
  <c r="G458" i="2"/>
  <c r="H458" i="2"/>
  <c r="I458" i="2"/>
  <c r="I450" i="2"/>
  <c r="G450" i="2"/>
  <c r="H450" i="2"/>
  <c r="G526" i="2"/>
  <c r="H526" i="2"/>
  <c r="I526" i="2"/>
  <c r="D537" i="2"/>
  <c r="N537" i="2" s="1"/>
  <c r="D525" i="2"/>
  <c r="N525" i="2" s="1"/>
  <c r="D524" i="2"/>
  <c r="D522" i="2"/>
  <c r="D523" i="2"/>
  <c r="D518" i="2"/>
  <c r="D519" i="2"/>
  <c r="D520" i="2"/>
  <c r="D517" i="2"/>
  <c r="D516" i="2"/>
  <c r="D521" i="2"/>
  <c r="F471" i="2"/>
  <c r="A472" i="2"/>
  <c r="A473" i="2" s="1"/>
  <c r="A474" i="2" s="1"/>
  <c r="A475" i="2" s="1"/>
  <c r="A476" i="2" s="1"/>
  <c r="A477" i="2" s="1"/>
  <c r="A478" i="2" s="1"/>
  <c r="A479" i="2" s="1"/>
  <c r="A480" i="2" s="1"/>
  <c r="A481" i="2" s="1"/>
  <c r="A482" i="2" s="1"/>
  <c r="C468" i="2"/>
  <c r="N468" i="2" s="1"/>
  <c r="C467" i="2"/>
  <c r="N467" i="2" s="1"/>
  <c r="C466" i="2"/>
  <c r="N466" i="2" s="1"/>
  <c r="C469" i="2"/>
  <c r="N469" i="2" s="1"/>
  <c r="C465" i="2"/>
  <c r="N465" i="2" s="1"/>
  <c r="C464" i="2"/>
  <c r="N464" i="2" s="1"/>
  <c r="C462" i="2"/>
  <c r="N462" i="2" s="1"/>
  <c r="C463" i="2"/>
  <c r="N463" i="2" s="1"/>
  <c r="C461" i="2"/>
  <c r="N461" i="2" s="1"/>
  <c r="F522" i="2"/>
  <c r="F519" i="2"/>
  <c r="F518" i="2"/>
  <c r="F521" i="2"/>
  <c r="F516" i="2"/>
  <c r="F517" i="2"/>
  <c r="F524" i="2"/>
  <c r="F520" i="2"/>
  <c r="F523" i="2"/>
  <c r="A255" i="1"/>
  <c r="O526" i="2" l="1"/>
  <c r="O455" i="2"/>
  <c r="O457" i="2"/>
  <c r="O514" i="2"/>
  <c r="O452" i="2"/>
  <c r="O453" i="2"/>
  <c r="O454" i="2"/>
  <c r="O450" i="2"/>
  <c r="O458" i="2"/>
  <c r="O451" i="2"/>
  <c r="O456" i="2"/>
  <c r="L462" i="2"/>
  <c r="M462" i="2"/>
  <c r="L466" i="2"/>
  <c r="M466" i="2"/>
  <c r="L464" i="2"/>
  <c r="M464" i="2"/>
  <c r="L467" i="2"/>
  <c r="M467" i="2"/>
  <c r="L461" i="2"/>
  <c r="M461" i="2"/>
  <c r="L465" i="2"/>
  <c r="M465" i="2"/>
  <c r="L468" i="2"/>
  <c r="M468" i="2"/>
  <c r="L525" i="2"/>
  <c r="M525" i="2"/>
  <c r="L463" i="2"/>
  <c r="M463" i="2"/>
  <c r="L469" i="2"/>
  <c r="M469" i="2"/>
  <c r="L537" i="2"/>
  <c r="M537" i="2"/>
  <c r="J463" i="2"/>
  <c r="K463" i="2"/>
  <c r="J469" i="2"/>
  <c r="K469" i="2"/>
  <c r="J537" i="2"/>
  <c r="K537" i="2"/>
  <c r="J464" i="2"/>
  <c r="K464" i="2"/>
  <c r="J467" i="2"/>
  <c r="K467" i="2"/>
  <c r="J462" i="2"/>
  <c r="K462" i="2"/>
  <c r="J466" i="2"/>
  <c r="K466" i="2"/>
  <c r="J461" i="2"/>
  <c r="K461" i="2"/>
  <c r="J465" i="2"/>
  <c r="K465" i="2"/>
  <c r="J468" i="2"/>
  <c r="K468" i="2"/>
  <c r="J525" i="2"/>
  <c r="K525" i="2"/>
  <c r="G464" i="2"/>
  <c r="H464" i="2"/>
  <c r="I464" i="2"/>
  <c r="H467" i="2"/>
  <c r="I467" i="2"/>
  <c r="G467" i="2"/>
  <c r="H462" i="2"/>
  <c r="I462" i="2"/>
  <c r="G462" i="2"/>
  <c r="G466" i="2"/>
  <c r="H466" i="2"/>
  <c r="I466" i="2"/>
  <c r="G461" i="2"/>
  <c r="H461" i="2"/>
  <c r="I461" i="2"/>
  <c r="H465" i="2"/>
  <c r="G465" i="2"/>
  <c r="I465" i="2"/>
  <c r="G468" i="2"/>
  <c r="I468" i="2"/>
  <c r="H468" i="2"/>
  <c r="G525" i="2"/>
  <c r="H525" i="2"/>
  <c r="I525" i="2"/>
  <c r="G463" i="2"/>
  <c r="I463" i="2"/>
  <c r="H463" i="2"/>
  <c r="H469" i="2"/>
  <c r="I469" i="2"/>
  <c r="G469" i="2"/>
  <c r="G537" i="2"/>
  <c r="H537" i="2"/>
  <c r="I537" i="2"/>
  <c r="D536" i="2"/>
  <c r="N536" i="2" s="1"/>
  <c r="D530" i="2"/>
  <c r="D527" i="2"/>
  <c r="D535" i="2"/>
  <c r="D531" i="2"/>
  <c r="D533" i="2"/>
  <c r="D534" i="2"/>
  <c r="D528" i="2"/>
  <c r="D529" i="2"/>
  <c r="D532" i="2"/>
  <c r="F482" i="2"/>
  <c r="A483" i="2"/>
  <c r="A484" i="2" s="1"/>
  <c r="A485" i="2" s="1"/>
  <c r="A486" i="2" s="1"/>
  <c r="A487" i="2" s="1"/>
  <c r="A488" i="2" s="1"/>
  <c r="A489" i="2" s="1"/>
  <c r="A490" i="2" s="1"/>
  <c r="A491" i="2" s="1"/>
  <c r="A492" i="2" s="1"/>
  <c r="A493" i="2" s="1"/>
  <c r="C476" i="2"/>
  <c r="N476" i="2" s="1"/>
  <c r="C477" i="2"/>
  <c r="N477" i="2" s="1"/>
  <c r="C480" i="2"/>
  <c r="N480" i="2" s="1"/>
  <c r="C479" i="2"/>
  <c r="N479" i="2" s="1"/>
  <c r="C475" i="2"/>
  <c r="N475" i="2" s="1"/>
  <c r="C478" i="2"/>
  <c r="N478" i="2" s="1"/>
  <c r="C474" i="2"/>
  <c r="N474" i="2" s="1"/>
  <c r="C472" i="2"/>
  <c r="N472" i="2" s="1"/>
  <c r="C473" i="2"/>
  <c r="N473" i="2" s="1"/>
  <c r="F535" i="2"/>
  <c r="F533" i="2"/>
  <c r="F529" i="2"/>
  <c r="F532" i="2"/>
  <c r="F534" i="2"/>
  <c r="F531" i="2"/>
  <c r="F528" i="2"/>
  <c r="F530" i="2"/>
  <c r="F527" i="2"/>
  <c r="A256" i="1"/>
  <c r="O462" i="2" l="1"/>
  <c r="O466" i="2"/>
  <c r="O464" i="2"/>
  <c r="O525" i="2"/>
  <c r="O469" i="2"/>
  <c r="O463" i="2"/>
  <c r="O465" i="2"/>
  <c r="O461" i="2"/>
  <c r="O537" i="2"/>
  <c r="O468" i="2"/>
  <c r="O467" i="2"/>
  <c r="L474" i="2"/>
  <c r="M474" i="2"/>
  <c r="L480" i="2"/>
  <c r="M480" i="2"/>
  <c r="L472" i="2"/>
  <c r="M472" i="2"/>
  <c r="L479" i="2"/>
  <c r="M479" i="2"/>
  <c r="L478" i="2"/>
  <c r="M478" i="2"/>
  <c r="L477" i="2"/>
  <c r="M477" i="2"/>
  <c r="L473" i="2"/>
  <c r="M473" i="2"/>
  <c r="L475" i="2"/>
  <c r="M475" i="2"/>
  <c r="L476" i="2"/>
  <c r="M476" i="2"/>
  <c r="L536" i="2"/>
  <c r="M536" i="2"/>
  <c r="J473" i="2"/>
  <c r="K473" i="2"/>
  <c r="J475" i="2"/>
  <c r="K475" i="2"/>
  <c r="J476" i="2"/>
  <c r="K476" i="2"/>
  <c r="J536" i="2"/>
  <c r="K536" i="2"/>
  <c r="J472" i="2"/>
  <c r="K472" i="2"/>
  <c r="J479" i="2"/>
  <c r="K479" i="2"/>
  <c r="J474" i="2"/>
  <c r="K474" i="2"/>
  <c r="J480" i="2"/>
  <c r="K480" i="2"/>
  <c r="J478" i="2"/>
  <c r="K478" i="2"/>
  <c r="J477" i="2"/>
  <c r="K477" i="2"/>
  <c r="G474" i="2"/>
  <c r="H474" i="2"/>
  <c r="I474" i="2"/>
  <c r="I480" i="2"/>
  <c r="G480" i="2"/>
  <c r="H480" i="2"/>
  <c r="H473" i="2"/>
  <c r="I473" i="2"/>
  <c r="G473" i="2"/>
  <c r="G475" i="2"/>
  <c r="H475" i="2"/>
  <c r="I475" i="2"/>
  <c r="G476" i="2"/>
  <c r="H476" i="2"/>
  <c r="I476" i="2"/>
  <c r="G536" i="2"/>
  <c r="H536" i="2"/>
  <c r="I536" i="2"/>
  <c r="I472" i="2"/>
  <c r="G472" i="2"/>
  <c r="H472" i="2"/>
  <c r="I479" i="2"/>
  <c r="G479" i="2"/>
  <c r="H479" i="2"/>
  <c r="G478" i="2"/>
  <c r="H478" i="2"/>
  <c r="I478" i="2"/>
  <c r="I477" i="2"/>
  <c r="G477" i="2"/>
  <c r="H477" i="2"/>
  <c r="D547" i="2"/>
  <c r="N547" i="2" s="1"/>
  <c r="D541" i="2"/>
  <c r="D540" i="2"/>
  <c r="D544" i="2"/>
  <c r="D539" i="2"/>
  <c r="D545" i="2"/>
  <c r="D542" i="2"/>
  <c r="D538" i="2"/>
  <c r="D543" i="2"/>
  <c r="D546" i="2"/>
  <c r="F493" i="2"/>
  <c r="A494" i="2"/>
  <c r="A495" i="2" s="1"/>
  <c r="A496" i="2" s="1"/>
  <c r="A497" i="2" s="1"/>
  <c r="A498" i="2" s="1"/>
  <c r="A499" i="2" s="1"/>
  <c r="A500" i="2" s="1"/>
  <c r="A501" i="2" s="1"/>
  <c r="A502" i="2" s="1"/>
  <c r="A503" i="2" s="1"/>
  <c r="A504" i="2" s="1"/>
  <c r="C488" i="2"/>
  <c r="N488" i="2" s="1"/>
  <c r="C487" i="2"/>
  <c r="N487" i="2" s="1"/>
  <c r="C484" i="2"/>
  <c r="N484" i="2" s="1"/>
  <c r="C486" i="2"/>
  <c r="N486" i="2" s="1"/>
  <c r="C485" i="2"/>
  <c r="N485" i="2" s="1"/>
  <c r="C489" i="2"/>
  <c r="N489" i="2" s="1"/>
  <c r="C483" i="2"/>
  <c r="N483" i="2" s="1"/>
  <c r="C491" i="2"/>
  <c r="N491" i="2" s="1"/>
  <c r="C490" i="2"/>
  <c r="N490" i="2" s="1"/>
  <c r="F545" i="2"/>
  <c r="A257" i="1"/>
  <c r="F546" i="2"/>
  <c r="F540" i="2"/>
  <c r="F543" i="2"/>
  <c r="F541" i="2"/>
  <c r="F542" i="2"/>
  <c r="F539" i="2"/>
  <c r="F538" i="2"/>
  <c r="F544" i="2"/>
  <c r="O475" i="2" l="1"/>
  <c r="O477" i="2"/>
  <c r="O478" i="2"/>
  <c r="O476" i="2"/>
  <c r="O473" i="2"/>
  <c r="O480" i="2"/>
  <c r="O474" i="2"/>
  <c r="O472" i="2"/>
  <c r="O536" i="2"/>
  <c r="O479" i="2"/>
  <c r="L489" i="2"/>
  <c r="M489" i="2"/>
  <c r="L487" i="2"/>
  <c r="M487" i="2"/>
  <c r="L490" i="2"/>
  <c r="M490" i="2"/>
  <c r="L485" i="2"/>
  <c r="M485" i="2"/>
  <c r="L488" i="2"/>
  <c r="M488" i="2"/>
  <c r="L547" i="2"/>
  <c r="M547" i="2"/>
  <c r="L491" i="2"/>
  <c r="M491" i="2"/>
  <c r="L486" i="2"/>
  <c r="M486" i="2"/>
  <c r="L483" i="2"/>
  <c r="M483" i="2"/>
  <c r="L484" i="2"/>
  <c r="M484" i="2"/>
  <c r="J487" i="2"/>
  <c r="K487" i="2"/>
  <c r="J489" i="2"/>
  <c r="K489" i="2"/>
  <c r="J490" i="2"/>
  <c r="K490" i="2"/>
  <c r="J485" i="2"/>
  <c r="K485" i="2"/>
  <c r="J488" i="2"/>
  <c r="K488" i="2"/>
  <c r="J547" i="2"/>
  <c r="K547" i="2"/>
  <c r="J491" i="2"/>
  <c r="K491" i="2"/>
  <c r="J486" i="2"/>
  <c r="K486" i="2"/>
  <c r="J483" i="2"/>
  <c r="K483" i="2"/>
  <c r="J484" i="2"/>
  <c r="K484" i="2"/>
  <c r="H483" i="2"/>
  <c r="I483" i="2"/>
  <c r="G483" i="2"/>
  <c r="I484" i="2"/>
  <c r="G484" i="2"/>
  <c r="H484" i="2"/>
  <c r="G489" i="2"/>
  <c r="H489" i="2"/>
  <c r="I489" i="2"/>
  <c r="G487" i="2"/>
  <c r="H487" i="2"/>
  <c r="I487" i="2"/>
  <c r="G490" i="2"/>
  <c r="H490" i="2"/>
  <c r="I490" i="2"/>
  <c r="G488" i="2"/>
  <c r="H488" i="2"/>
  <c r="I488" i="2"/>
  <c r="G547" i="2"/>
  <c r="H547" i="2"/>
  <c r="I547" i="2"/>
  <c r="G491" i="2"/>
  <c r="I491" i="2"/>
  <c r="H491" i="2"/>
  <c r="I486" i="2"/>
  <c r="G486" i="2"/>
  <c r="H486" i="2"/>
  <c r="I485" i="2"/>
  <c r="G485" i="2"/>
  <c r="H485" i="2"/>
  <c r="D559" i="2"/>
  <c r="D553" i="2"/>
  <c r="D556" i="2"/>
  <c r="D551" i="2"/>
  <c r="D555" i="2"/>
  <c r="D552" i="2"/>
  <c r="D550" i="2"/>
  <c r="D558" i="2"/>
  <c r="D557" i="2"/>
  <c r="D554" i="2"/>
  <c r="F504" i="2"/>
  <c r="A505" i="2"/>
  <c r="A506" i="2" s="1"/>
  <c r="A507" i="2" s="1"/>
  <c r="A508" i="2" s="1"/>
  <c r="A509" i="2" s="1"/>
  <c r="A510" i="2" s="1"/>
  <c r="A511" i="2" s="1"/>
  <c r="A512" i="2" s="1"/>
  <c r="A513" i="2" s="1"/>
  <c r="A514" i="2" s="1"/>
  <c r="A515" i="2" s="1"/>
  <c r="C495" i="2"/>
  <c r="N495" i="2" s="1"/>
  <c r="C497" i="2"/>
  <c r="N497" i="2" s="1"/>
  <c r="C496" i="2"/>
  <c r="N496" i="2" s="1"/>
  <c r="C502" i="2"/>
  <c r="N502" i="2" s="1"/>
  <c r="C501" i="2"/>
  <c r="N501" i="2" s="1"/>
  <c r="C500" i="2"/>
  <c r="N500" i="2" s="1"/>
  <c r="C499" i="2"/>
  <c r="N499" i="2" s="1"/>
  <c r="C498" i="2"/>
  <c r="N498" i="2" s="1"/>
  <c r="C494" i="2"/>
  <c r="N494" i="2" s="1"/>
  <c r="F551" i="2"/>
  <c r="F556" i="2"/>
  <c r="F554" i="2"/>
  <c r="F557" i="2"/>
  <c r="F552" i="2"/>
  <c r="A258" i="1"/>
  <c r="F555" i="2"/>
  <c r="F550" i="2"/>
  <c r="F553" i="2"/>
  <c r="F558" i="2"/>
  <c r="O547" i="2" l="1"/>
  <c r="O489" i="2"/>
  <c r="O483" i="2"/>
  <c r="O486" i="2"/>
  <c r="O491" i="2"/>
  <c r="O487" i="2"/>
  <c r="O485" i="2"/>
  <c r="O490" i="2"/>
  <c r="O484" i="2"/>
  <c r="O488" i="2"/>
  <c r="L499" i="2"/>
  <c r="M499" i="2"/>
  <c r="L496" i="2"/>
  <c r="M496" i="2"/>
  <c r="L500" i="2"/>
  <c r="M500" i="2"/>
  <c r="L497" i="2"/>
  <c r="M497" i="2"/>
  <c r="L498" i="2"/>
  <c r="M498" i="2"/>
  <c r="L502" i="2"/>
  <c r="M502" i="2"/>
  <c r="L494" i="2"/>
  <c r="M494" i="2"/>
  <c r="L501" i="2"/>
  <c r="M501" i="2"/>
  <c r="L495" i="2"/>
  <c r="M495" i="2"/>
  <c r="J498" i="2"/>
  <c r="K498" i="2"/>
  <c r="J502" i="2"/>
  <c r="K502" i="2"/>
  <c r="J499" i="2"/>
  <c r="K499" i="2"/>
  <c r="J496" i="2"/>
  <c r="K496" i="2"/>
  <c r="J500" i="2"/>
  <c r="K500" i="2"/>
  <c r="J497" i="2"/>
  <c r="K497" i="2"/>
  <c r="J494" i="2"/>
  <c r="K494" i="2"/>
  <c r="J501" i="2"/>
  <c r="K501" i="2"/>
  <c r="J495" i="2"/>
  <c r="K495" i="2"/>
  <c r="G500" i="2"/>
  <c r="H500" i="2"/>
  <c r="I500" i="2"/>
  <c r="I497" i="2"/>
  <c r="G497" i="2"/>
  <c r="H497" i="2"/>
  <c r="G494" i="2"/>
  <c r="H494" i="2"/>
  <c r="I494" i="2"/>
  <c r="G501" i="2"/>
  <c r="I501" i="2"/>
  <c r="H501" i="2"/>
  <c r="H495" i="2"/>
  <c r="I495" i="2"/>
  <c r="G495" i="2"/>
  <c r="I499" i="2"/>
  <c r="G499" i="2"/>
  <c r="H499" i="2"/>
  <c r="G496" i="2"/>
  <c r="H496" i="2"/>
  <c r="I496" i="2"/>
  <c r="H498" i="2"/>
  <c r="G498" i="2"/>
  <c r="I498" i="2"/>
  <c r="I502" i="2"/>
  <c r="G502" i="2"/>
  <c r="H502" i="2"/>
  <c r="F515" i="2"/>
  <c r="A516" i="2"/>
  <c r="A517" i="2" s="1"/>
  <c r="A518" i="2" s="1"/>
  <c r="A519" i="2" s="1"/>
  <c r="A520" i="2" s="1"/>
  <c r="A521" i="2" s="1"/>
  <c r="A522" i="2" s="1"/>
  <c r="A523" i="2" s="1"/>
  <c r="A524" i="2" s="1"/>
  <c r="A525" i="2" s="1"/>
  <c r="A526" i="2" s="1"/>
  <c r="C508" i="2"/>
  <c r="N508" i="2" s="1"/>
  <c r="C507" i="2"/>
  <c r="N507" i="2" s="1"/>
  <c r="C506" i="2"/>
  <c r="N506" i="2" s="1"/>
  <c r="C505" i="2"/>
  <c r="N505" i="2" s="1"/>
  <c r="C513" i="2"/>
  <c r="N513" i="2" s="1"/>
  <c r="C509" i="2"/>
  <c r="N509" i="2" s="1"/>
  <c r="C512" i="2"/>
  <c r="N512" i="2" s="1"/>
  <c r="C511" i="2"/>
  <c r="N511" i="2" s="1"/>
  <c r="C510" i="2"/>
  <c r="N510" i="2" s="1"/>
  <c r="A259" i="1"/>
  <c r="O502" i="2" l="1"/>
  <c r="O497" i="2"/>
  <c r="O495" i="2"/>
  <c r="O499" i="2"/>
  <c r="O500" i="2"/>
  <c r="O498" i="2"/>
  <c r="O496" i="2"/>
  <c r="O494" i="2"/>
  <c r="O501" i="2"/>
  <c r="L510" i="2"/>
  <c r="M510" i="2"/>
  <c r="L513" i="2"/>
  <c r="M513" i="2"/>
  <c r="L508" i="2"/>
  <c r="M508" i="2"/>
  <c r="L511" i="2"/>
  <c r="M511" i="2"/>
  <c r="L505" i="2"/>
  <c r="M505" i="2"/>
  <c r="L512" i="2"/>
  <c r="M512" i="2"/>
  <c r="L506" i="2"/>
  <c r="M506" i="2"/>
  <c r="L509" i="2"/>
  <c r="M509" i="2"/>
  <c r="L507" i="2"/>
  <c r="M507" i="2"/>
  <c r="J510" i="2"/>
  <c r="K510" i="2"/>
  <c r="J513" i="2"/>
  <c r="K513" i="2"/>
  <c r="J508" i="2"/>
  <c r="K508" i="2"/>
  <c r="J511" i="2"/>
  <c r="K511" i="2"/>
  <c r="J505" i="2"/>
  <c r="K505" i="2"/>
  <c r="J512" i="2"/>
  <c r="K512" i="2"/>
  <c r="J506" i="2"/>
  <c r="K506" i="2"/>
  <c r="J509" i="2"/>
  <c r="K509" i="2"/>
  <c r="J507" i="2"/>
  <c r="K507" i="2"/>
  <c r="G511" i="2"/>
  <c r="H511" i="2"/>
  <c r="I511" i="2"/>
  <c r="I505" i="2"/>
  <c r="G505" i="2"/>
  <c r="H505" i="2"/>
  <c r="I506" i="2"/>
  <c r="G506" i="2"/>
  <c r="H506" i="2"/>
  <c r="G509" i="2"/>
  <c r="H509" i="2"/>
  <c r="I509" i="2"/>
  <c r="H507" i="2"/>
  <c r="I507" i="2"/>
  <c r="G507" i="2"/>
  <c r="G512" i="2"/>
  <c r="H512" i="2"/>
  <c r="I512" i="2"/>
  <c r="G510" i="2"/>
  <c r="H510" i="2"/>
  <c r="I510" i="2"/>
  <c r="G513" i="2"/>
  <c r="H513" i="2"/>
  <c r="I513" i="2"/>
  <c r="I508" i="2"/>
  <c r="G508" i="2"/>
  <c r="H508" i="2"/>
  <c r="F526" i="2"/>
  <c r="A527" i="2"/>
  <c r="A528" i="2" s="1"/>
  <c r="A529" i="2" s="1"/>
  <c r="A530" i="2" s="1"/>
  <c r="A531" i="2" s="1"/>
  <c r="A532" i="2" s="1"/>
  <c r="A533" i="2" s="1"/>
  <c r="A534" i="2" s="1"/>
  <c r="A535" i="2" s="1"/>
  <c r="A536" i="2" s="1"/>
  <c r="A537" i="2" s="1"/>
  <c r="C517" i="2"/>
  <c r="N517" i="2" s="1"/>
  <c r="C524" i="2"/>
  <c r="N524" i="2" s="1"/>
  <c r="C516" i="2"/>
  <c r="N516" i="2" s="1"/>
  <c r="C523" i="2"/>
  <c r="N523" i="2" s="1"/>
  <c r="C522" i="2"/>
  <c r="N522" i="2" s="1"/>
  <c r="C521" i="2"/>
  <c r="N521" i="2" s="1"/>
  <c r="C520" i="2"/>
  <c r="N520" i="2" s="1"/>
  <c r="C519" i="2"/>
  <c r="N519" i="2" s="1"/>
  <c r="C518" i="2"/>
  <c r="N518" i="2" s="1"/>
  <c r="A260" i="1"/>
  <c r="O505" i="2" l="1"/>
  <c r="O511" i="2"/>
  <c r="O509" i="2"/>
  <c r="O508" i="2"/>
  <c r="O513" i="2"/>
  <c r="O512" i="2"/>
  <c r="O506" i="2"/>
  <c r="O510" i="2"/>
  <c r="O507" i="2"/>
  <c r="L518" i="2"/>
  <c r="M518" i="2"/>
  <c r="L522" i="2"/>
  <c r="M522" i="2"/>
  <c r="L517" i="2"/>
  <c r="M517" i="2"/>
  <c r="L519" i="2"/>
  <c r="M519" i="2"/>
  <c r="L523" i="2"/>
  <c r="M523" i="2"/>
  <c r="L520" i="2"/>
  <c r="M520" i="2"/>
  <c r="L516" i="2"/>
  <c r="M516" i="2"/>
  <c r="L521" i="2"/>
  <c r="M521" i="2"/>
  <c r="L524" i="2"/>
  <c r="M524" i="2"/>
  <c r="J520" i="2"/>
  <c r="K520" i="2"/>
  <c r="J516" i="2"/>
  <c r="K516" i="2"/>
  <c r="J521" i="2"/>
  <c r="K521" i="2"/>
  <c r="J524" i="2"/>
  <c r="K524" i="2"/>
  <c r="J518" i="2"/>
  <c r="K518" i="2"/>
  <c r="J522" i="2"/>
  <c r="K522" i="2"/>
  <c r="J517" i="2"/>
  <c r="K517" i="2"/>
  <c r="J519" i="2"/>
  <c r="K519" i="2"/>
  <c r="J523" i="2"/>
  <c r="K523" i="2"/>
  <c r="G520" i="2"/>
  <c r="H520" i="2"/>
  <c r="I520" i="2"/>
  <c r="G516" i="2"/>
  <c r="H516" i="2"/>
  <c r="I516" i="2"/>
  <c r="I518" i="2"/>
  <c r="G518" i="2"/>
  <c r="H518" i="2"/>
  <c r="I522" i="2"/>
  <c r="G522" i="2"/>
  <c r="H522" i="2"/>
  <c r="G517" i="2"/>
  <c r="H517" i="2"/>
  <c r="I517" i="2"/>
  <c r="G519" i="2"/>
  <c r="H519" i="2"/>
  <c r="I519" i="2"/>
  <c r="H523" i="2"/>
  <c r="G523" i="2"/>
  <c r="I523" i="2"/>
  <c r="G521" i="2"/>
  <c r="H521" i="2"/>
  <c r="I521" i="2"/>
  <c r="I524" i="2"/>
  <c r="G524" i="2"/>
  <c r="H524" i="2"/>
  <c r="F537" i="2"/>
  <c r="A538" i="2"/>
  <c r="A539" i="2" s="1"/>
  <c r="A540" i="2" s="1"/>
  <c r="A541" i="2" s="1"/>
  <c r="A542" i="2" s="1"/>
  <c r="A543" i="2" s="1"/>
  <c r="A544" i="2" s="1"/>
  <c r="A545" i="2" s="1"/>
  <c r="A546" i="2" s="1"/>
  <c r="A547" i="2" s="1"/>
  <c r="C528" i="2"/>
  <c r="N528" i="2" s="1"/>
  <c r="C535" i="2"/>
  <c r="N535" i="2" s="1"/>
  <c r="C534" i="2"/>
  <c r="N534" i="2" s="1"/>
  <c r="C527" i="2"/>
  <c r="N527" i="2" s="1"/>
  <c r="C533" i="2"/>
  <c r="N533" i="2" s="1"/>
  <c r="C529" i="2"/>
  <c r="N529" i="2" s="1"/>
  <c r="C532" i="2"/>
  <c r="N532" i="2" s="1"/>
  <c r="C531" i="2"/>
  <c r="N531" i="2" s="1"/>
  <c r="C530" i="2"/>
  <c r="N530" i="2" s="1"/>
  <c r="A261" i="1"/>
  <c r="O522" i="2" l="1"/>
  <c r="O524" i="2"/>
  <c r="O521" i="2"/>
  <c r="O517" i="2"/>
  <c r="O520" i="2"/>
  <c r="O523" i="2"/>
  <c r="O519" i="2"/>
  <c r="O518" i="2"/>
  <c r="O516" i="2"/>
  <c r="L530" i="2"/>
  <c r="M530" i="2"/>
  <c r="L533" i="2"/>
  <c r="M533" i="2"/>
  <c r="L528" i="2"/>
  <c r="M528" i="2"/>
  <c r="L531" i="2"/>
  <c r="M531" i="2"/>
  <c r="L527" i="2"/>
  <c r="M527" i="2"/>
  <c r="L532" i="2"/>
  <c r="M532" i="2"/>
  <c r="L534" i="2"/>
  <c r="M534" i="2"/>
  <c r="L529" i="2"/>
  <c r="M529" i="2"/>
  <c r="L535" i="2"/>
  <c r="M535" i="2"/>
  <c r="J530" i="2"/>
  <c r="K530" i="2"/>
  <c r="J533" i="2"/>
  <c r="K533" i="2"/>
  <c r="J528" i="2"/>
  <c r="K528" i="2"/>
  <c r="J532" i="2"/>
  <c r="K532" i="2"/>
  <c r="J534" i="2"/>
  <c r="K534" i="2"/>
  <c r="J529" i="2"/>
  <c r="K529" i="2"/>
  <c r="J535" i="2"/>
  <c r="K535" i="2"/>
  <c r="J531" i="2"/>
  <c r="K531" i="2"/>
  <c r="J527" i="2"/>
  <c r="K527" i="2"/>
  <c r="H531" i="2"/>
  <c r="I531" i="2"/>
  <c r="G531" i="2"/>
  <c r="I527" i="2"/>
  <c r="G527" i="2"/>
  <c r="H527" i="2"/>
  <c r="G529" i="2"/>
  <c r="H529" i="2"/>
  <c r="I529" i="2"/>
  <c r="H535" i="2"/>
  <c r="I535" i="2"/>
  <c r="G535" i="2"/>
  <c r="H532" i="2"/>
  <c r="I532" i="2"/>
  <c r="G532" i="2"/>
  <c r="G534" i="2"/>
  <c r="H534" i="2"/>
  <c r="I534" i="2"/>
  <c r="H530" i="2"/>
  <c r="I530" i="2"/>
  <c r="G530" i="2"/>
  <c r="G533" i="2"/>
  <c r="H533" i="2"/>
  <c r="I533" i="2"/>
  <c r="H528" i="2"/>
  <c r="G528" i="2"/>
  <c r="I528" i="2"/>
  <c r="C546" i="2"/>
  <c r="N546" i="2" s="1"/>
  <c r="C545" i="2"/>
  <c r="N545" i="2" s="1"/>
  <c r="C544" i="2"/>
  <c r="N544" i="2" s="1"/>
  <c r="C543" i="2"/>
  <c r="N543" i="2" s="1"/>
  <c r="C542" i="2"/>
  <c r="N542" i="2" s="1"/>
  <c r="C541" i="2"/>
  <c r="N541" i="2" s="1"/>
  <c r="C540" i="2"/>
  <c r="N540" i="2" s="1"/>
  <c r="C539" i="2"/>
  <c r="N539" i="2" s="1"/>
  <c r="C538" i="2"/>
  <c r="N538" i="2" s="1"/>
  <c r="A289" i="1"/>
  <c r="A287" i="1"/>
  <c r="A295" i="1"/>
  <c r="A285" i="1"/>
  <c r="A325" i="1"/>
  <c r="A309" i="1"/>
  <c r="A304" i="1"/>
  <c r="A327" i="1"/>
  <c r="A316" i="1"/>
  <c r="A334" i="1"/>
  <c r="A296" i="1"/>
  <c r="A308" i="1"/>
  <c r="A280" i="1"/>
  <c r="A298" i="1"/>
  <c r="A267" i="1"/>
  <c r="A283" i="1"/>
  <c r="A286" i="1"/>
  <c r="A319" i="1"/>
  <c r="A279" i="1"/>
  <c r="A345" i="1"/>
  <c r="A341" i="1"/>
  <c r="A344" i="1"/>
  <c r="A324" i="1"/>
  <c r="A328" i="1"/>
  <c r="A323" i="1"/>
  <c r="A264" i="1"/>
  <c r="A288" i="1"/>
  <c r="A342" i="1"/>
  <c r="A329" i="1"/>
  <c r="A330" i="1"/>
  <c r="A310" i="1"/>
  <c r="A266" i="1"/>
  <c r="A292" i="1"/>
  <c r="A307" i="1"/>
  <c r="A314" i="1"/>
  <c r="A293" i="1"/>
  <c r="A333" i="1"/>
  <c r="A265" i="1"/>
  <c r="A306" i="1"/>
  <c r="A290" i="1"/>
  <c r="A331" i="1"/>
  <c r="A339" i="1"/>
  <c r="A343" i="1"/>
  <c r="A262" i="1"/>
  <c r="A336" i="1"/>
  <c r="A320" i="1"/>
  <c r="A335" i="1"/>
  <c r="A312" i="1"/>
  <c r="A301" i="1"/>
  <c r="A326" i="1"/>
  <c r="A263" i="1"/>
  <c r="A302" i="1"/>
  <c r="A318" i="1"/>
  <c r="A332" i="1"/>
  <c r="A299" i="1"/>
  <c r="A311" i="1"/>
  <c r="A321" i="1"/>
  <c r="A303" i="1"/>
  <c r="A340" i="1"/>
  <c r="A338" i="1"/>
  <c r="A300" i="1"/>
  <c r="A317" i="1"/>
  <c r="A322" i="1"/>
  <c r="A284" i="1"/>
  <c r="A282" i="1"/>
  <c r="A294" i="1"/>
  <c r="A337" i="1"/>
  <c r="A313" i="1"/>
  <c r="A291" i="1"/>
  <c r="A281" i="1"/>
  <c r="A315" i="1"/>
  <c r="A305" i="1"/>
  <c r="A297" i="1"/>
  <c r="O532" i="2" l="1"/>
  <c r="O531" i="2"/>
  <c r="O528" i="2"/>
  <c r="O533" i="2"/>
  <c r="O530" i="2"/>
  <c r="O534" i="2"/>
  <c r="O535" i="2"/>
  <c r="O529" i="2"/>
  <c r="O527" i="2"/>
  <c r="N555" i="2"/>
  <c r="K17" i="98" s="1"/>
  <c r="N551" i="2"/>
  <c r="O551" i="2" s="1"/>
  <c r="N550" i="2"/>
  <c r="K14" i="98" s="1"/>
  <c r="N558" i="2"/>
  <c r="K20" i="98" s="1"/>
  <c r="N553" i="2"/>
  <c r="K16" i="98" s="1"/>
  <c r="N552" i="2"/>
  <c r="K15" i="98" s="1"/>
  <c r="N557" i="2"/>
  <c r="N556" i="2"/>
  <c r="K18" i="98" s="1"/>
  <c r="N554" i="2"/>
  <c r="L541" i="2"/>
  <c r="M541" i="2"/>
  <c r="L545" i="2"/>
  <c r="L557" i="2" s="1"/>
  <c r="M545" i="2"/>
  <c r="L538" i="2"/>
  <c r="M538" i="2"/>
  <c r="L542" i="2"/>
  <c r="L554" i="2" s="1"/>
  <c r="M542" i="2"/>
  <c r="L546" i="2"/>
  <c r="L558" i="2" s="1"/>
  <c r="M546" i="2"/>
  <c r="L539" i="2"/>
  <c r="L551" i="2" s="1"/>
  <c r="M539" i="2"/>
  <c r="L543" i="2"/>
  <c r="L555" i="2" s="1"/>
  <c r="M543" i="2"/>
  <c r="L540" i="2"/>
  <c r="L552" i="2" s="1"/>
  <c r="M540" i="2"/>
  <c r="L544" i="2"/>
  <c r="L556" i="2" s="1"/>
  <c r="M544" i="2"/>
  <c r="L550" i="2"/>
  <c r="L553" i="2"/>
  <c r="J541" i="2"/>
  <c r="J553" i="2" s="1"/>
  <c r="K541" i="2"/>
  <c r="J545" i="2"/>
  <c r="J557" i="2" s="1"/>
  <c r="K545" i="2"/>
  <c r="J539" i="2"/>
  <c r="J551" i="2" s="1"/>
  <c r="K539" i="2"/>
  <c r="J543" i="2"/>
  <c r="J555" i="2" s="1"/>
  <c r="K543" i="2"/>
  <c r="J540" i="2"/>
  <c r="J552" i="2" s="1"/>
  <c r="K540" i="2"/>
  <c r="J544" i="2"/>
  <c r="J556" i="2" s="1"/>
  <c r="K544" i="2"/>
  <c r="J538" i="2"/>
  <c r="J550" i="2" s="1"/>
  <c r="K538" i="2"/>
  <c r="J542" i="2"/>
  <c r="J554" i="2" s="1"/>
  <c r="K542" i="2"/>
  <c r="J546" i="2"/>
  <c r="J558" i="2" s="1"/>
  <c r="K546" i="2"/>
  <c r="H541" i="2"/>
  <c r="H553" i="2" s="1"/>
  <c r="I541" i="2"/>
  <c r="I553" i="2" s="1"/>
  <c r="G541" i="2"/>
  <c r="G545" i="2"/>
  <c r="G557" i="2" s="1"/>
  <c r="H545" i="2"/>
  <c r="H557" i="2" s="1"/>
  <c r="E19" i="98" s="1"/>
  <c r="E29" i="98" s="1"/>
  <c r="I545" i="2"/>
  <c r="I557" i="2" s="1"/>
  <c r="I540" i="2"/>
  <c r="I552" i="2" s="1"/>
  <c r="G540" i="2"/>
  <c r="H540" i="2"/>
  <c r="H552" i="2" s="1"/>
  <c r="G544" i="2"/>
  <c r="H544" i="2"/>
  <c r="H556" i="2" s="1"/>
  <c r="E18" i="98" s="1"/>
  <c r="I544" i="2"/>
  <c r="I556" i="2" s="1"/>
  <c r="H538" i="2"/>
  <c r="H550" i="2" s="1"/>
  <c r="I538" i="2"/>
  <c r="I550" i="2" s="1"/>
  <c r="G538" i="2"/>
  <c r="G542" i="2"/>
  <c r="H542" i="2"/>
  <c r="H554" i="2" s="1"/>
  <c r="I542" i="2"/>
  <c r="I554" i="2" s="1"/>
  <c r="H546" i="2"/>
  <c r="H558" i="2" s="1"/>
  <c r="I546" i="2"/>
  <c r="I558" i="2" s="1"/>
  <c r="G546" i="2"/>
  <c r="H539" i="2"/>
  <c r="H551" i="2" s="1"/>
  <c r="I539" i="2"/>
  <c r="I551" i="2" s="1"/>
  <c r="G539" i="2"/>
  <c r="G543" i="2"/>
  <c r="H543" i="2"/>
  <c r="H555" i="2" s="1"/>
  <c r="E17" i="98" s="1"/>
  <c r="I543" i="2"/>
  <c r="I555" i="2" s="1"/>
  <c r="N559" i="2" l="1"/>
  <c r="K19" i="98"/>
  <c r="O544" i="2"/>
  <c r="O546" i="2"/>
  <c r="O538" i="2"/>
  <c r="O541" i="2"/>
  <c r="O543" i="2"/>
  <c r="O539" i="2"/>
  <c r="O542" i="2"/>
  <c r="O540" i="2"/>
  <c r="O545" i="2"/>
  <c r="I16" i="98"/>
  <c r="I17" i="98"/>
  <c r="I20" i="98"/>
  <c r="I18" i="98"/>
  <c r="I15" i="98"/>
  <c r="I14" i="98"/>
  <c r="M557" i="2"/>
  <c r="M551" i="2"/>
  <c r="F7" i="33" s="1"/>
  <c r="H7" i="33" s="1"/>
  <c r="M555" i="2"/>
  <c r="M556" i="2"/>
  <c r="M553" i="2"/>
  <c r="M558" i="2"/>
  <c r="M554" i="2"/>
  <c r="M552" i="2"/>
  <c r="M550" i="2"/>
  <c r="L559" i="2"/>
  <c r="I19" i="98"/>
  <c r="K554" i="2"/>
  <c r="K556" i="2"/>
  <c r="K553" i="2"/>
  <c r="K558" i="2"/>
  <c r="K551" i="2"/>
  <c r="K552" i="2"/>
  <c r="K555" i="2"/>
  <c r="K557" i="2"/>
  <c r="K550" i="2"/>
  <c r="G16" i="98"/>
  <c r="G26" i="98" s="1"/>
  <c r="G15" i="98"/>
  <c r="G25" i="98" s="1"/>
  <c r="G20" i="98"/>
  <c r="G30" i="98" s="1"/>
  <c r="G18" i="98"/>
  <c r="G28" i="98" s="1"/>
  <c r="G19" i="98"/>
  <c r="G29" i="98" s="1"/>
  <c r="G14" i="98"/>
  <c r="G24" i="98" s="1"/>
  <c r="G17" i="98"/>
  <c r="G27" i="98" s="1"/>
  <c r="F18" i="98"/>
  <c r="F28" i="98" s="1"/>
  <c r="F17" i="98"/>
  <c r="F27" i="98" s="1"/>
  <c r="F19" i="98"/>
  <c r="F29" i="98" s="1"/>
  <c r="J559" i="2"/>
  <c r="G558" i="2"/>
  <c r="G551" i="2"/>
  <c r="G554" i="2"/>
  <c r="G552" i="2"/>
  <c r="G550" i="2"/>
  <c r="G553" i="2"/>
  <c r="G556" i="2"/>
  <c r="G555" i="2"/>
  <c r="D19" i="98"/>
  <c r="E15" i="98"/>
  <c r="E20" i="98"/>
  <c r="E30" i="98" s="1"/>
  <c r="M8" i="44"/>
  <c r="F15" i="98"/>
  <c r="N8" i="44"/>
  <c r="F20" i="98"/>
  <c r="F30" i="98" s="1"/>
  <c r="E16" i="98"/>
  <c r="E23" i="44" s="1"/>
  <c r="E24" i="44" s="1"/>
  <c r="F16" i="98"/>
  <c r="F14" i="98"/>
  <c r="F24" i="98" s="1"/>
  <c r="E14" i="98"/>
  <c r="E24" i="98" s="1"/>
  <c r="E27" i="98"/>
  <c r="E28" i="98"/>
  <c r="I559" i="2"/>
  <c r="H559" i="2"/>
  <c r="O553" i="2" l="1"/>
  <c r="F11" i="33" s="1"/>
  <c r="H11" i="33" s="1"/>
  <c r="O554" i="2"/>
  <c r="O558" i="2"/>
  <c r="F16" i="33" s="1"/>
  <c r="H16" i="33" s="1"/>
  <c r="O555" i="2"/>
  <c r="J14" i="98"/>
  <c r="J24" i="98" s="1"/>
  <c r="K24" i="98"/>
  <c r="J16" i="98"/>
  <c r="J26" i="98" s="1"/>
  <c r="K26" i="98"/>
  <c r="J19" i="98"/>
  <c r="J29" i="98" s="1"/>
  <c r="K29" i="98"/>
  <c r="J15" i="98"/>
  <c r="J25" i="98" s="1"/>
  <c r="K25" i="98"/>
  <c r="J18" i="98"/>
  <c r="J28" i="98" s="1"/>
  <c r="K28" i="98"/>
  <c r="J17" i="98"/>
  <c r="J27" i="98" s="1"/>
  <c r="K27" i="98"/>
  <c r="J20" i="98"/>
  <c r="J30" i="98" s="1"/>
  <c r="K30" i="98"/>
  <c r="O550" i="2"/>
  <c r="F8" i="33" s="1"/>
  <c r="H8" i="33" s="1"/>
  <c r="O557" i="2"/>
  <c r="O556" i="2"/>
  <c r="F13" i="33" s="1"/>
  <c r="H13" i="33" s="1"/>
  <c r="O552" i="2"/>
  <c r="F10" i="33" s="1"/>
  <c r="M559" i="2"/>
  <c r="H17" i="98"/>
  <c r="H27" i="98" s="1"/>
  <c r="I27" i="98"/>
  <c r="H16" i="98"/>
  <c r="H26" i="98" s="1"/>
  <c r="I26" i="98"/>
  <c r="H15" i="98"/>
  <c r="H25" i="98" s="1"/>
  <c r="I25" i="98"/>
  <c r="H18" i="98"/>
  <c r="H28" i="98" s="1"/>
  <c r="I28" i="98"/>
  <c r="H14" i="98"/>
  <c r="H24" i="98" s="1"/>
  <c r="I24" i="98"/>
  <c r="I29" i="98"/>
  <c r="H20" i="98"/>
  <c r="H30" i="98" s="1"/>
  <c r="I30" i="98"/>
  <c r="K559" i="2"/>
  <c r="H19" i="98"/>
  <c r="H29" i="98" s="1"/>
  <c r="D29" i="98"/>
  <c r="G559" i="2"/>
  <c r="D16" i="98"/>
  <c r="D20" i="98"/>
  <c r="D15" i="98"/>
  <c r="D14" i="98"/>
  <c r="D18" i="98"/>
  <c r="E8" i="44"/>
  <c r="E9" i="44" s="1"/>
  <c r="D17" i="98"/>
  <c r="E25" i="98"/>
  <c r="H23" i="44"/>
  <c r="H24" i="44" s="1"/>
  <c r="K23" i="44"/>
  <c r="K24" i="44" s="1"/>
  <c r="F26" i="98"/>
  <c r="F23" i="44"/>
  <c r="F24" i="44" s="1"/>
  <c r="L23" i="44"/>
  <c r="L24" i="44" s="1"/>
  <c r="G23" i="44"/>
  <c r="G24" i="44" s="1"/>
  <c r="E26" i="98"/>
  <c r="I23" i="44"/>
  <c r="I24" i="44" s="1"/>
  <c r="M23" i="44"/>
  <c r="M24" i="44" s="1"/>
  <c r="O23" i="44"/>
  <c r="O24" i="44" s="1"/>
  <c r="N23" i="44"/>
  <c r="N24" i="44" s="1"/>
  <c r="J23" i="44"/>
  <c r="J24" i="44" s="1"/>
  <c r="L8" i="44"/>
  <c r="L9" i="44" s="1"/>
  <c r="I8" i="44"/>
  <c r="I9" i="44" s="1"/>
  <c r="F25" i="98"/>
  <c r="F8" i="44"/>
  <c r="F9" i="44" s="1"/>
  <c r="O8" i="44"/>
  <c r="O9" i="44" s="1"/>
  <c r="N9" i="44"/>
  <c r="J8" i="44"/>
  <c r="J9" i="44" s="1"/>
  <c r="K8" i="44"/>
  <c r="K9" i="44" s="1"/>
  <c r="M9" i="44"/>
  <c r="G8" i="44"/>
  <c r="G9" i="44" s="1"/>
  <c r="H8" i="44"/>
  <c r="L18" i="98" l="1"/>
  <c r="L28" i="98" s="1"/>
  <c r="L20" i="98"/>
  <c r="L30" i="98" s="1"/>
  <c r="L14" i="98"/>
  <c r="L24" i="98" s="1"/>
  <c r="L16" i="98"/>
  <c r="L26" i="98" s="1"/>
  <c r="L15" i="98"/>
  <c r="L25" i="98" s="1"/>
  <c r="L17" i="98"/>
  <c r="L27" i="98" s="1"/>
  <c r="L19" i="98"/>
  <c r="L29" i="98" s="1"/>
  <c r="D28" i="98"/>
  <c r="D23" i="44"/>
  <c r="D24" i="44" s="1"/>
  <c r="D27" i="98"/>
  <c r="D24" i="98"/>
  <c r="D30" i="98"/>
  <c r="D25" i="98"/>
  <c r="D8" i="44"/>
  <c r="D9" i="44" s="1"/>
  <c r="D26" i="98"/>
  <c r="H9" i="44"/>
  <c r="P7" i="44"/>
  <c r="C12" i="33"/>
  <c r="F12" i="33"/>
  <c r="F18" i="33" s="1"/>
  <c r="P8" i="44" l="1"/>
  <c r="P9" i="44" s="1"/>
  <c r="P23" i="44"/>
  <c r="P24" i="44" s="1"/>
  <c r="H10" i="33"/>
  <c r="C18" i="33"/>
  <c r="H18" i="33" s="1"/>
  <c r="C14" i="33"/>
  <c r="C19" i="33" s="1"/>
  <c r="F14" i="33"/>
  <c r="F19" i="33" s="1"/>
  <c r="H12" i="33"/>
  <c r="H19" i="33" l="1"/>
  <c r="H14" i="33"/>
</calcChain>
</file>

<file path=xl/sharedStrings.xml><?xml version="1.0" encoding="utf-8"?>
<sst xmlns="http://schemas.openxmlformats.org/spreadsheetml/2006/main" count="2786" uniqueCount="1190">
  <si>
    <t>EBITDAR Coverage</t>
  </si>
  <si>
    <t>PAY_PAT_DAYS - Total Payor Patient Days</t>
  </si>
  <si>
    <t>T_BAD_DEBT - Tenant Bad Debt Expense</t>
  </si>
  <si>
    <t>x</t>
  </si>
  <si>
    <t>T_REVENUES - Total Tenant Revenues</t>
  </si>
  <si>
    <t>T_OPEX - Tenant Operating Expenses</t>
  </si>
  <si>
    <t>T_EBITDARM - EBITDARM</t>
  </si>
  <si>
    <t>T_MGMT_FEE - Tenant Management Fee - Actual</t>
  </si>
  <si>
    <t>T_EBITDAR - EBITDAR</t>
  </si>
  <si>
    <t>A_BEDS_TOTAL - Total Available Beds</t>
  </si>
  <si>
    <t>Days in Month</t>
  </si>
  <si>
    <t>EBITDAR</t>
  </si>
  <si>
    <t>EBITDARM</t>
  </si>
  <si>
    <t>Total Income</t>
  </si>
  <si>
    <t>Operating Beds</t>
  </si>
  <si>
    <t>Operating Expenses</t>
  </si>
  <si>
    <t>TENANT FINANCIALS</t>
  </si>
  <si>
    <t>Revenues</t>
  </si>
  <si>
    <t xml:space="preserve">BPC Reconciliation </t>
  </si>
  <si>
    <t>Census</t>
  </si>
  <si>
    <t>EBITDARM Coverage</t>
  </si>
  <si>
    <t>BPC</t>
  </si>
  <si>
    <t>Variance</t>
  </si>
  <si>
    <t>Comments:</t>
  </si>
  <si>
    <t>Rent</t>
  </si>
  <si>
    <t>Management Fee</t>
  </si>
  <si>
    <t xml:space="preserve">  Medicaid</t>
  </si>
  <si>
    <t xml:space="preserve">  Medicare</t>
  </si>
  <si>
    <t xml:space="preserve">  Private</t>
  </si>
  <si>
    <t>Total Patient Days</t>
  </si>
  <si>
    <t xml:space="preserve">  Employee Benefits</t>
  </si>
  <si>
    <t xml:space="preserve">  Insurance</t>
  </si>
  <si>
    <t xml:space="preserve">  Housekeeping</t>
  </si>
  <si>
    <t xml:space="preserve">  Laundry</t>
  </si>
  <si>
    <t xml:space="preserve">  Nursing</t>
  </si>
  <si>
    <t>Broadway by the Sea</t>
  </si>
  <si>
    <t>Coventry Courth Health Center</t>
  </si>
  <si>
    <t>Fairfield Post-Acute Rehab</t>
  </si>
  <si>
    <t>Garden View Post-Acute Rehab</t>
  </si>
  <si>
    <t>Grand Terrace Health Care Ctr</t>
  </si>
  <si>
    <t>Pacifica Nursing &amp; Rehab Ctr</t>
  </si>
  <si>
    <t>Burien Nursing &amp; Rehab Center</t>
  </si>
  <si>
    <t>Park West Care Center</t>
  </si>
  <si>
    <t>Beachside Nursing Center</t>
  </si>
  <si>
    <t>Chatsworth Park Health Care</t>
  </si>
  <si>
    <t>Cottonwood Post-Acute Rehab</t>
  </si>
  <si>
    <t>Danville Post-Acute Rehab</t>
  </si>
  <si>
    <t>Lake Balboa Care Center</t>
  </si>
  <si>
    <t>Lomita Post-Acute Care Center</t>
  </si>
  <si>
    <t>University Post-Acute Rehab</t>
  </si>
  <si>
    <t>Issaquah Nursing &amp; Rehab Ctr</t>
  </si>
  <si>
    <t>Alamitos-Belmont Rehab Hosp</t>
  </si>
  <si>
    <t>Edgewater Skilled Nursing Ctr</t>
  </si>
  <si>
    <t>Fairmont Rehabilitation Hosp</t>
  </si>
  <si>
    <t>Palm Terrace Care Center</t>
  </si>
  <si>
    <t>Woodland Nursing &amp; Rehab</t>
  </si>
  <si>
    <t>Ramona</t>
  </si>
  <si>
    <t>Park Ridge</t>
  </si>
  <si>
    <t>NET PROFIT (LOSS)BEFORE TAXES</t>
  </si>
  <si>
    <t>Jan</t>
  </si>
  <si>
    <t>Feb</t>
  </si>
  <si>
    <t>Mar</t>
  </si>
  <si>
    <t xml:space="preserve">  Medicare Days</t>
  </si>
  <si>
    <t xml:space="preserve">  Medicaid Days</t>
  </si>
  <si>
    <t xml:space="preserve">  Private Days</t>
  </si>
  <si>
    <t xml:space="preserve">  Veteran Days</t>
  </si>
  <si>
    <t xml:space="preserve">  HMO Days</t>
  </si>
  <si>
    <t xml:space="preserve">  Other Days</t>
  </si>
  <si>
    <t xml:space="preserve">  Veteran</t>
  </si>
  <si>
    <t xml:space="preserve">  HMO</t>
  </si>
  <si>
    <t xml:space="preserve">  Maintenance</t>
  </si>
  <si>
    <t xml:space="preserve">  Dietary</t>
  </si>
  <si>
    <t xml:space="preserve">  Activities/Social</t>
  </si>
  <si>
    <t xml:space="preserve">  Administration</t>
  </si>
  <si>
    <t xml:space="preserve">  Ancillary</t>
  </si>
  <si>
    <t>Total Labor</t>
  </si>
  <si>
    <t>Non-labor</t>
  </si>
  <si>
    <t xml:space="preserve">  Utilities/Phone</t>
  </si>
  <si>
    <t xml:space="preserve">  Food</t>
  </si>
  <si>
    <t xml:space="preserve">  Local Administration</t>
  </si>
  <si>
    <t xml:space="preserve">  Bad Debt</t>
  </si>
  <si>
    <t xml:space="preserve">  Claim expense</t>
  </si>
  <si>
    <t xml:space="preserve">  QA Fees</t>
  </si>
  <si>
    <t xml:space="preserve">  Property Tax</t>
  </si>
  <si>
    <t xml:space="preserve">  Property Insurance</t>
  </si>
  <si>
    <t xml:space="preserve">  Depreciation</t>
  </si>
  <si>
    <t xml:space="preserve">  Rent</t>
  </si>
  <si>
    <t xml:space="preserve">  Service Fees</t>
  </si>
  <si>
    <t>Total Expense</t>
  </si>
  <si>
    <t>EBITDA</t>
  </si>
  <si>
    <t xml:space="preserve">  Medicare Part B</t>
  </si>
  <si>
    <t xml:space="preserve">  Other Revenue</t>
  </si>
  <si>
    <t>TOTAL</t>
  </si>
  <si>
    <t xml:space="preserve">  Straight-Line Adj.</t>
  </si>
  <si>
    <t xml:space="preserve">  Equipment Rental</t>
  </si>
  <si>
    <t>New Orange Hills (North American)</t>
  </si>
  <si>
    <t>YTD</t>
  </si>
  <si>
    <t xml:space="preserve">  Sub-Acute Days</t>
  </si>
  <si>
    <t xml:space="preserve">  Sub-Acute</t>
  </si>
  <si>
    <t xml:space="preserve">   Ending Occupancy</t>
  </si>
  <si>
    <t xml:space="preserve">  Interest</t>
  </si>
  <si>
    <t xml:space="preserve">  Other income and expense</t>
  </si>
  <si>
    <t>PATIENT DAYS</t>
  </si>
  <si>
    <t>DAYS OF MONTH</t>
  </si>
  <si>
    <t>CENSUS</t>
  </si>
  <si>
    <t>Revenue</t>
  </si>
  <si>
    <t>OPEX</t>
  </si>
  <si>
    <t>Net Income</t>
  </si>
  <si>
    <t xml:space="preserve">  Amortization</t>
  </si>
  <si>
    <t xml:space="preserve">  Taxes</t>
  </si>
  <si>
    <t>10-NORTH AMERICAN CLIENT SERVICES, INC.</t>
  </si>
  <si>
    <t>Variance Analysis</t>
  </si>
  <si>
    <t>BPC Data</t>
  </si>
  <si>
    <t>Tenant Financials</t>
  </si>
  <si>
    <t>Difference</t>
  </si>
  <si>
    <t>Total</t>
  </si>
  <si>
    <t>Combined</t>
  </si>
  <si>
    <t>10-NORTH AMERICAN HEALTH CARE, INC</t>
  </si>
  <si>
    <t>Lookup #1</t>
  </si>
  <si>
    <t>Lookup #2</t>
  </si>
  <si>
    <t>21</t>
  </si>
  <si>
    <t>22</t>
  </si>
  <si>
    <t>06</t>
  </si>
  <si>
    <t>35</t>
  </si>
  <si>
    <t>05</t>
  </si>
  <si>
    <t>28</t>
  </si>
  <si>
    <t>03</t>
  </si>
  <si>
    <t>04</t>
  </si>
  <si>
    <t>30</t>
  </si>
  <si>
    <t>13</t>
  </si>
  <si>
    <t>32</t>
  </si>
  <si>
    <t>14</t>
  </si>
  <si>
    <t>25</t>
  </si>
  <si>
    <t>17</t>
  </si>
  <si>
    <t>31</t>
  </si>
  <si>
    <t>36</t>
  </si>
  <si>
    <t>15</t>
  </si>
  <si>
    <t>09</t>
  </si>
  <si>
    <t>12</t>
  </si>
  <si>
    <t>38</t>
  </si>
  <si>
    <t>37</t>
  </si>
  <si>
    <t>34</t>
  </si>
  <si>
    <t>33</t>
  </si>
  <si>
    <t>41</t>
  </si>
  <si>
    <t xml:space="preserve">PD- R &amp; B PRIVATE </t>
  </si>
  <si>
    <t>3100-00-1</t>
  </si>
  <si>
    <t>Private Patient Days</t>
  </si>
  <si>
    <t/>
  </si>
  <si>
    <t xml:space="preserve">PD- R &amp; B MANAGED CARE </t>
  </si>
  <si>
    <t>3100-01-1</t>
  </si>
  <si>
    <t>Commercial Insurance Patient Days</t>
  </si>
  <si>
    <t xml:space="preserve">PD- R &amp; B VETERAN </t>
  </si>
  <si>
    <t>3100-03-1</t>
  </si>
  <si>
    <t>Veterans Patient Days</t>
  </si>
  <si>
    <t xml:space="preserve">PD- R &amp; B MEDICARE </t>
  </si>
  <si>
    <t>3100-04-1</t>
  </si>
  <si>
    <t>Medicare Patient Days</t>
  </si>
  <si>
    <t xml:space="preserve">PD- R &amp; B MEDICAID </t>
  </si>
  <si>
    <t>3100-05-1</t>
  </si>
  <si>
    <t>Medicaid Patient Days</t>
  </si>
  <si>
    <t>PD- R &amp; B MANAGED MEDICAID DAYS</t>
  </si>
  <si>
    <t>3100-08-1</t>
  </si>
  <si>
    <t>MANAGED M/CAID LEAVE DAYS</t>
  </si>
  <si>
    <t>3120-08-1</t>
  </si>
  <si>
    <t xml:space="preserve">PD- R &amp; B HOSPICE </t>
  </si>
  <si>
    <t>3100-06-1</t>
  </si>
  <si>
    <t>Other Patient Days</t>
  </si>
  <si>
    <t>PD- R &amp; B SUB-ACUTE</t>
  </si>
  <si>
    <t>3100-99-1</t>
  </si>
  <si>
    <t>PRIVATE LEAVE DAYS</t>
  </si>
  <si>
    <t>3120-00-1</t>
  </si>
  <si>
    <t>MEDICAID LEAVE DAYS</t>
  </si>
  <si>
    <t>3120-05-1</t>
  </si>
  <si>
    <t xml:space="preserve">HOURS- WAGES DIRECTOR OF NURSING </t>
  </si>
  <si>
    <t>6100-01-1</t>
  </si>
  <si>
    <t>Nursing Hours</t>
  </si>
  <si>
    <t>HOURS- WAGES NURSING RN</t>
  </si>
  <si>
    <t>6110-12-1</t>
  </si>
  <si>
    <t>HOURS- WAGES NURSING LVN</t>
  </si>
  <si>
    <t>6110-13-1</t>
  </si>
  <si>
    <t>HOURS- WAGES NURSING AIDES/ORDERLIES</t>
  </si>
  <si>
    <t>6110-14-1</t>
  </si>
  <si>
    <t>HOURS- NURSING CONTRACTED LABOR RN</t>
  </si>
  <si>
    <t>6110-75-1</t>
  </si>
  <si>
    <t>Nursing Contract Hours</t>
  </si>
  <si>
    <t>HOURS- NURSING CONTRACTED LABOR LVN</t>
  </si>
  <si>
    <t>6110-76-1</t>
  </si>
  <si>
    <t>HOURS- NURSING CONTRACTED LABOR AIDE/ORDERLY</t>
  </si>
  <si>
    <t>6110-77-1</t>
  </si>
  <si>
    <t xml:space="preserve">HOURS- PLANT WAGES SUPERVISORS </t>
  </si>
  <si>
    <t>6201-01-1</t>
  </si>
  <si>
    <t>Other Hours</t>
  </si>
  <si>
    <t xml:space="preserve">HOURS- PLANT WAGES OTHER </t>
  </si>
  <si>
    <t>6201-19-1</t>
  </si>
  <si>
    <t xml:space="preserve">HOURS- HOUSEKEEPING WAGES OTHER </t>
  </si>
  <si>
    <t>6300-19-1</t>
  </si>
  <si>
    <t xml:space="preserve">HOURS- LAUNDRY WAGES SUPERVISOR </t>
  </si>
  <si>
    <t>6400-01-1</t>
  </si>
  <si>
    <t xml:space="preserve">HOURS- LAUNDRY WAGES OTHER </t>
  </si>
  <si>
    <t>6400-19-1</t>
  </si>
  <si>
    <t xml:space="preserve">HOURS- DIETARY WAGES SUPERVISOR </t>
  </si>
  <si>
    <t>6500-01-1</t>
  </si>
  <si>
    <t xml:space="preserve">HOURS- DIETARY WAGES OTHER </t>
  </si>
  <si>
    <t>6500-19-1</t>
  </si>
  <si>
    <t xml:space="preserve">HOURS- SOCIAL WAGES SUPERVISOR </t>
  </si>
  <si>
    <t>6600-01-1</t>
  </si>
  <si>
    <t xml:space="preserve">HOURS- SOCIAL WAGES SOCIAL WORKERS </t>
  </si>
  <si>
    <t>6600-17-1</t>
  </si>
  <si>
    <t xml:space="preserve">HOURS- ACTIVITES WAGES PROGRAM LEADERS </t>
  </si>
  <si>
    <t>6700-04-1</t>
  </si>
  <si>
    <t xml:space="preserve">HOURS- ACTIVITIES WAGES OTHER </t>
  </si>
  <si>
    <t>6700-19-1</t>
  </si>
  <si>
    <t xml:space="preserve">HOURS- EDUCATION WAGES DSD </t>
  </si>
  <si>
    <t>6800-01-1</t>
  </si>
  <si>
    <t xml:space="preserve">HOURS- MEDICAL REDORDS-OTHER WAGES </t>
  </si>
  <si>
    <t>6901-19-1</t>
  </si>
  <si>
    <t xml:space="preserve">HOURS- A&amp;G - WAGES ADMINISTRATOR </t>
  </si>
  <si>
    <t>6909-01-1</t>
  </si>
  <si>
    <t xml:space="preserve">HOURS- A&amp;G WAGES OTHER OFFICE </t>
  </si>
  <si>
    <t>6909-04-1</t>
  </si>
  <si>
    <t xml:space="preserve">HOURS- PHYSICAL THERAPY WAGES TECHS &amp; THERAPISTS </t>
  </si>
  <si>
    <t>8200-15-1</t>
  </si>
  <si>
    <t>HOURS- OCCUPATIONAL THER WAGES TECHNS &amp; THERAPISTS</t>
  </si>
  <si>
    <t>8921-15-1</t>
  </si>
  <si>
    <t>HOURS- SPEECH THERAPY WAGES TECHNICIANS &amp; THERAPIS</t>
  </si>
  <si>
    <t>8951-15-1</t>
  </si>
  <si>
    <t>HOURS- SPEECH THERAPY WAGES</t>
  </si>
  <si>
    <t>R &amp; B PRIVATE</t>
  </si>
  <si>
    <t>3100-00-0</t>
  </si>
  <si>
    <t>Private Revenue</t>
  </si>
  <si>
    <t>R &amp; B MANAGED CARE</t>
  </si>
  <si>
    <t>3100-01-0</t>
  </si>
  <si>
    <t>Commercial Insurance Revenue</t>
  </si>
  <si>
    <t>R &amp; B VETERAN</t>
  </si>
  <si>
    <t>3100-03-0</t>
  </si>
  <si>
    <t>Veterans Revenue</t>
  </si>
  <si>
    <t>R &amp; B MEDICARE</t>
  </si>
  <si>
    <t>3100-04-0</t>
  </si>
  <si>
    <t>Medicare Revenue</t>
  </si>
  <si>
    <t>R &amp; B MEDICAID</t>
  </si>
  <si>
    <t>3100-05-0</t>
  </si>
  <si>
    <t>Medicaid Revenue</t>
  </si>
  <si>
    <t>R &amp; B HOSPICE</t>
  </si>
  <si>
    <t>3100-06-0</t>
  </si>
  <si>
    <t>Other Revenue</t>
  </si>
  <si>
    <t>R &amp; B PENDING MEDICAID</t>
  </si>
  <si>
    <t>3100-08-0</t>
  </si>
  <si>
    <t>R &amp; B MEDI-CAL SUB-ACUTE</t>
  </si>
  <si>
    <t>3100-99-0</t>
  </si>
  <si>
    <t>LEAVE DAYS PRIVATE</t>
  </si>
  <si>
    <t>3120-00-0</t>
  </si>
  <si>
    <t>LEAVE DAYS MEDICAID</t>
  </si>
  <si>
    <t>3120-05-0</t>
  </si>
  <si>
    <t>MANAGED MCAID  LEAVE</t>
  </si>
  <si>
    <t>3120-08-0</t>
  </si>
  <si>
    <t>PATIENT SUPPLIES PRIVATE</t>
  </si>
  <si>
    <t>4100-00-0</t>
  </si>
  <si>
    <t>Ancillary Revenue</t>
  </si>
  <si>
    <t>PATIENT SUPPLIES HMO</t>
  </si>
  <si>
    <t>4100-01-0</t>
  </si>
  <si>
    <t>PATIENT SUPPLY VETERAN</t>
  </si>
  <si>
    <t>4100-03-0</t>
  </si>
  <si>
    <t>PATIENT SUPPLY MEDICARE</t>
  </si>
  <si>
    <t>4100-04-0</t>
  </si>
  <si>
    <t>PATIENT SUPPLY MEDICAID</t>
  </si>
  <si>
    <t>4100-05-0</t>
  </si>
  <si>
    <t>PATIENT SUPPLY HOSPICE</t>
  </si>
  <si>
    <t>4100-06-0</t>
  </si>
  <si>
    <t>PATIENT SUPPLY MGD MCAID</t>
  </si>
  <si>
    <t>4100-08-0</t>
  </si>
  <si>
    <t>HMO PART B MED SUPPLY</t>
  </si>
  <si>
    <t>4100-21-0</t>
  </si>
  <si>
    <t>WOUND CARE PART B</t>
  </si>
  <si>
    <t>4100-24-0</t>
  </si>
  <si>
    <t>Medicare Part B Revenue</t>
  </si>
  <si>
    <t>PATIENT SUPPLY SUB-ACUTE MEDI-CAL</t>
  </si>
  <si>
    <t>4100-99-0</t>
  </si>
  <si>
    <t>EQUIPMENT RENTAL PRIVATE INPATIENT</t>
  </si>
  <si>
    <t>4140-00-0</t>
  </si>
  <si>
    <t>EQUIPMENT RENTAL HMO</t>
  </si>
  <si>
    <t>4140-01-0</t>
  </si>
  <si>
    <t>EQUIPMENT RENTAL VETERAN INPATIENT</t>
  </si>
  <si>
    <t>4140-03-0</t>
  </si>
  <si>
    <t>EQUIPMENT RENTAL MEDICARE INPATIENT</t>
  </si>
  <si>
    <t>4140-04-0</t>
  </si>
  <si>
    <t>EQUIPMENT RENTAL MEDICAL</t>
  </si>
  <si>
    <t>4140-05-0</t>
  </si>
  <si>
    <t>EQUIPMENT RENTAL HOSPICE</t>
  </si>
  <si>
    <t>4140-06-0</t>
  </si>
  <si>
    <t>EQUIPMENT RENTAL MANAGED MCAID</t>
  </si>
  <si>
    <t>4140-08-0</t>
  </si>
  <si>
    <t>EQUIPMENT RENTAL SUB-ACUTE MEDI-CAL</t>
  </si>
  <si>
    <t>4140-99-0</t>
  </si>
  <si>
    <t>PHYSICAL THERAPY PRIVATE INPATIENT</t>
  </si>
  <si>
    <t>4200-00-0</t>
  </si>
  <si>
    <t>PHYSICAL THERAPY HMO INPATIENT</t>
  </si>
  <si>
    <t>4200-01-0</t>
  </si>
  <si>
    <t>PHYSICAL THERAPY VETERAN INPATIENT</t>
  </si>
  <si>
    <t>4200-03-0</t>
  </si>
  <si>
    <t>PHYSICAL THERAPY PART A TX</t>
  </si>
  <si>
    <t>4200-04-0</t>
  </si>
  <si>
    <t>PHYSICAL THERAPY MEDICAID INPATIENT</t>
  </si>
  <si>
    <t>4200-05-0</t>
  </si>
  <si>
    <t>PHYSICAL THERAPY MANAGED MCAID</t>
  </si>
  <si>
    <t>4200-08-0</t>
  </si>
  <si>
    <t>PHYSICAL THERAPY HMO PART B</t>
  </si>
  <si>
    <t>4200-21-0</t>
  </si>
  <si>
    <t>PHYSICAL THERAPY PART B TREATMENT</t>
  </si>
  <si>
    <t>4200-24-0</t>
  </si>
  <si>
    <t>PHYSICAL THERAPY SUB-ACUTE MEDI-CAL</t>
  </si>
  <si>
    <t>4200-99-0</t>
  </si>
  <si>
    <t>PHYSICAL THERAPY COMMERICIAL A&amp;B EVALUATION</t>
  </si>
  <si>
    <t>4210-01-0</t>
  </si>
  <si>
    <t>PHYSICAL THERAPY PART B EVALUATION</t>
  </si>
  <si>
    <t>4210-24-0</t>
  </si>
  <si>
    <t>PHYSICAL THERAPY EVALUATION M/CAID</t>
  </si>
  <si>
    <t>4210-05-0</t>
  </si>
  <si>
    <t>PHYSICAL THERAPY COMMERCIAL B EVALUATIONS</t>
  </si>
  <si>
    <t>4210-21-0</t>
  </si>
  <si>
    <t>PHARMACY PRIVATE INPATIENT</t>
  </si>
  <si>
    <t>4300-00-0</t>
  </si>
  <si>
    <t>PHARMACY HMO</t>
  </si>
  <si>
    <t>4300-01-0</t>
  </si>
  <si>
    <t>PHARMACY VETERANS INPATIENT</t>
  </si>
  <si>
    <t>4300-03-0</t>
  </si>
  <si>
    <t>PHARMACY MEDICARE INPATIENT</t>
  </si>
  <si>
    <t>4300-04-0</t>
  </si>
  <si>
    <t>PHARMACY MEDICAID INPATIENT</t>
  </si>
  <si>
    <t>4300-05-0</t>
  </si>
  <si>
    <t>PHARMACY HOSPICE</t>
  </si>
  <si>
    <t>4300-06-0</t>
  </si>
  <si>
    <t>PHARMACY MANAGED MCAID</t>
  </si>
  <si>
    <t>4300-08-0</t>
  </si>
  <si>
    <t>LAB PRIVATE INPATIENT</t>
  </si>
  <si>
    <t>4400-00-0</t>
  </si>
  <si>
    <t>LAB HMO</t>
  </si>
  <si>
    <t>4400-01-0</t>
  </si>
  <si>
    <t>LAB VETERANS INPATIENT</t>
  </si>
  <si>
    <t>4400-03-0</t>
  </si>
  <si>
    <t>LAB MEDICARE INPATIENT</t>
  </si>
  <si>
    <t>4400-04-0</t>
  </si>
  <si>
    <t>LAB MEDICAID INPATIENT</t>
  </si>
  <si>
    <t>4400-05-0</t>
  </si>
  <si>
    <t>LAB HOSPICE</t>
  </si>
  <si>
    <t>4400-06-0</t>
  </si>
  <si>
    <t>LAB MANAGED MCAID</t>
  </si>
  <si>
    <t>4400-08-0</t>
  </si>
  <si>
    <t>IV THERAPY HMO</t>
  </si>
  <si>
    <t>4500-01-0</t>
  </si>
  <si>
    <t>IV THERAPY MEDICARE</t>
  </si>
  <si>
    <t>4500-04-0</t>
  </si>
  <si>
    <t>IV THERAPY MANAGED MCAID</t>
  </si>
  <si>
    <t>4500-08-0</t>
  </si>
  <si>
    <t>AMBULANCE MEDICARE PART A</t>
  </si>
  <si>
    <t>4611-04-0</t>
  </si>
  <si>
    <t>XRAY PRIVATE INPATIENT</t>
  </si>
  <si>
    <t>4911-00-0</t>
  </si>
  <si>
    <t>XRAY HMO</t>
  </si>
  <si>
    <t>4911-01-0</t>
  </si>
  <si>
    <t>XRAY VETERAN INPATIENT</t>
  </si>
  <si>
    <t>4911-03-0</t>
  </si>
  <si>
    <t>XRAY MEDICARE INPATIENT</t>
  </si>
  <si>
    <t>4911-04-0</t>
  </si>
  <si>
    <t>XRAY MEDICAID INPATIENT</t>
  </si>
  <si>
    <t>4911-05-0</t>
  </si>
  <si>
    <t>XRAY MANAGED MCAID</t>
  </si>
  <si>
    <t>4911-08-0</t>
  </si>
  <si>
    <t>OCCUPATIONAL THERAPY  PRIVATE INPATIENT</t>
  </si>
  <si>
    <t>4921-00-0</t>
  </si>
  <si>
    <t>OCCUPATIONAL THERAPY  HMO TX</t>
  </si>
  <si>
    <t>4921-01-0</t>
  </si>
  <si>
    <t>OCCUPATIONAL THERAPY VETERAN INPATIENT</t>
  </si>
  <si>
    <t>4921-03-0</t>
  </si>
  <si>
    <t>OCCUPATIONAL THERAPY PART A TX</t>
  </si>
  <si>
    <t>4921-04-0</t>
  </si>
  <si>
    <t>OCCUPATIONAL THERAPY MEDICAID INPATIENT</t>
  </si>
  <si>
    <t>4921-05-0</t>
  </si>
  <si>
    <t>OCCUPATIONAL THERAPY MANAGED MCAID</t>
  </si>
  <si>
    <t>4921-08-0</t>
  </si>
  <si>
    <t>OCCUPATIONAL THERAPY HMO PART B TX</t>
  </si>
  <si>
    <t>4921-21-0</t>
  </si>
  <si>
    <t>OCCUPATIONAL THERAPY PART B EVALUATION</t>
  </si>
  <si>
    <t>4921-24-0</t>
  </si>
  <si>
    <t>OCCUPATIONAL THERAPY COMMERCIAL A&amp;B EVALUATION</t>
  </si>
  <si>
    <t>4922-01-0</t>
  </si>
  <si>
    <t>4922-24-0</t>
  </si>
  <si>
    <t>OCCUPATIONAL THERAPY COMMERCIAL B EVALUATIONS</t>
  </si>
  <si>
    <t>4922-21-0</t>
  </si>
  <si>
    <t>OCCUPATIONAL  THERAPY SUB-ACUTE MEDI-CALZ</t>
  </si>
  <si>
    <t>4922-99-0</t>
  </si>
  <si>
    <t>INHALATION PRIVATE INPATIENT</t>
  </si>
  <si>
    <t>4931-00-0</t>
  </si>
  <si>
    <t>INHALATION THERAPY HMO</t>
  </si>
  <si>
    <t>4931-01-0</t>
  </si>
  <si>
    <t>INHALATION  THERAPY SUB-ACUTE MEDI-CAL</t>
  </si>
  <si>
    <t>4931-99-0</t>
  </si>
  <si>
    <t>SPEECH THERAPY PRIVATE INPATIENT</t>
  </si>
  <si>
    <t>4951-00-0</t>
  </si>
  <si>
    <t>SPEECH THERAPY HMO TX</t>
  </si>
  <si>
    <t>4951-01-0</t>
  </si>
  <si>
    <t>SPEECH THERAPY PART A TX</t>
  </si>
  <si>
    <t>4951-04-0</t>
  </si>
  <si>
    <t>SPEECH THERAPY MEDICAL</t>
  </si>
  <si>
    <t>4951-05-0</t>
  </si>
  <si>
    <t>SPEECH THERAPYMANAGED MCAID</t>
  </si>
  <si>
    <t>4951-08-0</t>
  </si>
  <si>
    <t>SPEECH THERAPY HMO B TX</t>
  </si>
  <si>
    <t>4951-21-0</t>
  </si>
  <si>
    <t>SPEECH THERAPY PART B TX</t>
  </si>
  <si>
    <t>4951-24-0</t>
  </si>
  <si>
    <t>SPEECH THERAPY SUB-ACUTE MEDI-CAL</t>
  </si>
  <si>
    <t>4951-99-0</t>
  </si>
  <si>
    <t>ENTERAL FEEDING PART B</t>
  </si>
  <si>
    <t>4990-25-0</t>
  </si>
  <si>
    <t>Contractual Allowance</t>
  </si>
  <si>
    <t>ADM ADJ PVT ANCILLARIES</t>
  </si>
  <si>
    <t>5202-00-0</t>
  </si>
  <si>
    <t>CONTRACTUAL ADJ MGD CARE ROOM &amp; BOARD</t>
  </si>
  <si>
    <t>5210-00-0</t>
  </si>
  <si>
    <t>CONTRACTUAL ADJ MGD CARE-ANCILLARIES</t>
  </si>
  <si>
    <t>5212-00-0</t>
  </si>
  <si>
    <t>CONTRACTUAL ADJ MEDICARE ROOM &amp; BOARD</t>
  </si>
  <si>
    <t>5310-04-0</t>
  </si>
  <si>
    <t>CONTRACTUAL ADJ MEDICARE PART A ANCILLARIES</t>
  </si>
  <si>
    <t>5310-14-0</t>
  </si>
  <si>
    <t>CONTRACTUAL ADJ MEDICARE PART B</t>
  </si>
  <si>
    <t>5311-00-0</t>
  </si>
  <si>
    <t>CONTRACTUAL ADJ MEDICAID ROOM &amp; BOARD</t>
  </si>
  <si>
    <t>5320-05-0</t>
  </si>
  <si>
    <t>CONTRACTUAL ADJ MANAGED MCAID ROOM &amp; BOARD</t>
  </si>
  <si>
    <t>5320-08-0</t>
  </si>
  <si>
    <t>CONTRACTUAL ADJ SUB-ACUTE MEDI-CAL ROOM &amp; BOARD</t>
  </si>
  <si>
    <t>5320-99-0</t>
  </si>
  <si>
    <t>CONTRACTUAL ADJ MEDICAID ANCILLARY</t>
  </si>
  <si>
    <t>5322-05-0</t>
  </si>
  <si>
    <t>CONTRACTUAL ADJ VETERANS ROOM &amp; BOARD</t>
  </si>
  <si>
    <t>5350-03-0</t>
  </si>
  <si>
    <t>CONTRACTUAL ADJ MEDICAID MANAGED CARE ANCILLARIES</t>
  </si>
  <si>
    <t>5322-08-0</t>
  </si>
  <si>
    <t>CONTRACTUAL ADJ VETERANS ANCILLARY</t>
  </si>
  <si>
    <t>5352-03-0</t>
  </si>
  <si>
    <t>CONTRACTUAL ADJ HOSPICE ROOM &amp; BOARD</t>
  </si>
  <si>
    <t>5360-06-0</t>
  </si>
  <si>
    <t>CONTRACTUAL ADJ HOSPICE ANCILLARIES</t>
  </si>
  <si>
    <t>5360-26-0</t>
  </si>
  <si>
    <t>C/A OTHER CIGNA ENTERAL</t>
  </si>
  <si>
    <t>5395-39-0</t>
  </si>
  <si>
    <t>Tenant Other Income and Expense</t>
  </si>
  <si>
    <t>OTHER REVENUE</t>
  </si>
  <si>
    <t>5990-00-0</t>
  </si>
  <si>
    <t>INTEREST INCOME</t>
  </si>
  <si>
    <t>5990-10-0</t>
  </si>
  <si>
    <t>Tenant Interest Income and Expense</t>
  </si>
  <si>
    <t>BARBER &amp; BEAUTICIAN</t>
  </si>
  <si>
    <t>5991-00-0</t>
  </si>
  <si>
    <t>WAGES DIRECTOR OF NURSING</t>
  </si>
  <si>
    <t>6100-01-0</t>
  </si>
  <si>
    <t>Healthcare/Nursing Labor &amp; Non-Labor</t>
  </si>
  <si>
    <t>Nursing Labor</t>
  </si>
  <si>
    <t>DON PAYROLL TAXES</t>
  </si>
  <si>
    <t>6100-20-0</t>
  </si>
  <si>
    <t>DON VACATION, HOLIDAY, SICK, LEAVE</t>
  </si>
  <si>
    <t>6100-24-0</t>
  </si>
  <si>
    <t>DON GROUP HEALTH INSURANCE</t>
  </si>
  <si>
    <t>6100-25-0</t>
  </si>
  <si>
    <t>DON WORKERS COMPENSATION</t>
  </si>
  <si>
    <t>6100-27-0</t>
  </si>
  <si>
    <t>WAGES NURSING RN</t>
  </si>
  <si>
    <t>6110-12-0</t>
  </si>
  <si>
    <t>WAGES NURSING LVN</t>
  </si>
  <si>
    <t>6110-13-0</t>
  </si>
  <si>
    <t>WAGES NURSING AIDES/ORDERLIES</t>
  </si>
  <si>
    <t>6110-14-0</t>
  </si>
  <si>
    <t>WAGES-NURSING PATIENT COMPANION</t>
  </si>
  <si>
    <t>6110-16-0</t>
  </si>
  <si>
    <t>NURSING PAYROLL TAXES</t>
  </si>
  <si>
    <t>6110-20-0</t>
  </si>
  <si>
    <t>NURSING VACATION, HOLIDAY, SICK, LEAVE</t>
  </si>
  <si>
    <t>6110-24-0</t>
  </si>
  <si>
    <t>NURSING GROUP HEALTH INSURANCE</t>
  </si>
  <si>
    <t>6110-25-0</t>
  </si>
  <si>
    <t>NURSING WORKERS COMPENSATION</t>
  </si>
  <si>
    <t>6110-27-0</t>
  </si>
  <si>
    <t>NURSING MEDICAL DIRECTOR</t>
  </si>
  <si>
    <t>6110-41-0</t>
  </si>
  <si>
    <t xml:space="preserve">General &amp; Administrative - Other </t>
  </si>
  <si>
    <t>NURSING UTILIZATION REVIEW COMMITTEE</t>
  </si>
  <si>
    <t>6110-42-0</t>
  </si>
  <si>
    <t>NURSING FOOD SUPPLEMENT</t>
  </si>
  <si>
    <t>6110-45-0</t>
  </si>
  <si>
    <t>NURSING PHARMACY CONSULTANT</t>
  </si>
  <si>
    <t>6110-49-0</t>
  </si>
  <si>
    <t>NURSING SUPPLIES</t>
  </si>
  <si>
    <t>6110-50-0</t>
  </si>
  <si>
    <t>NURSING OXYGEN &amp; OTHER GASES</t>
  </si>
  <si>
    <t>6110-51-0</t>
  </si>
  <si>
    <t>NURSING DISPOSABLE DIAPERS</t>
  </si>
  <si>
    <t>6110-52-0</t>
  </si>
  <si>
    <t>NURSING SUPPLIES-REHAB</t>
  </si>
  <si>
    <t>6110-55-0</t>
  </si>
  <si>
    <t>NURSING MINOR MEDICAL EQUIPMENT</t>
  </si>
  <si>
    <t>6110-60-0</t>
  </si>
  <si>
    <t>NURSING EQUIPMENT RENTAL</t>
  </si>
  <si>
    <t>6110-62-0</t>
  </si>
  <si>
    <t>NURSING NON BILLABLE PHARMACY</t>
  </si>
  <si>
    <t>6110-63-0</t>
  </si>
  <si>
    <t>NURSING PURCHASED SERVICES</t>
  </si>
  <si>
    <t>6110-70-0</t>
  </si>
  <si>
    <t>NURSING PURCHASED SERVICES TRANSPORTATION</t>
  </si>
  <si>
    <t>6110-71-0</t>
  </si>
  <si>
    <t>Ancillary - Other</t>
  </si>
  <si>
    <t>NURSING CONTRACTED LABOR RN</t>
  </si>
  <si>
    <t>6110-75-0</t>
  </si>
  <si>
    <t>Nursing Contract Labor</t>
  </si>
  <si>
    <t>NURSING CONTRACTED LABOR LVN</t>
  </si>
  <si>
    <t>6110-76-0</t>
  </si>
  <si>
    <t>NURSING CONTRACTED LABOR AIDE/ORDERLY</t>
  </si>
  <si>
    <t>6110-77-0</t>
  </si>
  <si>
    <t>NURSING EMPLOYEE RECRUITMENT EXP</t>
  </si>
  <si>
    <t>6110-94-0</t>
  </si>
  <si>
    <t>PLANT WAGES SUPERVISORS</t>
  </si>
  <si>
    <t>6201-01-0</t>
  </si>
  <si>
    <t>Total Maintenance</t>
  </si>
  <si>
    <t>Other Non-Nursing Labor</t>
  </si>
  <si>
    <t>PLANT WAGES OTHER</t>
  </si>
  <si>
    <t>6201-19-0</t>
  </si>
  <si>
    <t>PLANT PAYROLL TAXES</t>
  </si>
  <si>
    <t>6201-20-0</t>
  </si>
  <si>
    <t>PLANT VACATION, HOLIDAY, SICK, LEAVE</t>
  </si>
  <si>
    <t>6201-24-0</t>
  </si>
  <si>
    <t>PLANT GROUP HEALTH INSURANCE</t>
  </si>
  <si>
    <t>6201-25-0</t>
  </si>
  <si>
    <t>PLANT WORKMEN'S COMPENSATION</t>
  </si>
  <si>
    <t>6201-27-0</t>
  </si>
  <si>
    <t>PLANT SUPPLIES</t>
  </si>
  <si>
    <t>6201-50-0</t>
  </si>
  <si>
    <t>PLANT MINOR EQUIPMENT</t>
  </si>
  <si>
    <t>6201-61-0</t>
  </si>
  <si>
    <t>PLANT PURCAHSED SERVICES OTHER</t>
  </si>
  <si>
    <t>6201-70-0</t>
  </si>
  <si>
    <t>PLANT PURCAHSED SERVICES REPAIR/MAIN</t>
  </si>
  <si>
    <t>6201-72-0</t>
  </si>
  <si>
    <t>PLANT PURCHASED SERVICES-FIRE</t>
  </si>
  <si>
    <t>6201-73-0</t>
  </si>
  <si>
    <t>PLANT PURCHASED SERVICES-GARDENING</t>
  </si>
  <si>
    <t>6201-74-0</t>
  </si>
  <si>
    <t>PLANT PURCHASED SERVICES-PEST</t>
  </si>
  <si>
    <t>6201-75-0</t>
  </si>
  <si>
    <t>ELECTRICITY</t>
  </si>
  <si>
    <t>6205-82-0</t>
  </si>
  <si>
    <t>GAS</t>
  </si>
  <si>
    <t>6205-83-0</t>
  </si>
  <si>
    <t>WATER</t>
  </si>
  <si>
    <t>6205-84-0</t>
  </si>
  <si>
    <t>TRASH AND GARBAGE COLLECTION</t>
  </si>
  <si>
    <t>6205-94-0</t>
  </si>
  <si>
    <t>SEWER</t>
  </si>
  <si>
    <t>6205-95-0</t>
  </si>
  <si>
    <t>PLANT EMPLOYEE RECRUITMENT EXPENSE</t>
  </si>
  <si>
    <t>6209-94-0</t>
  </si>
  <si>
    <t>HOUSEKEEPING WAGES SUPERVISOR</t>
  </si>
  <si>
    <t>6300-01-0</t>
  </si>
  <si>
    <t>Total Housekeeping &amp; Laundry</t>
  </si>
  <si>
    <t>HOUSEKEEPING WAGES OTHER</t>
  </si>
  <si>
    <t>6300-19-0</t>
  </si>
  <si>
    <t>HOUSEKEEPING PAYROLL TAXES</t>
  </si>
  <si>
    <t>6300-20-0</t>
  </si>
  <si>
    <t>HOUSEKEEPING VACATION, HOLIDAY, SICK, LEAVE</t>
  </si>
  <si>
    <t>6300-24-0</t>
  </si>
  <si>
    <t>HOUSEKEEPING GROUP HEALTH INSURANCE</t>
  </si>
  <si>
    <t>6300-25-0</t>
  </si>
  <si>
    <t>HOUSEKEEPING WORKERS COMPENSATION</t>
  </si>
  <si>
    <t>6300-27-0</t>
  </si>
  <si>
    <t>HOUSEKEEPING OTHER SUPPLIES</t>
  </si>
  <si>
    <t>6300-50-0</t>
  </si>
  <si>
    <t>HOUSEKEEPING PURCHASED SERVICES</t>
  </si>
  <si>
    <t>6300-70-0</t>
  </si>
  <si>
    <t>LAUNDRY WAGES SUPERVISOR</t>
  </si>
  <si>
    <t>6400-01-0</t>
  </si>
  <si>
    <t>LAUNDRY WAGES OTHER</t>
  </si>
  <si>
    <t>6400-19-0</t>
  </si>
  <si>
    <t>LAUNDRY PAYROLL TAXES</t>
  </si>
  <si>
    <t>6400-20-0</t>
  </si>
  <si>
    <t>LAUNDRY VACATION, HOLIDAY, SICK, LEAVE</t>
  </si>
  <si>
    <t>6400-24-0</t>
  </si>
  <si>
    <t>LAUNDRY GROUP HEALTH INSURANCE</t>
  </si>
  <si>
    <t>6400-25-0</t>
  </si>
  <si>
    <t>LAUNDRY WORKMEN'S COMPENSATION</t>
  </si>
  <si>
    <t>6400-27-0</t>
  </si>
  <si>
    <t>LAUNDRY SUPPLIES</t>
  </si>
  <si>
    <t>6400-50-0</t>
  </si>
  <si>
    <t>LAUNDRY BLANKETS &amp; LINENS</t>
  </si>
  <si>
    <t>6400-62-0</t>
  </si>
  <si>
    <t>LAUNDRY PURCHASED SERVICES</t>
  </si>
  <si>
    <t>6400-70-0</t>
  </si>
  <si>
    <t>LAUNDRY REPAIRS &amp; MAINTENANCE</t>
  </si>
  <si>
    <t>6400-72-0</t>
  </si>
  <si>
    <t>DIETARY WAGES SUPERVISOR</t>
  </si>
  <si>
    <t>6500-01-0</t>
  </si>
  <si>
    <t>Dietary - Other</t>
  </si>
  <si>
    <t>DIETARY WAGES OTHER</t>
  </si>
  <si>
    <t>6500-19-0</t>
  </si>
  <si>
    <t>DIETARY PAYROLL TAXES</t>
  </si>
  <si>
    <t>6500-20-0</t>
  </si>
  <si>
    <t>DIETARY VACATION, HOLIDAY, SICK, LEAVE</t>
  </si>
  <si>
    <t>6500-24-0</t>
  </si>
  <si>
    <t>DIETARY GROUP HEALTH INSURANCE</t>
  </si>
  <si>
    <t>6500-25-0</t>
  </si>
  <si>
    <t>DIETARY WORKMEN'S COMPENSATION</t>
  </si>
  <si>
    <t>6500-27-0</t>
  </si>
  <si>
    <t>DIETARY DIETICIAN</t>
  </si>
  <si>
    <t>6500-49-0</t>
  </si>
  <si>
    <t>DIETARY SUPPLIES</t>
  </si>
  <si>
    <t>6500-50-0</t>
  </si>
  <si>
    <t>DIETARY FOOD</t>
  </si>
  <si>
    <t>6500-55-0</t>
  </si>
  <si>
    <t>Dietary - Raw Food Cost</t>
  </si>
  <si>
    <t>DIETARY CLEANING SUPPLIES</t>
  </si>
  <si>
    <t>6500-57-0</t>
  </si>
  <si>
    <t>DIETARY MINOR EQUIPMENT, DISHES, ETC</t>
  </si>
  <si>
    <t>6500-61-0</t>
  </si>
  <si>
    <t>DIETARY EQUIPMENT RENTAL</t>
  </si>
  <si>
    <t>6500-67-0</t>
  </si>
  <si>
    <t>DIETARY PURCHASED SERVICES</t>
  </si>
  <si>
    <t>6500-70-0</t>
  </si>
  <si>
    <t>DIETARY CONTRACTED LABOR</t>
  </si>
  <si>
    <t>6500-78-0</t>
  </si>
  <si>
    <t>SOCIAL WAGES SUPERVISOR</t>
  </si>
  <si>
    <t>6600-01-0</t>
  </si>
  <si>
    <t>Other Operating Expenses</t>
  </si>
  <si>
    <t>SOCIAL WAGES SOCIAL WORKERS</t>
  </si>
  <si>
    <t>6600-17-0</t>
  </si>
  <si>
    <t>SOCIAL PAYROLL TAXES</t>
  </si>
  <si>
    <t>6600-20-0</t>
  </si>
  <si>
    <t>SOCIAL VACATION, HOLIDAYS, SICK, LEAVE</t>
  </si>
  <si>
    <t>6600-24-0</t>
  </si>
  <si>
    <t>SOCIAL GROUP HEALTH INSURANCE</t>
  </si>
  <si>
    <t>6600-25-0</t>
  </si>
  <si>
    <t>SOCIAL WORKMEN'S COMPENSATION</t>
  </si>
  <si>
    <t>6600-27-0</t>
  </si>
  <si>
    <t>SOCIAL OTHER PROFESSIONAL FEES</t>
  </si>
  <si>
    <t>6600-46-0</t>
  </si>
  <si>
    <t>SOCIAL SUPPLIES</t>
  </si>
  <si>
    <t>6600-50-0</t>
  </si>
  <si>
    <t>ACTIVITES WAGES PROGRAM LEADERS</t>
  </si>
  <si>
    <t>6700-04-0</t>
  </si>
  <si>
    <t>ACTIVITIES WAGES OTHER</t>
  </si>
  <si>
    <t>6700-19-0</t>
  </si>
  <si>
    <t>ACTIVITIES PAYROLL TAXES</t>
  </si>
  <si>
    <t>6700-20-0</t>
  </si>
  <si>
    <t>ACTIVITIES VACATION, HOLIDAYS, SICK, LEAVE</t>
  </si>
  <si>
    <t>6700-24-0</t>
  </si>
  <si>
    <t>ACTIVITIES GROUP HEALTH INSURANCE</t>
  </si>
  <si>
    <t>6700-25-0</t>
  </si>
  <si>
    <t>ACTIVITIES WORKMEN'S COMPENSATION</t>
  </si>
  <si>
    <t>6700-27-0</t>
  </si>
  <si>
    <t>ACTIVITIES OTHER PROFESSIONAL SEVICES</t>
  </si>
  <si>
    <t>6700-46-0</t>
  </si>
  <si>
    <t>ACTIVITIES SUPPLIES</t>
  </si>
  <si>
    <t>6700-50-0</t>
  </si>
  <si>
    <t>EDUCATION WAGES DSD</t>
  </si>
  <si>
    <t>6800-01-0</t>
  </si>
  <si>
    <t>EDUCATION PAYROLL TAXES</t>
  </si>
  <si>
    <t>6800-20-0</t>
  </si>
  <si>
    <t>EDUCATION VACATION, HOLIDAY, SICK, LEAVE</t>
  </si>
  <si>
    <t>6800-24-0</t>
  </si>
  <si>
    <t>EDUCATION GROUP HEALTH INSURANCE</t>
  </si>
  <si>
    <t>6800-25-0</t>
  </si>
  <si>
    <t>EDUCATION WORKMEN'S COMPENSATION</t>
  </si>
  <si>
    <t>6800-27-0</t>
  </si>
  <si>
    <t>MEDICAL REDORDS-OTHER WAGES</t>
  </si>
  <si>
    <t>6901-19-0</t>
  </si>
  <si>
    <t>MEDICAL RECORDS-PAYROLL TAXES</t>
  </si>
  <si>
    <t>6901-20-0</t>
  </si>
  <si>
    <t>MEDICAL RECORDS-VACATION,HOLIDAY,SICK</t>
  </si>
  <si>
    <t>6901-24-0</t>
  </si>
  <si>
    <t>MEDICAL RECORDS-HEALTH INSURANCE</t>
  </si>
  <si>
    <t>6901-25-0</t>
  </si>
  <si>
    <t>MEDICAL RECORDS-WORKERS COMPENSATION</t>
  </si>
  <si>
    <t>6901-27-0</t>
  </si>
  <si>
    <t>MEDICAL RECORDS-CONSULTANT FEES</t>
  </si>
  <si>
    <t>6901-45-0</t>
  </si>
  <si>
    <t>MEDICAL RECORDS-SUPPLIES</t>
  </si>
  <si>
    <t>6901-50-0</t>
  </si>
  <si>
    <t>MEDICAL RECORDS-PURCHASED SERVICES</t>
  </si>
  <si>
    <t>6901-70-0</t>
  </si>
  <si>
    <t>A&amp;G WAGES ADMINISTRATOR</t>
  </si>
  <si>
    <t>6909-01-0</t>
  </si>
  <si>
    <t>A&amp;G WAGES BOOKKEEPER</t>
  </si>
  <si>
    <t>6909-03-0</t>
  </si>
  <si>
    <t>A&amp;G WAGES OTHER OFFICE</t>
  </si>
  <si>
    <t>6909-04-0</t>
  </si>
  <si>
    <t>A&amp;G WAGES - TRANSFERS</t>
  </si>
  <si>
    <t>6909-18-0</t>
  </si>
  <si>
    <t>A&amp;G PAYROLL TAXES</t>
  </si>
  <si>
    <t>6909-20-0</t>
  </si>
  <si>
    <t>A&amp;G VACATION, HOLIDAY, SICK, LEAVE</t>
  </si>
  <si>
    <t>6909-24-0</t>
  </si>
  <si>
    <t>A&amp;G GROUP HEALTH INSURANCE</t>
  </si>
  <si>
    <t>6909-25-0</t>
  </si>
  <si>
    <t>A&amp;G PENSION &amp; RETIREMENT</t>
  </si>
  <si>
    <t>6909-26-0</t>
  </si>
  <si>
    <t>A&amp;G WORKMEN'S COMPENSATION</t>
  </si>
  <si>
    <t>6909-27-0</t>
  </si>
  <si>
    <t>A&amp;G OTHER EMPLOYEE BENEFITS</t>
  </si>
  <si>
    <t>6909-28-0</t>
  </si>
  <si>
    <t>A&amp;G EMPLOYEE MEDICAL</t>
  </si>
  <si>
    <t>6909-32-0</t>
  </si>
  <si>
    <t>A&amp;G PROFESSIONAL FEES-LEGAL</t>
  </si>
  <si>
    <t>6909-47-0</t>
  </si>
  <si>
    <t>Legal (Fines, Penalties, CMP)</t>
  </si>
  <si>
    <t>A&amp;G PROFESSIONAL FEES ACCOUNTING</t>
  </si>
  <si>
    <t>6909-48-0</t>
  </si>
  <si>
    <t>A&amp;G EMPLOYEE ENTERTAINMENT AND FOOD</t>
  </si>
  <si>
    <t>6909-49-0</t>
  </si>
  <si>
    <t>A&amp;G SUPPLIES</t>
  </si>
  <si>
    <t>6909-50-0</t>
  </si>
  <si>
    <t>A&amp;G POSTAGE</t>
  </si>
  <si>
    <t>6909-58-0</t>
  </si>
  <si>
    <t>A&amp;G MINOR EQUIPMENT</t>
  </si>
  <si>
    <t>6909-61-0</t>
  </si>
  <si>
    <t>A&amp;G EQUIPMENT RENTAL</t>
  </si>
  <si>
    <t>6909-62-0</t>
  </si>
  <si>
    <t>A&amp;G EQUIPMENT MAINTENANCE</t>
  </si>
  <si>
    <t>6909-65-0</t>
  </si>
  <si>
    <t>A&amp;G PURCHASED SERVICES</t>
  </si>
  <si>
    <t>6909-70-0</t>
  </si>
  <si>
    <t>A&amp;G PUBLIC RELATIONS</t>
  </si>
  <si>
    <t>6909-75-0</t>
  </si>
  <si>
    <t>A&amp;G ADVERTISING</t>
  </si>
  <si>
    <t>6909-76-0</t>
  </si>
  <si>
    <t>Total Marketing</t>
  </si>
  <si>
    <t>A&amp;G PROFESSIONAL LIABILITY INSURANCE</t>
  </si>
  <si>
    <t>6909-77-0</t>
  </si>
  <si>
    <t>Insurance</t>
  </si>
  <si>
    <t xml:space="preserve"> CLAIMS EXPENSE</t>
  </si>
  <si>
    <t>6909-78-0</t>
  </si>
  <si>
    <t>A&amp;G TRAVEL</t>
  </si>
  <si>
    <t>6909-81-0</t>
  </si>
  <si>
    <t>A&amp;G TELEPHONE</t>
  </si>
  <si>
    <t>6909-86-0</t>
  </si>
  <si>
    <t>A&amp;G DUES &amp; SUBSCRIPTIONS</t>
  </si>
  <si>
    <t>6909-87-0</t>
  </si>
  <si>
    <t>A&amp;G SEMINARS EMPLOYEE EDUCATION</t>
  </si>
  <si>
    <t>6909-88-0</t>
  </si>
  <si>
    <t>A&amp;G BUSINESS TAXES</t>
  </si>
  <si>
    <t>6909-89-0</t>
  </si>
  <si>
    <t>A&amp;G VALET PARKING</t>
  </si>
  <si>
    <t>6909-93-0</t>
  </si>
  <si>
    <t>A&amp;G EMPLOYEE RECRUITMENT EXPENSE</t>
  </si>
  <si>
    <t>6909-94-0</t>
  </si>
  <si>
    <t>A&amp;G EMPLOYEE GIFTS</t>
  </si>
  <si>
    <t>6909-95-0</t>
  </si>
  <si>
    <t>A&amp;G CABLE TV</t>
  </si>
  <si>
    <t>6909-96-0</t>
  </si>
  <si>
    <t>A&amp;G DATA PROCESSING FEES</t>
  </si>
  <si>
    <t>6909-97-0</t>
  </si>
  <si>
    <t>A&amp;G BANK CHARGES</t>
  </si>
  <si>
    <t>6909-98-0</t>
  </si>
  <si>
    <t>A&amp;G PRINTING AND FORMS</t>
  </si>
  <si>
    <t>6910-58-0</t>
  </si>
  <si>
    <t>A&amp;G Q.A.FEES</t>
  </si>
  <si>
    <t>6910-78-0</t>
  </si>
  <si>
    <t>A&amp;G ENTERTAINMENT</t>
  </si>
  <si>
    <t>6910-80-0</t>
  </si>
  <si>
    <t>A&amp;G AUTO</t>
  </si>
  <si>
    <t>6910-81-0</t>
  </si>
  <si>
    <t>A&amp;G LICENSES</t>
  </si>
  <si>
    <t>6910-89-0</t>
  </si>
  <si>
    <t>A&amp;G DIRECTOR MEETING</t>
  </si>
  <si>
    <t>6910-90-0</t>
  </si>
  <si>
    <t>A&amp;G FINES AND PENALTIES</t>
  </si>
  <si>
    <t>6910-96-0</t>
  </si>
  <si>
    <t>A&amp;G SERVICE FEES</t>
  </si>
  <si>
    <t>6910-98-0</t>
  </si>
  <si>
    <t>Tenant Actual Management Fee</t>
  </si>
  <si>
    <t>DEPR EXP BUILDINGS &amp; IMPROVEMENTS</t>
  </si>
  <si>
    <t>7120-92-0</t>
  </si>
  <si>
    <t>Tenant Depreciation and Amortization</t>
  </si>
  <si>
    <t>DEPR EXP LEASEHOLD IMPROVEMENTS</t>
  </si>
  <si>
    <t>7130-92-0</t>
  </si>
  <si>
    <t>DEPR EXP MAJOR MOVABLE EQUIPMENT</t>
  </si>
  <si>
    <t>7140-92-0</t>
  </si>
  <si>
    <t>DEPR EXP VEHICLES</t>
  </si>
  <si>
    <t>7143-92-0</t>
  </si>
  <si>
    <t>AMORT EXP GOODWILL</t>
  </si>
  <si>
    <t>7150-92-0</t>
  </si>
  <si>
    <t>LEASE EXP BUILDING</t>
  </si>
  <si>
    <t>7200-91-0</t>
  </si>
  <si>
    <t>Tenant Rent Expense</t>
  </si>
  <si>
    <t>STRAIGHT LINE RENT</t>
  </si>
  <si>
    <t>7200-92-0</t>
  </si>
  <si>
    <t>Tenant Straight Line Rent Adjustment</t>
  </si>
  <si>
    <t>LEASE EXP EQUIPMENT</t>
  </si>
  <si>
    <t>7201-91-0</t>
  </si>
  <si>
    <t>REAL PROPERTY TAXES</t>
  </si>
  <si>
    <t>7300-89-0</t>
  </si>
  <si>
    <t>Property Taxes</t>
  </si>
  <si>
    <t>PERSONAL PROPERTY TAXES</t>
  </si>
  <si>
    <t>7301-89-0</t>
  </si>
  <si>
    <t>INS FIRE AND EXTENDED COVERAGE</t>
  </si>
  <si>
    <t>7400-90-0</t>
  </si>
  <si>
    <t>INS AUTO</t>
  </si>
  <si>
    <t>7401-90-0</t>
  </si>
  <si>
    <t>INS LIABILITY</t>
  </si>
  <si>
    <t>7402-90-0</t>
  </si>
  <si>
    <t>BAD DEBTS</t>
  </si>
  <si>
    <t>7700-00-0</t>
  </si>
  <si>
    <t>Tenant Bad Debt Expense</t>
  </si>
  <si>
    <t>7891-00-0</t>
  </si>
  <si>
    <t>MED SUPPLY OXYGEN &amp; OTHER GASES</t>
  </si>
  <si>
    <t>8110-51-0</t>
  </si>
  <si>
    <t>MED SUPPLY MEDICAL CARE MATER/SUPP</t>
  </si>
  <si>
    <t>8110-54-0</t>
  </si>
  <si>
    <t>RESPIRATION THERAPY  THERAPIST WAGES</t>
  </si>
  <si>
    <t>8111-18-0</t>
  </si>
  <si>
    <t>RESPIRATION  PAYROLL TAXES</t>
  </si>
  <si>
    <t>8111-20-0</t>
  </si>
  <si>
    <t>RESPIRATION  VACA, HOLIDAY, SICK, LEAVE</t>
  </si>
  <si>
    <t>8111-24-0</t>
  </si>
  <si>
    <t>RESPIRATION HEALTH INS</t>
  </si>
  <si>
    <t>8111-25-0</t>
  </si>
  <si>
    <t>EQUIP RENTAL PURCHASED SERVICES</t>
  </si>
  <si>
    <t>8130-70-0</t>
  </si>
  <si>
    <t>PHYSICAL THERAPY WAGES TECHS &amp; THERAPISTS</t>
  </si>
  <si>
    <t>8200-15-0</t>
  </si>
  <si>
    <t>Ancillary - Therapy</t>
  </si>
  <si>
    <t>PHYSICAL THERAPY PAYROLL TAXES</t>
  </si>
  <si>
    <t>8200-20-0</t>
  </si>
  <si>
    <t>PHYSICAL THERAPY VACATION, HOLIDAY, SICK</t>
  </si>
  <si>
    <t>8200-24-0</t>
  </si>
  <si>
    <t>PHYSICAL THERAPY GROUP HEALTH INSURANCE</t>
  </si>
  <si>
    <t>8200-25-0</t>
  </si>
  <si>
    <t>PHYSICAL THERAPY WORKMEN'S COMPENSATION</t>
  </si>
  <si>
    <t>8200-27-0</t>
  </si>
  <si>
    <t>PHYSICAL THERAPY PROFESSIONAL FEES THERAPIST</t>
  </si>
  <si>
    <t>8200-45-0</t>
  </si>
  <si>
    <t>PHARMACY PURCHASED SERVICES</t>
  </si>
  <si>
    <t>8300-70-0</t>
  </si>
  <si>
    <t>Ancillary - Pharmacy</t>
  </si>
  <si>
    <t>ENTERAL PART B</t>
  </si>
  <si>
    <t>8300-75-0</t>
  </si>
  <si>
    <t>LABORATORY PURCHASED SERVICES</t>
  </si>
  <si>
    <t>8400-70-0</t>
  </si>
  <si>
    <t>X-RAY PURCHASED SERVICES</t>
  </si>
  <si>
    <t>8911-70-0</t>
  </si>
  <si>
    <t>OCCUPATIONAL THER WAGES TECHNS &amp; THERAPISTS</t>
  </si>
  <si>
    <t>8921-15-0</t>
  </si>
  <si>
    <t>OCCUPATIONAL THERAPY PAYROLL TAXES</t>
  </si>
  <si>
    <t>8921-20-0</t>
  </si>
  <si>
    <t>OCCUPATIONAL THER VACATION, HOLIDAY,SICK</t>
  </si>
  <si>
    <t>8921-24-0</t>
  </si>
  <si>
    <t>OCCUPATIONAL THERAPY GROUP HEALTH INSURANCE</t>
  </si>
  <si>
    <t>8921-25-0</t>
  </si>
  <si>
    <t>OCCUPATIONAL THER WORKMEN'S COMPENSATION</t>
  </si>
  <si>
    <t>8921-27-0</t>
  </si>
  <si>
    <t>OCCUPATIONAL THER PROFESSIONAL FEES THERAPIST</t>
  </si>
  <si>
    <t>8921-45-0</t>
  </si>
  <si>
    <t>SPEECH THERAPY WAGES TECHNICIANS &amp; THERAPISTS</t>
  </si>
  <si>
    <t>8951-15-0</t>
  </si>
  <si>
    <t>SPEECH THERAPY PAYROLL TAXES</t>
  </si>
  <si>
    <t>8951-20-0</t>
  </si>
  <si>
    <t>SPEECH THER VACATION, HOLIDAY, SICK, LEAVE</t>
  </si>
  <si>
    <t>8951-24-0</t>
  </si>
  <si>
    <t>SPEECH THERAPY GROUP HEALTH INSURANCE</t>
  </si>
  <si>
    <t>8951-25-0</t>
  </si>
  <si>
    <t>SPEECH THERAPY WORKMEN'S COMPENSATION</t>
  </si>
  <si>
    <t>8951-27-0</t>
  </si>
  <si>
    <t>SPEECH THERAPY PROFESSIONAL FEES THERAPIST</t>
  </si>
  <si>
    <t>8951-45-0</t>
  </si>
  <si>
    <t>OTHER PURCHASED SERVICES - AMBULANCE</t>
  </si>
  <si>
    <t>8991-70-0</t>
  </si>
  <si>
    <t>I.V. THERAPY</t>
  </si>
  <si>
    <t>8991-75-0</t>
  </si>
  <si>
    <t>Patient Days:</t>
  </si>
  <si>
    <t>Medicare Managed Care Patient Days</t>
  </si>
  <si>
    <t>Medicaid Managed Care Patient Days</t>
  </si>
  <si>
    <t>Revenues:</t>
  </si>
  <si>
    <t>Medicare Managed Care Revenue</t>
  </si>
  <si>
    <t>Medicaid Managed Care Revenue</t>
  </si>
  <si>
    <t>Operating Expenses:</t>
  </si>
  <si>
    <t>Non-Operating Expenses:</t>
  </si>
  <si>
    <t>Net Income - rounded</t>
  </si>
  <si>
    <t>Labor Expenses:</t>
  </si>
  <si>
    <t>#2</t>
  </si>
  <si>
    <t>Additional Info:</t>
  </si>
  <si>
    <t>balance sheet</t>
  </si>
  <si>
    <t>Capital Expenditures</t>
  </si>
  <si>
    <t>other</t>
  </si>
  <si>
    <t>A/R Write-Offs</t>
  </si>
  <si>
    <t>Line of credit availability</t>
  </si>
  <si>
    <t>EQUIPMENT RENTAL HMO LEVELS</t>
  </si>
  <si>
    <t>4140-02-0</t>
  </si>
  <si>
    <t>PHARMACY HMO LEVELS</t>
  </si>
  <si>
    <t>4300-02-0</t>
  </si>
  <si>
    <t>LAB HMO LEVEL</t>
  </si>
  <si>
    <t>4400-02-0</t>
  </si>
  <si>
    <t>LAB SUB-ACUTE MEDI-CAL</t>
  </si>
  <si>
    <t>4400-99-0</t>
  </si>
  <si>
    <t>IV THERAPY MEDICAID</t>
  </si>
  <si>
    <t>4500-05-0</t>
  </si>
  <si>
    <t>OCCUPATIONAL THERAPY  HMO LEVELS</t>
  </si>
  <si>
    <t>4921-02-0</t>
  </si>
  <si>
    <t>SPEECH THERAPY MEDICARE B EVALUATIONS</t>
  </si>
  <si>
    <t>4953-24-0</t>
  </si>
  <si>
    <t>CONTRACTUAL ADJ HMO LEVELS</t>
  </si>
  <si>
    <t>5212-02-0</t>
  </si>
  <si>
    <t>VENDING MACHINE COMISSIONS</t>
  </si>
  <si>
    <t>5710-00-0</t>
  </si>
  <si>
    <t>NURSING MINOR EQUIPMENT</t>
  </si>
  <si>
    <t>6110-61-0</t>
  </si>
  <si>
    <t>OTHER UTILITIES</t>
  </si>
  <si>
    <t>6205-85-0</t>
  </si>
  <si>
    <t>HOUSEKEEPING CLEANING SUPPLIES</t>
  </si>
  <si>
    <t>6300-57-0</t>
  </si>
  <si>
    <t>LAUNDRY CLEANING SUPPLIES</t>
  </si>
  <si>
    <t>6400-57-0</t>
  </si>
  <si>
    <t>ACTIVITIES PURCHASED SERVICES</t>
  </si>
  <si>
    <t>6700-70-0</t>
  </si>
  <si>
    <t>A&amp;G CASH OVER/SHORT</t>
  </si>
  <si>
    <t>6910-97-0</t>
  </si>
  <si>
    <t>RESPIRATION THERAPY  SUPERVISOR WAGES</t>
  </si>
  <si>
    <t>8111-17-0</t>
  </si>
  <si>
    <t>XRAY HMO LEVELS</t>
  </si>
  <si>
    <t>4911-02-0</t>
  </si>
  <si>
    <t>ADM ADJ PVT ROOM &amp; BOARD</t>
  </si>
  <si>
    <t>5200-00-0</t>
  </si>
  <si>
    <t>PHYSICAL THERAPY WAGES SUPERVISION</t>
  </si>
  <si>
    <t>8200-01-0</t>
  </si>
  <si>
    <t>42</t>
  </si>
  <si>
    <t>VETERANS LEAVE DAYS</t>
  </si>
  <si>
    <t>3120-03-1</t>
  </si>
  <si>
    <t>LEAVE DAYS VETERAN</t>
  </si>
  <si>
    <t>3120-03-0</t>
  </si>
  <si>
    <t>PROSTHETICS PART B</t>
  </si>
  <si>
    <t>4100-25-0</t>
  </si>
  <si>
    <t>PHYSICAL THERAPY MEDICAID CA EVALUATIONS</t>
  </si>
  <si>
    <t>4210-08-0</t>
  </si>
  <si>
    <t>XRAY  SUB-ACUTE MEDI-CAL</t>
  </si>
  <si>
    <t>4911-99-0</t>
  </si>
  <si>
    <t>MEDICAID CA OT EVALUATIONS</t>
  </si>
  <si>
    <t>4922-05-0</t>
  </si>
  <si>
    <t>OCCUPATIONAL THERAPY MEDICAID CA EVALUATION</t>
  </si>
  <si>
    <t>4922-08-0</t>
  </si>
  <si>
    <t>SPEECH THERAPY VETERAN INPATIENT</t>
  </si>
  <si>
    <t>4951-03-0</t>
  </si>
  <si>
    <t>PHYSICIAN REVENUE</t>
  </si>
  <si>
    <t>5991-20-0</t>
  </si>
  <si>
    <t>NURSING MEDICAL CARE MATERIAL/SUPPLIES</t>
  </si>
  <si>
    <t>6110-54-0</t>
  </si>
  <si>
    <t>RESPIRATION WORKERS COMP</t>
  </si>
  <si>
    <t>8111-27-0</t>
  </si>
  <si>
    <t>OCCUP THER MEDICAL CARE MATERIALS &amp; SUPPLIES</t>
  </si>
  <si>
    <t>8921-54-0</t>
  </si>
  <si>
    <t>04-RAMONA NURSING &amp; REHAB CENTER</t>
  </si>
  <si>
    <t>BED HOLD</t>
  </si>
  <si>
    <t>3120-01-0</t>
  </si>
  <si>
    <t>PHARMACY SUB-ACUTE MEDI-CAL</t>
  </si>
  <si>
    <t>4300-99-0</t>
  </si>
  <si>
    <t>IV THERAPY PRIVATE</t>
  </si>
  <si>
    <t>4500-00-0</t>
  </si>
  <si>
    <t>IV THERAPY VETERAN</t>
  </si>
  <si>
    <t>4500-03-0</t>
  </si>
  <si>
    <t>INHALATION MEDICARE INPATIENT</t>
  </si>
  <si>
    <t>4931-04-0</t>
  </si>
  <si>
    <t>SPEECH THERAPY COMMERCIAL B EVALUATIONS</t>
  </si>
  <si>
    <t>4953-21-0</t>
  </si>
  <si>
    <t>A&amp;G RELOCATION/RENT</t>
  </si>
  <si>
    <t>6909-82-0</t>
  </si>
  <si>
    <t>MED SUPPLY PURCHASED SERVICE</t>
  </si>
  <si>
    <t>8110-70-0</t>
  </si>
  <si>
    <t>POLITICAL CONTRIBUTIONS</t>
  </si>
  <si>
    <t>9100-01-0</t>
  </si>
  <si>
    <t>North American</t>
  </si>
  <si>
    <t>Total Payor Patient Days</t>
  </si>
  <si>
    <t>Particulars</t>
  </si>
  <si>
    <t>Service Fees</t>
  </si>
  <si>
    <t>Total Tenant Revenues</t>
  </si>
  <si>
    <t>Tenant Operating Expenses</t>
  </si>
  <si>
    <t>Tenant Management Fee - Actual</t>
  </si>
  <si>
    <t>Refer Note: 1</t>
  </si>
  <si>
    <t>Refer Note: 2</t>
  </si>
  <si>
    <t>Refer Note: 3</t>
  </si>
  <si>
    <t>Note: 2</t>
  </si>
  <si>
    <t>Due to Tenant financials restated after uploaded the respective month template</t>
  </si>
  <si>
    <t xml:space="preserve">  Telehealth HMO Part B</t>
  </si>
  <si>
    <t xml:space="preserve">  Telehealth Medicare Part B</t>
  </si>
  <si>
    <t xml:space="preserve">  Covid - Other Revenue</t>
  </si>
  <si>
    <t xml:space="preserve">  Covid - Registry Hero Pay</t>
  </si>
  <si>
    <t xml:space="preserve">  Covid - Employee Benefits</t>
  </si>
  <si>
    <t xml:space="preserve">  Covid - Nursing</t>
  </si>
  <si>
    <t xml:space="preserve">  Covid - Laundry</t>
  </si>
  <si>
    <t xml:space="preserve">  Covid - Dietary</t>
  </si>
  <si>
    <t xml:space="preserve">  Covid - Housekeeping</t>
  </si>
  <si>
    <t xml:space="preserve">  Covid - Utilities</t>
  </si>
  <si>
    <t xml:space="preserve">  Covid - Administration</t>
  </si>
  <si>
    <t>Variance of ($208) exists in Apr’2020 for “Danville Post-Acute Rehab” due to "Medicare Part B" item has been mismatch between Reporting Template and Tenant Financials.</t>
  </si>
  <si>
    <t xml:space="preserve"> </t>
  </si>
  <si>
    <t>May'2020 BPC Data</t>
  </si>
  <si>
    <t>May'2020 TF Data</t>
  </si>
  <si>
    <t>Park Ridge Care Center [NA34-F]</t>
  </si>
  <si>
    <t xml:space="preserve">  Rehab Director</t>
  </si>
  <si>
    <t xml:space="preserve">  Covid - Auto</t>
  </si>
  <si>
    <t xml:space="preserve">  Covid - Activity Supplies</t>
  </si>
  <si>
    <t>Apr'2020 TF Data</t>
  </si>
  <si>
    <t>Apr'2020 BPC Data</t>
  </si>
  <si>
    <t>Apr'2020 TF Data After restated</t>
  </si>
  <si>
    <t>Apr'2020 TF Data Before Restaed</t>
  </si>
  <si>
    <t>41-ORANGE COAST CARE, INC. [NA41-F]</t>
  </si>
  <si>
    <t>Total  Variance</t>
  </si>
  <si>
    <t>Jul'2020 TF Data After Restated</t>
  </si>
  <si>
    <t>Jul'2020 TF Data Before Restated</t>
  </si>
  <si>
    <t>21-ALAMITOS-BELMONT REHAB HOSPI ]NA21-F]</t>
  </si>
  <si>
    <t>Revenue Notes: -</t>
  </si>
  <si>
    <t>Refer Note: i</t>
  </si>
  <si>
    <t>Refer Note: ii</t>
  </si>
  <si>
    <t>Refer Note: iii</t>
  </si>
  <si>
    <t>Refer Note: iv</t>
  </si>
  <si>
    <t>i.</t>
  </si>
  <si>
    <t>ii.</t>
  </si>
  <si>
    <t>iii.</t>
  </si>
  <si>
    <t>iv.</t>
  </si>
  <si>
    <t xml:space="preserve">Variance of ($1,920.89) exists in Jun'20 for 'University Post-Acute Rehab [NA09-F]' due to 'Medicare Part B' item has been mismatch between the Reporting Template and Tenant financials. </t>
  </si>
  <si>
    <t>Note:1</t>
  </si>
  <si>
    <t>Note:3</t>
  </si>
  <si>
    <t>NA21-F</t>
  </si>
  <si>
    <t>NA22-F</t>
  </si>
  <si>
    <t>NA06-F</t>
  </si>
  <si>
    <t>NA35-F</t>
  </si>
  <si>
    <t>NA05-F</t>
  </si>
  <si>
    <t>NA28-F</t>
  </si>
  <si>
    <t>NA03-F</t>
  </si>
  <si>
    <t>NA04-F</t>
  </si>
  <si>
    <t>NA30-F</t>
  </si>
  <si>
    <t>NA32-F</t>
  </si>
  <si>
    <t>NA14-F</t>
  </si>
  <si>
    <t>NA25-F</t>
  </si>
  <si>
    <t>NA17-F</t>
  </si>
  <si>
    <t>NA31-F</t>
  </si>
  <si>
    <t>NA36-F</t>
  </si>
  <si>
    <t>NA15-F</t>
  </si>
  <si>
    <t>NA09-F</t>
  </si>
  <si>
    <t>NA12-F</t>
  </si>
  <si>
    <t>NA38-F</t>
  </si>
  <si>
    <t>NA37-F</t>
  </si>
  <si>
    <t>NA34-F</t>
  </si>
  <si>
    <t>NA33-F</t>
  </si>
  <si>
    <t>NA41-F</t>
  </si>
  <si>
    <t>Total Opearting Expense</t>
  </si>
  <si>
    <t xml:space="preserve">Reporting Template </t>
  </si>
  <si>
    <t>Claim expense</t>
  </si>
  <si>
    <t>Equipment Rental</t>
  </si>
  <si>
    <t xml:space="preserve">Variance exists in Dec'20 due to Reporting Template mismatched with Tenant Financials </t>
  </si>
  <si>
    <t>Sep'2020 TF Data After Restated</t>
  </si>
  <si>
    <t>Sep'2020 TF Data Before Restated</t>
  </si>
  <si>
    <t>41-ORANGE COAST CARE, INC.]NA41-F]</t>
  </si>
  <si>
    <t>Refer Note: v</t>
  </si>
  <si>
    <t xml:space="preserve">Variance of ($1,177) exists in Dec'20 for 'Edgewater Skilled Nursing Center [NA35-F]' due to 'Other Revenue' item has been mismatch between the Reporting Template and Tenant financials. </t>
  </si>
  <si>
    <t>2021</t>
  </si>
  <si>
    <t>v.</t>
  </si>
  <si>
    <t>Variance of (1,241.64) exists in Jan'21 for 'Danville Health Care Center [NA17-F]' due to 'PHYSICAL THERAPY HMO PART B' item has been mismatch between the Reporting Template and Tenant financials</t>
  </si>
  <si>
    <t>Line item</t>
  </si>
  <si>
    <t>Dec'20 after restated</t>
  </si>
  <si>
    <t>Dec'20 before restated</t>
  </si>
  <si>
    <t>Refer Note: 4</t>
  </si>
  <si>
    <t>Refer Note: 5</t>
  </si>
  <si>
    <t>Refer Note: 6</t>
  </si>
  <si>
    <t>Variance of $38,172 exists in Dec'20 for some properties due to mismatched between Reporting Template and Tenant Financials for some items</t>
  </si>
  <si>
    <t>Variance of ($14,165) exists in Jan'21 for some properties due to mismatched between Reporting Template and Tenant Financials for some items</t>
  </si>
  <si>
    <t>Refer note :6</t>
  </si>
  <si>
    <t>Dec'2020 TF Data After Restated</t>
  </si>
  <si>
    <t>Dec'2020 TF Data Before Restated</t>
  </si>
  <si>
    <t>Refer Note: 7</t>
  </si>
  <si>
    <t>Refer Note: 8</t>
  </si>
  <si>
    <t>Refer note :7</t>
  </si>
  <si>
    <t>Refer note :8</t>
  </si>
  <si>
    <t>Variance of $9,054 exists in Feb'21 for some properties due to mismatched between Reporting Template and Tenant Financials for some items</t>
  </si>
  <si>
    <t>Variance of ($991.80) exists in Mar'2020 for 'Coventry Court Health Center [NA13-F]' due to 'PHYSICAL THERAPY HMO PART B' has been mismatch between the Reporting Template and Tenant financials</t>
  </si>
  <si>
    <t>Variance of $36,737 exists in Dec'20 for some properties due to Tenant Financials restated for some items</t>
  </si>
  <si>
    <t xml:space="preserve">  Hospice</t>
  </si>
  <si>
    <t xml:space="preserve">  Ancillaries</t>
  </si>
  <si>
    <t xml:space="preserve">  Recuction From Revenue</t>
  </si>
  <si>
    <t xml:space="preserve">  Registry</t>
  </si>
  <si>
    <t xml:space="preserve">  Taxes &amp; Licenses</t>
  </si>
  <si>
    <t>Jan'21 After restated</t>
  </si>
  <si>
    <t>Feb'21 Before restated</t>
  </si>
  <si>
    <t>variance</t>
  </si>
  <si>
    <t>Feb'21 After restated</t>
  </si>
  <si>
    <t>Jan'21 Before restated</t>
  </si>
  <si>
    <t>Total Income variance</t>
  </si>
  <si>
    <t>Labor</t>
  </si>
  <si>
    <t>Non-Operating Expenses</t>
  </si>
  <si>
    <t>Total OPEX variance</t>
  </si>
  <si>
    <t>Due to Tenant Financials restated</t>
  </si>
  <si>
    <t>TF</t>
  </si>
  <si>
    <t>Property</t>
  </si>
  <si>
    <t>Alamitos-Belmont Rehabilitation Hospital</t>
  </si>
  <si>
    <t>Chatsworth Park Health Care Center</t>
  </si>
  <si>
    <t>Edgewater Skilled Nursing Center</t>
  </si>
  <si>
    <t>Ramona Nursing &amp; Rehab Center</t>
  </si>
  <si>
    <t>Coventry Court Health Center</t>
  </si>
  <si>
    <t>Grand Terrace Health Care Center</t>
  </si>
  <si>
    <t>Fairmont Rehabilitation Hospital</t>
  </si>
  <si>
    <t>Pacifica Nursing &amp; Rehab Center</t>
  </si>
  <si>
    <t>Woodland Nursing &amp; Rehabilitation</t>
  </si>
  <si>
    <t>Burien Nursing &amp; Rehabilitation Center</t>
  </si>
  <si>
    <t>Issaquah Nursing &amp; Rehabilitation Center</t>
  </si>
  <si>
    <t>Park Ridge Care Center</t>
  </si>
  <si>
    <t>Orange Coast Care</t>
  </si>
  <si>
    <t>NA13-F</t>
  </si>
  <si>
    <t>Line items</t>
  </si>
  <si>
    <t>TF Data after restated Jan'21</t>
  </si>
  <si>
    <t>TF Data before restated Jan'21</t>
  </si>
  <si>
    <t>Propertie wise &gt;&gt;&gt;</t>
  </si>
  <si>
    <t>TF Data after restated Jan'21 &gt;&gt;&gt;</t>
  </si>
  <si>
    <t>TF Data before restated Jan'21 &gt;&gt;&gt;</t>
  </si>
  <si>
    <t>Due to mismatch between Reporting Template and Tenant Financials</t>
  </si>
  <si>
    <t>Jan 2021 Total Revenue variance</t>
  </si>
  <si>
    <t>Variance Analysis Summary</t>
  </si>
  <si>
    <t>February 2021</t>
  </si>
  <si>
    <t>Total Revenue&gt;&gt;&gt;</t>
  </si>
  <si>
    <t>JANUARY 2021</t>
  </si>
  <si>
    <t>Difference&gt;&gt;&gt;</t>
  </si>
  <si>
    <t>Total OPEX&gt;&gt;&gt;</t>
  </si>
  <si>
    <t>Jan 2021 Total OPEX variance</t>
  </si>
  <si>
    <t>TF Data after restated Feb'21 &gt;&gt;&gt;</t>
  </si>
  <si>
    <t>TF Data before restated Feb'21 &gt;&gt;&gt;</t>
  </si>
  <si>
    <t>Feb 2021 Total Revenue variance</t>
  </si>
  <si>
    <t>Feb 2021 Total OPEX variance</t>
  </si>
  <si>
    <t>March 2021</t>
  </si>
  <si>
    <t>Mar 2021 Total OPEX variance</t>
  </si>
  <si>
    <t>Mar 2021 Total Revenue variance</t>
  </si>
  <si>
    <t>MARCH 2021</t>
  </si>
  <si>
    <t>Total Tenant Operating Expenses</t>
  </si>
  <si>
    <t>Tenant Net Income</t>
  </si>
  <si>
    <t>Total Non-Operating Expenses</t>
  </si>
  <si>
    <t>2021 Total Revenue difference</t>
  </si>
  <si>
    <t>FEBRUARY 2021</t>
  </si>
  <si>
    <t>2021 Total Operating Expenses difference</t>
  </si>
  <si>
    <t xml:space="preserve">  Other Expense</t>
  </si>
  <si>
    <t>Refer "Jan 21 diff" sheet for line item wise &amp; property wise detailed view &gt;&gt;&gt;</t>
  </si>
  <si>
    <t>Refer "Feb 21 diff" sheet for line item wise &amp; property wise detailed view &gt;&gt;&gt;</t>
  </si>
  <si>
    <t>TF Mar'21 &gt;&gt;&gt;</t>
  </si>
  <si>
    <t>BPC Mar'21 &gt;&gt;&gt;</t>
  </si>
  <si>
    <t>Total Operating Expenses</t>
  </si>
  <si>
    <t>Refer "Mar 21 diff" sheet for property wise only detailed view &gt;&gt;&gt;</t>
  </si>
  <si>
    <t>TF Jan'21 &gt;&gt;&gt;</t>
  </si>
  <si>
    <t>BPC Jan'21 &gt;&gt;&gt;</t>
  </si>
  <si>
    <t>May</t>
  </si>
  <si>
    <t>Jun</t>
  </si>
  <si>
    <t>Jul</t>
  </si>
  <si>
    <t>Aug</t>
  </si>
  <si>
    <t>Sep</t>
  </si>
  <si>
    <t>Oct</t>
  </si>
  <si>
    <t>Nov</t>
  </si>
  <si>
    <t>Dec</t>
  </si>
  <si>
    <t>Apr</t>
  </si>
  <si>
    <t>2020</t>
  </si>
  <si>
    <t xml:space="preserve">  Tricare Days</t>
  </si>
  <si>
    <t>Available Days</t>
  </si>
  <si>
    <t xml:space="preserve">  Tricare</t>
  </si>
  <si>
    <t xml:space="preserve">  Premium Revenue</t>
  </si>
  <si>
    <t xml:space="preserve">  Prior Year Adjustments</t>
  </si>
  <si>
    <t xml:space="preserve">  Infection Control Prevention</t>
  </si>
  <si>
    <t xml:space="preserve">  Radioloy Technician</t>
  </si>
  <si>
    <t xml:space="preserve">  Phlebotomist</t>
  </si>
  <si>
    <t xml:space="preserve">  Ultrasound Technician</t>
  </si>
  <si>
    <t xml:space="preserve">  Covid - Ancillary Hero Pay</t>
  </si>
  <si>
    <t xml:space="preserve">  Covid - Administration Hero Pay</t>
  </si>
  <si>
    <t xml:space="preserve">  Covid - Hero Pay</t>
  </si>
  <si>
    <t xml:space="preserve">  Change in IBNR Reserve</t>
  </si>
  <si>
    <t xml:space="preserve">  Claims Indemnity Expense</t>
  </si>
  <si>
    <t xml:space="preserve">  Change in Case Recoverable</t>
  </si>
  <si>
    <t xml:space="preserve">  Deferred Tax Expense</t>
  </si>
  <si>
    <t>5?? units</t>
  </si>
  <si>
    <t>Particular</t>
  </si>
  <si>
    <t>Apr 2021 Total Revenue variance</t>
  </si>
  <si>
    <t>April 2021</t>
  </si>
  <si>
    <t>TF Apr'21 &gt;&gt;&gt;</t>
  </si>
  <si>
    <t>BPC Apr'21 &gt;&gt;&gt;</t>
  </si>
  <si>
    <t>TF Data after restated Mar'21 &gt;&gt;&gt;</t>
  </si>
  <si>
    <t>TF Data before restated Mar'21 &gt;&gt;&gt;</t>
  </si>
  <si>
    <t>Mar'21 After restated</t>
  </si>
  <si>
    <t>Mar'21 Before restated</t>
  </si>
  <si>
    <t>Non-Labor</t>
  </si>
  <si>
    <t xml:space="preserve">  Change in IBNR Recoverable</t>
  </si>
  <si>
    <t>YTD ending 8/31/2021</t>
  </si>
  <si>
    <t>For the Eight Months Ending Tuesday, August 31, 2021</t>
  </si>
  <si>
    <t>Variance of ($56.90) exists in Jun'21, ($134.22) exists in Jul'21 &amp; ($99.34) exists in Aug'21 for 'Broadway by the Sea' property. It seems that "COMPLIANCE-TRAVEL" item has been newly came and already mapped under 'General &amp; Administrative - Other' head in the Jun'21 to Aug'21 Reporting Templates, But in the provided Tenant Financials this item does not showing and not consider under any accounts due to this effect variances exists in Operating Expenses and 'Net Income' also didn't matched.</t>
  </si>
  <si>
    <t>Bed counts data has been changed from month to months for "Burien Nursing &amp; Rehabilitation Center" property
Previous months - 109 Beds
Jul'21 &amp; Aug'21 - 107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</si>
</sst>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_(* #,##0_);_(* \(#,##0\);_(* &quot;-&quot;??_);_(@_)"/>
    <numFmt numFmtId="165" formatCode="#,###,##0;\(#,###,##0\)"/>
    <numFmt numFmtId="166" formatCode="#,##0.00;\(#,##0.00\)"/>
    <numFmt numFmtId="167" formatCode="#,###,##0.00;\(#,###,##0.00\)"/>
    <numFmt numFmtId="168" formatCode="#,##0;\(#,##0\)"/>
    <numFmt numFmtId="169" formatCode="&quot;$&quot;#,##0.00;\(&quot;$&quot;#,##0.00\)"/>
    <numFmt numFmtId="170" formatCode="###0.0%;\(###0.0%\)"/>
    <numFmt numFmtId="171" formatCode="mmmm\ yyyy\ &quot;TTM&quot;"/>
    <numFmt numFmtId="172" formatCode="_(* #,##0_);_(* \(\ #,##0\ \);_(* &quot;-&quot;??_);_(\ @_ \)"/>
    <numFmt numFmtId="173" formatCode="[$$]#,##0.00_);\([$$]#,##0.00\)"/>
    <numFmt numFmtId="174" formatCode="_(&quot;$&quot;* #,##0_);_(&quot;$&quot;* \(#,##0\);_(&quot;$&quot;* &quot;-&quot;??_);_(@_)"/>
  </numFmts>
  <fonts count="5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1"/>
      <name val="Arial"/>
      <family val="2"/>
    </font>
    <font>
      <b/>
      <sz val="11"/>
      <color theme="3"/>
      <name val="Calibri"/>
      <family val="2"/>
      <scheme val="minor"/>
    </font>
    <font>
      <sz val="10"/>
      <color indexed="0"/>
      <name val="Arial"/>
      <family val="2"/>
    </font>
    <font>
      <sz val="10"/>
      <color indexed="8"/>
      <name val="Arial"/>
      <family val="2"/>
    </font>
    <font>
      <b/>
      <sz val="12"/>
      <color indexed="0"/>
      <name val="Microsoft Sans Serif"/>
      <family val="2"/>
    </font>
    <font>
      <sz val="10"/>
      <color indexed="0"/>
      <name val="Microsoft Sans Serif"/>
      <family val="2"/>
    </font>
    <font>
      <b/>
      <u/>
      <sz val="12"/>
      <color indexed="0"/>
      <name val="Microsoft Sans Serif"/>
      <family val="2"/>
    </font>
    <font>
      <b/>
      <sz val="10"/>
      <color indexed="0"/>
      <name val="Microsoft Sans Serif"/>
      <family val="2"/>
    </font>
    <font>
      <b/>
      <i/>
      <sz val="10"/>
      <color indexed="0"/>
      <name val="MS Reference Sans Serif"/>
      <family val="2"/>
    </font>
    <font>
      <b/>
      <sz val="10"/>
      <name val="Arial"/>
      <family val="2"/>
    </font>
    <font>
      <sz val="11"/>
      <name val="Calibri"/>
      <family val="2"/>
      <scheme val="minor"/>
    </font>
    <font>
      <sz val="8.25"/>
      <color rgb="FF000000"/>
      <name val="Microsoft Sans Serif"/>
      <family val="2"/>
    </font>
    <font>
      <b/>
      <sz val="10"/>
      <color theme="3" tint="0.39997558519241921"/>
      <name val="Arial"/>
      <family val="2"/>
    </font>
    <font>
      <b/>
      <sz val="10"/>
      <color theme="3" tint="-0.249977111117893"/>
      <name val="Arial"/>
      <family val="2"/>
    </font>
    <font>
      <b/>
      <sz val="10"/>
      <color theme="0"/>
      <name val="Arial"/>
      <family val="2"/>
    </font>
    <font>
      <b/>
      <sz val="10"/>
      <color indexed="9"/>
      <name val="Arial"/>
      <family val="2"/>
    </font>
    <font>
      <sz val="10"/>
      <color indexed="17"/>
      <name val="Arial"/>
      <family val="2"/>
    </font>
    <font>
      <u val="singleAccounting"/>
      <sz val="10"/>
      <color indexed="17"/>
      <name val="Arial"/>
      <family val="2"/>
    </font>
    <font>
      <sz val="8.85"/>
      <color rgb="FF000000"/>
      <name val="Arial"/>
      <family val="2"/>
    </font>
    <font>
      <sz val="8.85"/>
      <color rgb="FF000000"/>
      <name val="Arial"/>
      <family val="2"/>
    </font>
    <font>
      <sz val="11"/>
      <color indexed="8"/>
      <name val="Calibri"/>
      <family val="2"/>
    </font>
    <font>
      <b/>
      <sz val="8.85"/>
      <color rgb="FF000000"/>
      <name val="Arial"/>
      <family val="2"/>
    </font>
    <font>
      <i/>
      <sz val="11"/>
      <color theme="1"/>
      <name val="Calibri"/>
      <family val="2"/>
      <scheme val="minor"/>
    </font>
    <font>
      <sz val="8.85"/>
      <color rgb="FF000000"/>
      <name val="Tahoma"/>
      <family val="2"/>
    </font>
    <font>
      <b/>
      <sz val="14"/>
      <color theme="1"/>
      <name val="Calibri"/>
      <family val="2"/>
      <scheme val="minor"/>
    </font>
    <font>
      <b/>
      <sz val="11"/>
      <color indexed="12"/>
      <name val="Calibri"/>
      <family val="2"/>
    </font>
    <font>
      <b/>
      <sz val="11"/>
      <name val="Calibri"/>
      <family val="2"/>
      <scheme val="minor"/>
    </font>
    <font>
      <sz val="11"/>
      <name val="Calibri"/>
      <family val="2"/>
    </font>
    <font>
      <sz val="11"/>
      <color indexed="12"/>
      <name val="Calibri"/>
      <family val="2"/>
    </font>
    <font>
      <sz val="10"/>
      <color theme="1"/>
      <name val="Calibri"/>
      <family val="2"/>
      <scheme val="minor"/>
    </font>
    <font>
      <sz val="8.85"/>
      <color rgb="FF000000"/>
      <name val="Arial"/>
      <family val="2"/>
    </font>
    <font>
      <b/>
      <sz val="14"/>
      <color rgb="FFFF0000"/>
      <name val="Calibri"/>
      <family val="2"/>
      <scheme val="minor"/>
    </font>
    <font>
      <sz val="8.85"/>
      <color rgb="FF000000"/>
      <name val="Arial"/>
      <family val="2"/>
    </font>
    <font>
      <sz val="8.85"/>
      <color rgb="FF000000"/>
      <name val="Arial"/>
      <family val="2"/>
    </font>
    <font>
      <sz val="8.85"/>
      <color rgb="FF000000"/>
      <name val="Arial"/>
      <family val="2"/>
    </font>
    <font>
      <b/>
      <sz val="10"/>
      <color theme="1"/>
      <name val="Calibri"/>
      <family val="2"/>
      <scheme val="minor"/>
    </font>
    <font>
      <b/>
      <sz val="13"/>
      <color theme="1"/>
      <name val="Calibri"/>
      <family val="2"/>
      <scheme val="minor"/>
    </font>
    <font>
      <b/>
      <sz val="12"/>
      <color theme="1"/>
      <name val="Calibri"/>
      <family val="2"/>
      <scheme val="minor"/>
    </font>
    <font>
      <b/>
      <sz val="10"/>
      <color rgb="FFFF0000"/>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sz val="10"/>
      <color rgb="FF000000"/>
      <name val="Arial"/>
      <family val="2"/>
    </font>
    <font>
      <sz val="11"/>
      <color rgb="FF000000"/>
      <name val="Calibri"/>
      <family val="2"/>
      <scheme val="minor"/>
    </font>
    <font>
      <b/>
      <sz val="11"/>
      <color rgb="FF000000"/>
      <name val="Calibri"/>
      <family val="2"/>
      <scheme val="minor"/>
    </font>
    <font>
      <sz val="12"/>
      <color theme="1"/>
      <name val="Calibri"/>
      <family val="2"/>
      <scheme val="minor"/>
    </font>
    <font>
      <b/>
      <sz val="11"/>
      <color rgb="FFFF0000"/>
      <name val="Calibri"/>
      <family val="2"/>
      <scheme val="minor"/>
    </font>
    <font>
      <b/>
      <sz val="10"/>
      <color rgb="FF000000"/>
      <name val="Arial"/>
      <family val="2"/>
    </font>
    <font>
      <b/>
      <sz val="13"/>
      <color rgb="FF000000"/>
      <name val="Calibri"/>
      <family val="2"/>
      <scheme val="minor"/>
    </font>
  </fonts>
  <fills count="21">
    <fill>
      <patternFill patternType="none"/>
    </fill>
    <fill>
      <patternFill patternType="gray125"/>
    </fill>
    <fill>
      <patternFill patternType="solid">
        <fgColor theme="1"/>
        <bgColor indexed="64"/>
      </patternFill>
    </fill>
    <fill>
      <patternFill patternType="solid">
        <fgColor indexed="8"/>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7" tint="0.39997558519241921"/>
        <bgColor indexed="64"/>
      </patternFill>
    </fill>
  </fills>
  <borders count="48">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rgb="FF000000"/>
      </bottom>
      <diagonal/>
    </border>
    <border>
      <left/>
      <right/>
      <top/>
      <bottom style="double">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s>
  <cellStyleXfs count="103">
    <xf numFmtId="0" fontId="0" fillId="0" borderId="0"/>
    <xf numFmtId="43" fontId="1" fillId="0" borderId="0" applyFont="0" applyFill="0" applyBorder="0" applyAlignment="0" applyProtection="0"/>
    <xf numFmtId="0" fontId="3"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6" fillId="0" borderId="0"/>
    <xf numFmtId="166" fontId="6" fillId="0" borderId="0"/>
    <xf numFmtId="43" fontId="6" fillId="0" borderId="0" applyFont="0" applyFill="0" applyBorder="0" applyAlignment="0" applyProtection="0"/>
    <xf numFmtId="166" fontId="6" fillId="0" borderId="0"/>
    <xf numFmtId="44" fontId="3" fillId="0" borderId="0" applyFont="0" applyFill="0" applyBorder="0" applyAlignment="0" applyProtection="0"/>
    <xf numFmtId="44" fontId="3" fillId="0" borderId="0" applyFont="0" applyFill="0" applyBorder="0" applyAlignment="0" applyProtection="0"/>
    <xf numFmtId="167" fontId="6" fillId="0" borderId="0"/>
    <xf numFmtId="165" fontId="6" fillId="0" borderId="0"/>
    <xf numFmtId="165" fontId="6" fillId="0" borderId="0"/>
    <xf numFmtId="167" fontId="6" fillId="0" borderId="0"/>
    <xf numFmtId="165" fontId="6" fillId="0" borderId="0"/>
    <xf numFmtId="167" fontId="6" fillId="0" borderId="0"/>
    <xf numFmtId="167" fontId="6" fillId="0" borderId="0"/>
    <xf numFmtId="165" fontId="6" fillId="0" borderId="0"/>
    <xf numFmtId="165" fontId="6" fillId="0" borderId="0"/>
    <xf numFmtId="167" fontId="6" fillId="0" borderId="0"/>
    <xf numFmtId="168" fontId="6" fillId="0" borderId="0"/>
    <xf numFmtId="165" fontId="6" fillId="0" borderId="0"/>
    <xf numFmtId="167" fontId="6" fillId="0" borderId="0"/>
    <xf numFmtId="165" fontId="6" fillId="0" borderId="0"/>
    <xf numFmtId="167" fontId="6" fillId="0" borderId="0"/>
    <xf numFmtId="165" fontId="6" fillId="0" borderId="0"/>
    <xf numFmtId="167" fontId="6" fillId="0" borderId="0"/>
    <xf numFmtId="165" fontId="6" fillId="0" borderId="0"/>
    <xf numFmtId="167" fontId="6" fillId="0" borderId="0"/>
    <xf numFmtId="166" fontId="6" fillId="0" borderId="0"/>
    <xf numFmtId="168" fontId="6" fillId="0" borderId="0"/>
    <xf numFmtId="166" fontId="6" fillId="0" borderId="0"/>
    <xf numFmtId="166" fontId="6" fillId="0" borderId="0"/>
    <xf numFmtId="168" fontId="6" fillId="0" borderId="0"/>
    <xf numFmtId="166" fontId="6" fillId="0" borderId="0"/>
    <xf numFmtId="168" fontId="6" fillId="0" borderId="0"/>
    <xf numFmtId="166" fontId="6" fillId="0" borderId="0"/>
    <xf numFmtId="168" fontId="6" fillId="0" borderId="0"/>
    <xf numFmtId="165" fontId="6" fillId="0" borderId="0"/>
    <xf numFmtId="167" fontId="6" fillId="0" borderId="0"/>
    <xf numFmtId="167" fontId="6" fillId="0" borderId="0"/>
    <xf numFmtId="165" fontId="6" fillId="0" borderId="0"/>
    <xf numFmtId="165" fontId="6" fillId="0" borderId="0"/>
    <xf numFmtId="167" fontId="6" fillId="0" borderId="0"/>
    <xf numFmtId="169" fontId="6" fillId="0" borderId="0"/>
    <xf numFmtId="170" fontId="6" fillId="0" borderId="0"/>
    <xf numFmtId="0" fontId="5" fillId="0" borderId="0" applyNumberFormat="0" applyFill="0" applyBorder="0" applyAlignment="0" applyProtection="0"/>
    <xf numFmtId="0" fontId="6" fillId="0" borderId="0"/>
    <xf numFmtId="0" fontId="6" fillId="0" borderId="0"/>
    <xf numFmtId="0" fontId="7" fillId="0" borderId="0">
      <alignment vertical="top"/>
    </xf>
    <xf numFmtId="0" fontId="6" fillId="0" borderId="0"/>
    <xf numFmtId="0" fontId="7" fillId="0" borderId="0">
      <alignment vertical="top"/>
    </xf>
    <xf numFmtId="0" fontId="3" fillId="0" borderId="0"/>
    <xf numFmtId="0" fontId="6" fillId="0" borderId="0"/>
    <xf numFmtId="0" fontId="6" fillId="0" borderId="0"/>
    <xf numFmtId="0" fontId="6" fillId="0" borderId="0"/>
    <xf numFmtId="0" fontId="7" fillId="0" borderId="0">
      <alignment vertical="top"/>
    </xf>
    <xf numFmtId="0" fontId="6" fillId="0" borderId="0"/>
    <xf numFmtId="0" fontId="6" fillId="0" borderId="0"/>
    <xf numFmtId="0" fontId="6" fillId="0" borderId="0"/>
    <xf numFmtId="0" fontId="6" fillId="0" borderId="0"/>
    <xf numFmtId="0" fontId="7" fillId="0" borderId="0">
      <alignment vertical="top"/>
    </xf>
    <xf numFmtId="0" fontId="6" fillId="0" borderId="0"/>
    <xf numFmtId="0" fontId="7" fillId="0" borderId="0">
      <alignment vertical="top"/>
    </xf>
    <xf numFmtId="0" fontId="3" fillId="0" borderId="0"/>
    <xf numFmtId="0" fontId="6" fillId="0" borderId="0"/>
    <xf numFmtId="0" fontId="3" fillId="0" borderId="0"/>
    <xf numFmtId="0" fontId="6" fillId="0" borderId="0"/>
    <xf numFmtId="0" fontId="3" fillId="0" borderId="0"/>
    <xf numFmtId="0" fontId="7" fillId="0" borderId="0">
      <alignment vertical="top"/>
    </xf>
    <xf numFmtId="0" fontId="6" fillId="0" borderId="0"/>
    <xf numFmtId="0" fontId="6" fillId="0" borderId="0"/>
    <xf numFmtId="0" fontId="7" fillId="0" borderId="0">
      <alignment vertical="top"/>
    </xf>
    <xf numFmtId="0" fontId="6" fillId="0" borderId="0"/>
    <xf numFmtId="0" fontId="6" fillId="0" borderId="0"/>
    <xf numFmtId="0" fontId="7" fillId="0" borderId="0">
      <alignment vertical="top"/>
    </xf>
    <xf numFmtId="0" fontId="6" fillId="0" borderId="0"/>
    <xf numFmtId="0" fontId="8" fillId="0" borderId="0"/>
    <xf numFmtId="0" fontId="9" fillId="0" borderId="0"/>
    <xf numFmtId="0" fontId="10" fillId="0" borderId="0"/>
    <xf numFmtId="0" fontId="11" fillId="0" borderId="0"/>
    <xf numFmtId="0" fontId="8" fillId="3" borderId="0"/>
    <xf numFmtId="0" fontId="12" fillId="0" borderId="0"/>
    <xf numFmtId="43" fontId="3" fillId="0" borderId="0" applyFont="0" applyFill="0" applyBorder="0" applyAlignment="0" applyProtection="0"/>
    <xf numFmtId="0" fontId="15" fillId="0" borderId="0" applyAlignment="0"/>
    <xf numFmtId="0" fontId="3" fillId="0" borderId="0"/>
    <xf numFmtId="0" fontId="22" fillId="0" borderId="0" applyAlignment="0"/>
    <xf numFmtId="0" fontId="23" fillId="0" borderId="0" applyAlignment="0"/>
    <xf numFmtId="9" fontId="1" fillId="0" borderId="0" applyFont="0" applyFill="0" applyBorder="0" applyAlignment="0" applyProtection="0"/>
    <xf numFmtId="43" fontId="24" fillId="0" borderId="0" applyFont="0" applyFill="0" applyBorder="0" applyAlignment="0" applyProtection="0"/>
    <xf numFmtId="0" fontId="13" fillId="0" borderId="15">
      <alignment horizontal="left" wrapText="1"/>
    </xf>
    <xf numFmtId="43" fontId="3" fillId="0" borderId="0" applyFont="0" applyFill="0" applyBorder="0" applyAlignment="0" applyProtection="0"/>
    <xf numFmtId="0" fontId="3" fillId="0" borderId="0"/>
    <xf numFmtId="43" fontId="24" fillId="0" borderId="0" applyFont="0" applyFill="0" applyBorder="0" applyAlignment="0" applyProtection="0"/>
    <xf numFmtId="44" fontId="1" fillId="0" borderId="0" applyFont="0" applyFill="0" applyBorder="0" applyAlignment="0" applyProtection="0"/>
    <xf numFmtId="0" fontId="34" fillId="0" borderId="0" applyAlignment="0"/>
    <xf numFmtId="0" fontId="36" fillId="0" borderId="0" applyAlignment="0"/>
    <xf numFmtId="0" fontId="37" fillId="0" borderId="0" applyAlignment="0"/>
    <xf numFmtId="0" fontId="38" fillId="0" borderId="0" applyAlignment="0"/>
  </cellStyleXfs>
  <cellXfs count="325">
    <xf numFmtId="0" fontId="0" fillId="0" borderId="0" xfId="0"/>
    <xf numFmtId="0" fontId="0" fillId="0" borderId="0" xfId="0" applyNumberFormat="1"/>
    <xf numFmtId="0" fontId="0" fillId="0" borderId="0" xfId="0" applyNumberFormat="1" applyAlignment="1">
      <alignment horizontal="left" indent="1"/>
    </xf>
    <xf numFmtId="0" fontId="0" fillId="0" borderId="0" xfId="0" applyNumberFormat="1" applyAlignment="1">
      <alignment horizontal="left" indent="2"/>
    </xf>
    <xf numFmtId="0" fontId="2" fillId="0" borderId="1" xfId="0" applyFont="1" applyBorder="1"/>
    <xf numFmtId="14" fontId="0" fillId="0" borderId="0" xfId="0" applyNumberFormat="1"/>
    <xf numFmtId="0" fontId="2" fillId="0" borderId="0" xfId="0" applyFont="1"/>
    <xf numFmtId="0" fontId="0" fillId="2" borderId="0" xfId="0" applyFill="1"/>
    <xf numFmtId="0" fontId="0" fillId="2" borderId="4" xfId="0" applyFill="1" applyBorder="1"/>
    <xf numFmtId="0" fontId="0" fillId="0" borderId="0" xfId="0" applyNumberFormat="1" applyAlignment="1">
      <alignment horizontal="left" indent="3"/>
    </xf>
    <xf numFmtId="0" fontId="0" fillId="0" borderId="0" xfId="0" applyNumberFormat="1" applyAlignment="1">
      <alignment horizontal="left" indent="5"/>
    </xf>
    <xf numFmtId="0" fontId="2" fillId="0" borderId="0" xfId="0" applyFont="1" applyBorder="1"/>
    <xf numFmtId="0" fontId="0" fillId="0" borderId="2" xfId="0" applyBorder="1"/>
    <xf numFmtId="0" fontId="2" fillId="0" borderId="3" xfId="0" applyFont="1" applyBorder="1"/>
    <xf numFmtId="0" fontId="0" fillId="0" borderId="4" xfId="0" applyBorder="1" applyAlignment="1">
      <alignment horizontal="left" indent="1"/>
    </xf>
    <xf numFmtId="0" fontId="0" fillId="0" borderId="3" xfId="0" applyBorder="1" applyAlignment="1">
      <alignment horizontal="left" indent="1"/>
    </xf>
    <xf numFmtId="1" fontId="0" fillId="0" borderId="0" xfId="0" applyNumberFormat="1"/>
    <xf numFmtId="0" fontId="0" fillId="0" borderId="0" xfId="0" applyAlignment="1">
      <alignment horizontal="right"/>
    </xf>
    <xf numFmtId="164" fontId="0" fillId="0" borderId="0" xfId="0" applyNumberFormat="1"/>
    <xf numFmtId="0" fontId="0" fillId="0" borderId="0" xfId="0" applyFill="1"/>
    <xf numFmtId="0" fontId="14" fillId="0" borderId="0" xfId="0" applyFont="1"/>
    <xf numFmtId="0" fontId="0" fillId="4" borderId="0" xfId="0" applyFill="1"/>
    <xf numFmtId="0" fontId="16" fillId="4" borderId="0" xfId="89" applyFont="1" applyFill="1" applyAlignment="1"/>
    <xf numFmtId="0" fontId="3" fillId="4" borderId="0" xfId="89" applyFont="1" applyFill="1" applyAlignment="1">
      <alignment wrapText="1"/>
    </xf>
    <xf numFmtId="0" fontId="6" fillId="4" borderId="0" xfId="0" applyFont="1" applyFill="1"/>
    <xf numFmtId="0" fontId="17" fillId="4" borderId="0" xfId="89" applyFont="1" applyFill="1"/>
    <xf numFmtId="0" fontId="18" fillId="5" borderId="7" xfId="89" applyFont="1" applyFill="1" applyBorder="1" applyAlignment="1">
      <alignment horizontal="centerContinuous" vertical="justify"/>
    </xf>
    <xf numFmtId="0" fontId="18" fillId="5" borderId="8" xfId="89" applyFont="1" applyFill="1" applyBorder="1" applyAlignment="1">
      <alignment horizontal="centerContinuous" vertical="justify"/>
    </xf>
    <xf numFmtId="171" fontId="13" fillId="4" borderId="9" xfId="89" applyNumberFormat="1" applyFont="1" applyFill="1" applyBorder="1" applyAlignment="1">
      <alignment horizontal="center" wrapText="1"/>
    </xf>
    <xf numFmtId="0" fontId="19" fillId="4" borderId="10" xfId="89" applyFont="1" applyFill="1" applyBorder="1" applyAlignment="1">
      <alignment horizontal="center" wrapText="1"/>
    </xf>
    <xf numFmtId="0" fontId="3" fillId="4" borderId="9" xfId="89" applyFont="1" applyFill="1" applyBorder="1" applyAlignment="1">
      <alignment wrapText="1"/>
    </xf>
    <xf numFmtId="0" fontId="0" fillId="4" borderId="0" xfId="0" applyFill="1" applyBorder="1"/>
    <xf numFmtId="0" fontId="0" fillId="4" borderId="9" xfId="0" applyFill="1" applyBorder="1"/>
    <xf numFmtId="0" fontId="0" fillId="4" borderId="10" xfId="0" applyFill="1" applyBorder="1"/>
    <xf numFmtId="0" fontId="0" fillId="4" borderId="11" xfId="0" applyFill="1" applyBorder="1"/>
    <xf numFmtId="0" fontId="18" fillId="5" borderId="7" xfId="89" applyFont="1" applyFill="1" applyBorder="1"/>
    <xf numFmtId="0" fontId="18" fillId="5" borderId="13" xfId="89" applyFont="1" applyFill="1" applyBorder="1"/>
    <xf numFmtId="0" fontId="18" fillId="5" borderId="8" xfId="89" applyFont="1" applyFill="1" applyBorder="1"/>
    <xf numFmtId="43" fontId="0" fillId="4" borderId="9" xfId="1" applyFont="1" applyFill="1" applyBorder="1"/>
    <xf numFmtId="0" fontId="0" fillId="4" borderId="12" xfId="0" applyFill="1" applyBorder="1"/>
    <xf numFmtId="43" fontId="0" fillId="4" borderId="11" xfId="1" applyFont="1" applyFill="1" applyBorder="1"/>
    <xf numFmtId="43" fontId="0" fillId="4" borderId="0" xfId="1" applyFont="1" applyFill="1" applyBorder="1"/>
    <xf numFmtId="43" fontId="0" fillId="4" borderId="14" xfId="1" applyFont="1" applyFill="1" applyBorder="1"/>
    <xf numFmtId="164" fontId="2" fillId="0" borderId="0" xfId="0" applyNumberFormat="1" applyFont="1" applyBorder="1"/>
    <xf numFmtId="164" fontId="2" fillId="0" borderId="0" xfId="1" applyNumberFormat="1" applyFont="1" applyBorder="1"/>
    <xf numFmtId="0" fontId="0" fillId="0" borderId="0" xfId="0" applyNumberFormat="1" applyAlignment="1"/>
    <xf numFmtId="0" fontId="0" fillId="0" borderId="0" xfId="0" applyAlignment="1"/>
    <xf numFmtId="9" fontId="0" fillId="4" borderId="0" xfId="92" applyNumberFormat="1" applyFont="1" applyFill="1"/>
    <xf numFmtId="0" fontId="0" fillId="4" borderId="10" xfId="0" applyFill="1" applyBorder="1" applyAlignment="1">
      <alignment wrapText="1"/>
    </xf>
    <xf numFmtId="0" fontId="0" fillId="0" borderId="0" xfId="0" applyAlignment="1">
      <alignment horizontal="left" wrapText="1"/>
    </xf>
    <xf numFmtId="14" fontId="0" fillId="4" borderId="0" xfId="0" applyNumberFormat="1" applyFill="1"/>
    <xf numFmtId="0" fontId="2" fillId="4" borderId="2" xfId="0" applyFont="1" applyFill="1" applyBorder="1" applyAlignment="1">
      <alignment horizontal="center"/>
    </xf>
    <xf numFmtId="0" fontId="2" fillId="4" borderId="3" xfId="0" applyFont="1" applyFill="1" applyBorder="1"/>
    <xf numFmtId="164" fontId="0" fillId="4" borderId="4" xfId="1" applyNumberFormat="1" applyFont="1" applyFill="1" applyBorder="1"/>
    <xf numFmtId="43" fontId="0" fillId="4" borderId="4" xfId="1" applyFont="1" applyFill="1" applyBorder="1"/>
    <xf numFmtId="43" fontId="0" fillId="4" borderId="4" xfId="1" applyFont="1" applyFill="1" applyBorder="1" applyAlignment="1">
      <alignment horizontal="right"/>
    </xf>
    <xf numFmtId="0" fontId="0" fillId="4" borderId="4" xfId="0" applyFill="1" applyBorder="1"/>
    <xf numFmtId="43" fontId="0" fillId="4" borderId="3" xfId="1" applyFont="1" applyFill="1" applyBorder="1"/>
    <xf numFmtId="0" fontId="2" fillId="10" borderId="2" xfId="0" applyFont="1" applyFill="1" applyBorder="1" applyAlignment="1">
      <alignment horizontal="center"/>
    </xf>
    <xf numFmtId="0" fontId="2" fillId="10" borderId="3" xfId="0" applyFont="1" applyFill="1" applyBorder="1"/>
    <xf numFmtId="164" fontId="0" fillId="10" borderId="4" xfId="1" applyNumberFormat="1" applyFont="1" applyFill="1" applyBorder="1"/>
    <xf numFmtId="43" fontId="0" fillId="10" borderId="4" xfId="1" applyFont="1" applyFill="1" applyBorder="1"/>
    <xf numFmtId="43" fontId="0" fillId="10" borderId="4" xfId="1" applyFont="1" applyFill="1" applyBorder="1" applyAlignment="1">
      <alignment horizontal="right"/>
    </xf>
    <xf numFmtId="0" fontId="2" fillId="2" borderId="3" xfId="0" applyFont="1" applyFill="1" applyBorder="1"/>
    <xf numFmtId="0" fontId="0" fillId="10" borderId="4" xfId="0" applyFill="1" applyBorder="1"/>
    <xf numFmtId="43" fontId="0" fillId="10" borderId="3" xfId="1" applyFont="1" applyFill="1" applyBorder="1"/>
    <xf numFmtId="0" fontId="2" fillId="0" borderId="0" xfId="0" applyFont="1" applyAlignment="1">
      <alignment horizontal="right"/>
    </xf>
    <xf numFmtId="173" fontId="0" fillId="0" borderId="0" xfId="0" applyNumberFormat="1" applyAlignment="1">
      <alignment horizontal="right" wrapText="1"/>
    </xf>
    <xf numFmtId="39" fontId="0" fillId="0" borderId="0" xfId="0" applyNumberFormat="1" applyAlignment="1">
      <alignment horizontal="right" wrapText="1"/>
    </xf>
    <xf numFmtId="39" fontId="0" fillId="0" borderId="0" xfId="0" applyNumberFormat="1"/>
    <xf numFmtId="0" fontId="3" fillId="4" borderId="9" xfId="89" applyFont="1" applyFill="1" applyBorder="1" applyAlignment="1">
      <alignment vertical="center" wrapText="1"/>
    </xf>
    <xf numFmtId="0" fontId="0" fillId="4" borderId="0" xfId="0" applyFill="1" applyAlignment="1">
      <alignment vertical="center"/>
    </xf>
    <xf numFmtId="43" fontId="0" fillId="4" borderId="9" xfId="1" applyFont="1" applyFill="1" applyBorder="1" applyAlignment="1">
      <alignment vertical="center"/>
    </xf>
    <xf numFmtId="164" fontId="19" fillId="9" borderId="15" xfId="1" applyNumberFormat="1" applyFont="1" applyFill="1" applyBorder="1" applyAlignment="1">
      <alignment horizontal="center" vertical="center" wrapText="1"/>
    </xf>
    <xf numFmtId="0" fontId="19" fillId="4" borderId="4" xfId="89" applyFont="1" applyFill="1" applyBorder="1" applyAlignment="1">
      <alignment horizontal="center" wrapText="1"/>
    </xf>
    <xf numFmtId="172" fontId="20" fillId="6" borderId="4" xfId="1" applyNumberFormat="1" applyFont="1" applyFill="1" applyBorder="1" applyAlignment="1">
      <alignment vertical="center"/>
    </xf>
    <xf numFmtId="172" fontId="21" fillId="6" borderId="4" xfId="1" applyNumberFormat="1" applyFont="1" applyFill="1" applyBorder="1" applyAlignment="1">
      <alignment vertical="center"/>
    </xf>
    <xf numFmtId="172" fontId="3" fillId="6" borderId="4" xfId="1" applyNumberFormat="1" applyFont="1" applyFill="1" applyBorder="1"/>
    <xf numFmtId="172" fontId="20" fillId="4" borderId="4" xfId="1" applyNumberFormat="1" applyFont="1" applyFill="1" applyBorder="1"/>
    <xf numFmtId="172" fontId="20" fillId="7" borderId="15" xfId="1" applyNumberFormat="1" applyFont="1" applyFill="1" applyBorder="1"/>
    <xf numFmtId="43" fontId="0" fillId="8" borderId="4" xfId="1" applyFont="1" applyFill="1" applyBorder="1"/>
    <xf numFmtId="43" fontId="0" fillId="8" borderId="3" xfId="1" applyFont="1" applyFill="1" applyBorder="1"/>
    <xf numFmtId="0" fontId="0" fillId="0" borderId="15" xfId="0" applyBorder="1"/>
    <xf numFmtId="0" fontId="0" fillId="11" borderId="15" xfId="0" applyFill="1" applyBorder="1"/>
    <xf numFmtId="0" fontId="0" fillId="0" borderId="0" xfId="0" applyFill="1" applyBorder="1"/>
    <xf numFmtId="0" fontId="2" fillId="0" borderId="0" xfId="0" applyFont="1" applyFill="1" applyBorder="1"/>
    <xf numFmtId="0" fontId="2" fillId="12" borderId="0" xfId="0" applyFont="1" applyFill="1"/>
    <xf numFmtId="0" fontId="0" fillId="0" borderId="0" xfId="0" applyAlignment="1">
      <alignment horizontal="center"/>
    </xf>
    <xf numFmtId="0" fontId="25" fillId="0" borderId="0" xfId="0" applyFont="1"/>
    <xf numFmtId="0" fontId="2" fillId="0" borderId="0" xfId="0" applyFont="1" applyAlignment="1">
      <alignment horizontal="center"/>
    </xf>
    <xf numFmtId="0" fontId="25" fillId="0" borderId="0" xfId="0" applyFont="1" applyAlignment="1">
      <alignment horizontal="right"/>
    </xf>
    <xf numFmtId="39" fontId="0" fillId="0" borderId="0" xfId="0" applyNumberFormat="1" applyAlignment="1">
      <alignment horizontal="right"/>
    </xf>
    <xf numFmtId="39" fontId="2" fillId="0" borderId="0" xfId="0" applyNumberFormat="1" applyFont="1"/>
    <xf numFmtId="39" fontId="2" fillId="0" borderId="0" xfId="0" applyNumberFormat="1" applyFont="1" applyAlignment="1">
      <alignment horizontal="right"/>
    </xf>
    <xf numFmtId="0" fontId="26" fillId="0" borderId="0" xfId="0" applyFont="1"/>
    <xf numFmtId="173" fontId="27" fillId="0" borderId="0" xfId="0" applyNumberFormat="1" applyFont="1" applyAlignment="1">
      <alignment horizontal="right" wrapText="1"/>
    </xf>
    <xf numFmtId="39" fontId="27" fillId="0" borderId="0" xfId="0" applyNumberFormat="1" applyFont="1" applyAlignment="1">
      <alignment horizontal="right" wrapText="1"/>
    </xf>
    <xf numFmtId="0" fontId="25" fillId="0" borderId="5" xfId="0" applyFont="1" applyBorder="1" applyAlignment="1">
      <alignment horizontal="center"/>
    </xf>
    <xf numFmtId="0" fontId="0" fillId="0" borderId="0" xfId="0" applyAlignment="1">
      <alignment horizontal="left"/>
    </xf>
    <xf numFmtId="0" fontId="28" fillId="13" borderId="0" xfId="0" applyFont="1" applyFill="1"/>
    <xf numFmtId="164" fontId="29" fillId="0" borderId="0" xfId="6" applyNumberFormat="1" applyFont="1" applyFill="1" applyBorder="1" applyAlignment="1" applyProtection="1">
      <alignment horizontal="left" vertical="center"/>
    </xf>
    <xf numFmtId="0" fontId="14" fillId="0" borderId="0" xfId="0" applyFont="1" applyFill="1" applyBorder="1"/>
    <xf numFmtId="0" fontId="30" fillId="0" borderId="0" xfId="0" applyFont="1" applyFill="1" applyBorder="1"/>
    <xf numFmtId="164" fontId="31" fillId="0" borderId="0" xfId="6" applyNumberFormat="1" applyFont="1" applyFill="1" applyBorder="1" applyAlignment="1" applyProtection="1">
      <alignment horizontal="left" vertical="center"/>
    </xf>
    <xf numFmtId="164" fontId="32" fillId="0" borderId="0" xfId="6" applyNumberFormat="1" applyFont="1" applyFill="1" applyBorder="1" applyAlignment="1" applyProtection="1">
      <alignment horizontal="left" vertical="center"/>
    </xf>
    <xf numFmtId="0" fontId="2" fillId="0" borderId="0" xfId="0" applyFont="1" applyFill="1"/>
    <xf numFmtId="43" fontId="0" fillId="4" borderId="0" xfId="0" applyNumberFormat="1" applyFill="1"/>
    <xf numFmtId="0" fontId="0" fillId="0" borderId="4" xfId="0" applyFill="1" applyBorder="1"/>
    <xf numFmtId="0" fontId="2" fillId="14" borderId="15" xfId="0" applyFont="1" applyFill="1" applyBorder="1"/>
    <xf numFmtId="0" fontId="2" fillId="14" borderId="15" xfId="0" applyFont="1" applyFill="1" applyBorder="1" applyAlignment="1">
      <alignment horizontal="right"/>
    </xf>
    <xf numFmtId="164" fontId="0" fillId="0" borderId="15" xfId="1" applyNumberFormat="1" applyFont="1" applyBorder="1" applyAlignment="1">
      <alignment horizontal="right"/>
    </xf>
    <xf numFmtId="164" fontId="0" fillId="11" borderId="15" xfId="1" applyNumberFormat="1" applyFont="1" applyFill="1" applyBorder="1" applyAlignment="1">
      <alignment horizontal="right"/>
    </xf>
    <xf numFmtId="164" fontId="2" fillId="11" borderId="15" xfId="1" applyNumberFormat="1" applyFont="1" applyFill="1" applyBorder="1" applyAlignment="1">
      <alignment horizontal="right"/>
    </xf>
    <xf numFmtId="44" fontId="0" fillId="0" borderId="0" xfId="98" applyFont="1" applyBorder="1"/>
    <xf numFmtId="39" fontId="0" fillId="0" borderId="0" xfId="0" applyNumberFormat="1" applyBorder="1" applyAlignment="1">
      <alignment horizontal="right" wrapText="1"/>
    </xf>
    <xf numFmtId="0" fontId="0" fillId="0" borderId="18" xfId="0" applyBorder="1"/>
    <xf numFmtId="43" fontId="0" fillId="11" borderId="15" xfId="1" applyFont="1" applyFill="1" applyBorder="1" applyAlignment="1">
      <alignment horizontal="right"/>
    </xf>
    <xf numFmtId="43" fontId="0" fillId="11" borderId="15" xfId="1" applyFont="1" applyFill="1" applyBorder="1"/>
    <xf numFmtId="43" fontId="2" fillId="11" borderId="15" xfId="1" applyFont="1" applyFill="1" applyBorder="1" applyAlignment="1">
      <alignment horizontal="right"/>
    </xf>
    <xf numFmtId="0" fontId="2" fillId="6" borderId="2" xfId="0" applyFont="1" applyFill="1" applyBorder="1" applyAlignment="1">
      <alignment horizontal="center" wrapText="1"/>
    </xf>
    <xf numFmtId="0" fontId="2" fillId="6" borderId="17" xfId="0" applyFont="1" applyFill="1" applyBorder="1" applyAlignment="1">
      <alignment horizontal="center" wrapText="1"/>
    </xf>
    <xf numFmtId="0" fontId="2" fillId="6" borderId="2" xfId="0" applyFont="1" applyFill="1" applyBorder="1" applyAlignment="1">
      <alignment horizontal="center" vertical="center"/>
    </xf>
    <xf numFmtId="0" fontId="2" fillId="6" borderId="2" xfId="0" applyFont="1" applyFill="1" applyBorder="1" applyAlignment="1">
      <alignment horizontal="center"/>
    </xf>
    <xf numFmtId="44" fontId="0" fillId="0" borderId="4" xfId="98" applyFont="1" applyBorder="1"/>
    <xf numFmtId="44" fontId="0" fillId="0" borderId="3" xfId="98" applyFont="1" applyBorder="1"/>
    <xf numFmtId="0" fontId="0" fillId="0" borderId="3" xfId="0" applyFill="1" applyBorder="1"/>
    <xf numFmtId="44" fontId="0" fillId="0" borderId="3" xfId="98" applyFont="1" applyFill="1" applyBorder="1"/>
    <xf numFmtId="44" fontId="2" fillId="11" borderId="3" xfId="98" applyFont="1" applyFill="1" applyBorder="1"/>
    <xf numFmtId="44" fontId="0" fillId="0" borderId="1" xfId="98" applyFont="1" applyFill="1" applyBorder="1"/>
    <xf numFmtId="164" fontId="0" fillId="0" borderId="0" xfId="0" applyNumberFormat="1" applyFill="1"/>
    <xf numFmtId="0" fontId="35" fillId="0" borderId="0" xfId="0" applyFont="1"/>
    <xf numFmtId="44" fontId="2" fillId="0" borderId="0" xfId="98" applyFont="1" applyFill="1" applyBorder="1"/>
    <xf numFmtId="0" fontId="0" fillId="0" borderId="0" xfId="0" applyFont="1" applyFill="1" applyBorder="1"/>
    <xf numFmtId="0" fontId="0" fillId="17" borderId="15" xfId="0" applyFont="1" applyFill="1" applyBorder="1" applyAlignment="1">
      <alignment horizontal="left" wrapText="1"/>
    </xf>
    <xf numFmtId="43" fontId="0" fillId="4" borderId="0" xfId="1" applyFont="1" applyFill="1" applyBorder="1" applyAlignment="1">
      <alignment vertical="center"/>
    </xf>
    <xf numFmtId="43" fontId="0" fillId="4" borderId="0" xfId="0" applyNumberFormat="1" applyFill="1" applyAlignment="1">
      <alignment vertical="center"/>
    </xf>
    <xf numFmtId="0" fontId="0" fillId="0" borderId="0" xfId="0" applyFont="1" applyAlignment="1">
      <alignment vertical="top"/>
    </xf>
    <xf numFmtId="0" fontId="0" fillId="17" borderId="15" xfId="0" applyFill="1" applyBorder="1" applyAlignment="1">
      <alignment horizontal="left" wrapText="1"/>
    </xf>
    <xf numFmtId="0" fontId="0" fillId="0" borderId="4" xfId="0" applyBorder="1"/>
    <xf numFmtId="0" fontId="0" fillId="0" borderId="3" xfId="0" applyBorder="1"/>
    <xf numFmtId="44" fontId="0" fillId="0" borderId="1" xfId="98" applyFont="1" applyBorder="1"/>
    <xf numFmtId="44" fontId="0" fillId="0" borderId="2" xfId="98" applyFont="1" applyBorder="1"/>
    <xf numFmtId="44" fontId="0" fillId="0" borderId="0" xfId="98" applyFont="1"/>
    <xf numFmtId="44" fontId="0" fillId="11" borderId="15" xfId="98" applyFont="1" applyFill="1" applyBorder="1"/>
    <xf numFmtId="0" fontId="0" fillId="0" borderId="20" xfId="0" applyBorder="1"/>
    <xf numFmtId="0" fontId="0" fillId="0" borderId="1" xfId="0" applyBorder="1"/>
    <xf numFmtId="44" fontId="0" fillId="0" borderId="0" xfId="98" applyFont="1" applyFill="1" applyBorder="1"/>
    <xf numFmtId="44" fontId="0" fillId="0" borderId="0" xfId="0" applyNumberFormat="1"/>
    <xf numFmtId="0" fontId="2" fillId="0" borderId="0" xfId="0" applyFont="1" applyFill="1" applyBorder="1" applyAlignment="1">
      <alignment horizontal="right"/>
    </xf>
    <xf numFmtId="0" fontId="2" fillId="0" borderId="0" xfId="0" applyFont="1" applyAlignment="1">
      <alignment horizontal="right" vertical="top"/>
    </xf>
    <xf numFmtId="2" fontId="0" fillId="0" borderId="0" xfId="0" applyNumberFormat="1" applyFill="1" applyBorder="1"/>
    <xf numFmtId="0" fontId="30" fillId="13" borderId="15" xfId="0" applyFont="1" applyFill="1" applyBorder="1"/>
    <xf numFmtId="0" fontId="30" fillId="13" borderId="15" xfId="0" applyFont="1" applyFill="1" applyBorder="1" applyAlignment="1">
      <alignment horizontal="right"/>
    </xf>
    <xf numFmtId="0" fontId="0" fillId="0" borderId="15" xfId="0" applyFill="1" applyBorder="1"/>
    <xf numFmtId="0" fontId="0" fillId="0" borderId="15" xfId="0" applyBorder="1" applyAlignment="1">
      <alignment horizontal="left"/>
    </xf>
    <xf numFmtId="0" fontId="0" fillId="0" borderId="15" xfId="0" applyBorder="1" applyAlignment="1">
      <alignment horizontal="left" wrapText="1"/>
    </xf>
    <xf numFmtId="0" fontId="2" fillId="0" borderId="15" xfId="0" applyFont="1" applyFill="1" applyBorder="1"/>
    <xf numFmtId="0" fontId="2" fillId="15" borderId="0" xfId="0" applyFont="1" applyFill="1"/>
    <xf numFmtId="0" fontId="0" fillId="15" borderId="0" xfId="0" applyFill="1" applyBorder="1"/>
    <xf numFmtId="0" fontId="0" fillId="15" borderId="0" xfId="0" applyFill="1" applyAlignment="1">
      <alignment horizontal="left"/>
    </xf>
    <xf numFmtId="0" fontId="2" fillId="11" borderId="15" xfId="0" applyFont="1" applyFill="1" applyBorder="1"/>
    <xf numFmtId="0" fontId="2" fillId="6" borderId="15" xfId="0" applyFont="1" applyFill="1" applyBorder="1" applyAlignment="1">
      <alignment horizontal="center"/>
    </xf>
    <xf numFmtId="0" fontId="2" fillId="6" borderId="15" xfId="0" applyFont="1" applyFill="1" applyBorder="1" applyAlignment="1">
      <alignment horizontal="center" wrapText="1"/>
    </xf>
    <xf numFmtId="0" fontId="2" fillId="6" borderId="15" xfId="0" applyFont="1" applyFill="1" applyBorder="1" applyAlignment="1">
      <alignment horizontal="center" vertical="center"/>
    </xf>
    <xf numFmtId="43" fontId="0" fillId="0" borderId="15" xfId="1" applyFont="1" applyFill="1" applyBorder="1"/>
    <xf numFmtId="0" fontId="0" fillId="0" borderId="25" xfId="0" applyFill="1" applyBorder="1"/>
    <xf numFmtId="44" fontId="2" fillId="0" borderId="4" xfId="98" applyFont="1" applyFill="1" applyBorder="1"/>
    <xf numFmtId="43" fontId="2" fillId="11" borderId="15" xfId="1" applyFont="1" applyFill="1" applyBorder="1"/>
    <xf numFmtId="164" fontId="2" fillId="12" borderId="15" xfId="1" applyNumberFormat="1" applyFont="1" applyFill="1" applyBorder="1" applyAlignment="1">
      <alignment horizontal="right"/>
    </xf>
    <xf numFmtId="43" fontId="2" fillId="0" borderId="15" xfId="1" applyFont="1" applyFill="1" applyBorder="1"/>
    <xf numFmtId="164" fontId="0" fillId="0" borderId="0" xfId="0" applyNumberFormat="1" applyFill="1" applyBorder="1"/>
    <xf numFmtId="164" fontId="2" fillId="15" borderId="15" xfId="1" applyNumberFormat="1" applyFont="1" applyFill="1" applyBorder="1"/>
    <xf numFmtId="164" fontId="2" fillId="16" borderId="21" xfId="1" applyNumberFormat="1" applyFont="1" applyFill="1" applyBorder="1" applyAlignment="1">
      <alignment horizontal="center"/>
    </xf>
    <xf numFmtId="164" fontId="2" fillId="16" borderId="16" xfId="1" applyNumberFormat="1" applyFont="1" applyFill="1" applyBorder="1" applyAlignment="1">
      <alignment horizontal="center"/>
    </xf>
    <xf numFmtId="164" fontId="0" fillId="4" borderId="0" xfId="1" applyNumberFormat="1" applyFont="1" applyFill="1"/>
    <xf numFmtId="164" fontId="0" fillId="4" borderId="20" xfId="1" applyNumberFormat="1" applyFont="1" applyFill="1" applyBorder="1"/>
    <xf numFmtId="164" fontId="33" fillId="4" borderId="4" xfId="1" applyNumberFormat="1" applyFont="1" applyFill="1" applyBorder="1" applyAlignment="1">
      <alignment horizontal="right"/>
    </xf>
    <xf numFmtId="164" fontId="0" fillId="4" borderId="22" xfId="1" applyNumberFormat="1" applyFont="1" applyFill="1" applyBorder="1"/>
    <xf numFmtId="164" fontId="0" fillId="4" borderId="23" xfId="1" applyNumberFormat="1" applyFont="1" applyFill="1" applyBorder="1"/>
    <xf numFmtId="164" fontId="0" fillId="4" borderId="24" xfId="1" applyNumberFormat="1" applyFont="1" applyFill="1" applyBorder="1"/>
    <xf numFmtId="0" fontId="33" fillId="0" borderId="0" xfId="0" applyFont="1"/>
    <xf numFmtId="0" fontId="39" fillId="14" borderId="15" xfId="0" applyFont="1" applyFill="1" applyBorder="1" applyAlignment="1">
      <alignment horizontal="left" vertical="center" wrapText="1"/>
    </xf>
    <xf numFmtId="174" fontId="33" fillId="0" borderId="2" xfId="98" applyNumberFormat="1" applyFont="1" applyBorder="1"/>
    <xf numFmtId="174" fontId="33" fillId="0" borderId="4" xfId="98" applyNumberFormat="1" applyFont="1" applyBorder="1"/>
    <xf numFmtId="0" fontId="33" fillId="0" borderId="2" xfId="0" applyFont="1" applyBorder="1"/>
    <xf numFmtId="0" fontId="33" fillId="0" borderId="4" xfId="0" applyFont="1" applyBorder="1"/>
    <xf numFmtId="0" fontId="33" fillId="0" borderId="3" xfId="0" applyFont="1" applyBorder="1"/>
    <xf numFmtId="164" fontId="33" fillId="0" borderId="4" xfId="1" applyNumberFormat="1" applyFont="1" applyBorder="1"/>
    <xf numFmtId="164" fontId="41" fillId="11" borderId="26" xfId="1" applyNumberFormat="1" applyFont="1" applyFill="1" applyBorder="1"/>
    <xf numFmtId="0" fontId="39" fillId="0" borderId="2" xfId="0" applyFont="1" applyBorder="1"/>
    <xf numFmtId="0" fontId="39" fillId="0" borderId="4" xfId="0" applyFont="1" applyBorder="1"/>
    <xf numFmtId="0" fontId="39" fillId="0" borderId="0" xfId="0" applyFont="1" applyFill="1" applyBorder="1"/>
    <xf numFmtId="0" fontId="33" fillId="0" borderId="15" xfId="0" applyFont="1" applyBorder="1"/>
    <xf numFmtId="164" fontId="33" fillId="0" borderId="15" xfId="1" applyNumberFormat="1" applyFont="1" applyBorder="1" applyAlignment="1">
      <alignment horizontal="right"/>
    </xf>
    <xf numFmtId="174" fontId="33" fillId="0" borderId="3" xfId="98" applyNumberFormat="1" applyFont="1" applyBorder="1"/>
    <xf numFmtId="0" fontId="39" fillId="18" borderId="15" xfId="0" applyFont="1" applyFill="1" applyBorder="1"/>
    <xf numFmtId="0" fontId="39" fillId="18" borderId="15" xfId="0" applyFont="1" applyFill="1" applyBorder="1" applyAlignment="1">
      <alignment horizontal="center"/>
    </xf>
    <xf numFmtId="0" fontId="33" fillId="17" borderId="15" xfId="0" applyFont="1" applyFill="1" applyBorder="1"/>
    <xf numFmtId="164" fontId="43" fillId="0" borderId="0" xfId="1" applyNumberFormat="1" applyFont="1"/>
    <xf numFmtId="164" fontId="44" fillId="0" borderId="0" xfId="1" applyNumberFormat="1" applyFont="1"/>
    <xf numFmtId="164" fontId="47" fillId="0" borderId="0" xfId="1" applyNumberFormat="1" applyFont="1"/>
    <xf numFmtId="0" fontId="1" fillId="0" borderId="0" xfId="0" applyFont="1"/>
    <xf numFmtId="164" fontId="43" fillId="0" borderId="0" xfId="1" applyNumberFormat="1" applyFont="1" applyAlignment="1">
      <alignment vertical="center"/>
    </xf>
    <xf numFmtId="164" fontId="43" fillId="0" borderId="0" xfId="1" applyNumberFormat="1" applyFont="1" applyBorder="1"/>
    <xf numFmtId="164" fontId="48" fillId="11" borderId="23" xfId="1" applyNumberFormat="1" applyFont="1" applyFill="1" applyBorder="1"/>
    <xf numFmtId="164" fontId="43" fillId="0" borderId="9" xfId="1" applyNumberFormat="1" applyFont="1" applyBorder="1"/>
    <xf numFmtId="164" fontId="43" fillId="0" borderId="10" xfId="1" applyNumberFormat="1" applyFont="1" applyBorder="1"/>
    <xf numFmtId="164" fontId="43" fillId="0" borderId="14" xfId="1" applyNumberFormat="1" applyFont="1" applyBorder="1"/>
    <xf numFmtId="164" fontId="43" fillId="0" borderId="12" xfId="1" applyNumberFormat="1" applyFont="1" applyBorder="1"/>
    <xf numFmtId="164" fontId="45" fillId="18" borderId="3" xfId="1" applyNumberFormat="1" applyFont="1" applyFill="1" applyBorder="1" applyAlignment="1">
      <alignment vertical="center" wrapText="1"/>
    </xf>
    <xf numFmtId="164" fontId="45" fillId="18" borderId="3" xfId="1" applyNumberFormat="1" applyFont="1" applyFill="1" applyBorder="1" applyAlignment="1">
      <alignment horizontal="right" vertical="center" wrapText="1"/>
    </xf>
    <xf numFmtId="164" fontId="45" fillId="18" borderId="31" xfId="1" applyNumberFormat="1" applyFont="1" applyFill="1" applyBorder="1" applyAlignment="1">
      <alignment vertical="center" wrapText="1"/>
    </xf>
    <xf numFmtId="164" fontId="45" fillId="17" borderId="32" xfId="1" applyNumberFormat="1" applyFont="1" applyFill="1" applyBorder="1" applyAlignment="1">
      <alignment vertical="center" wrapText="1"/>
    </xf>
    <xf numFmtId="164" fontId="45" fillId="17" borderId="29" xfId="1" applyNumberFormat="1" applyFont="1" applyFill="1" applyBorder="1" applyAlignment="1">
      <alignment vertical="center" wrapText="1"/>
    </xf>
    <xf numFmtId="164" fontId="45" fillId="17" borderId="33" xfId="1" applyNumberFormat="1" applyFont="1" applyFill="1" applyBorder="1" applyAlignment="1">
      <alignment vertical="center" wrapText="1"/>
    </xf>
    <xf numFmtId="164" fontId="45" fillId="18" borderId="30" xfId="1" applyNumberFormat="1" applyFont="1" applyFill="1" applyBorder="1" applyAlignment="1">
      <alignment vertical="center" wrapText="1"/>
    </xf>
    <xf numFmtId="164" fontId="46" fillId="0" borderId="9" xfId="1" applyNumberFormat="1" applyFont="1" applyBorder="1" applyAlignment="1">
      <alignment horizontal="left" wrapText="1"/>
    </xf>
    <xf numFmtId="174" fontId="43" fillId="0" borderId="10" xfId="98" applyNumberFormat="1" applyFont="1" applyBorder="1"/>
    <xf numFmtId="174" fontId="43" fillId="0" borderId="34" xfId="98" applyNumberFormat="1" applyFont="1" applyBorder="1"/>
    <xf numFmtId="164" fontId="48" fillId="11" borderId="35" xfId="1" applyNumberFormat="1" applyFont="1" applyFill="1" applyBorder="1" applyAlignment="1"/>
    <xf numFmtId="174" fontId="48" fillId="11" borderId="36" xfId="98" applyNumberFormat="1" applyFont="1" applyFill="1" applyBorder="1"/>
    <xf numFmtId="164" fontId="44" fillId="18" borderId="37" xfId="1" applyNumberFormat="1" applyFont="1" applyFill="1" applyBorder="1" applyAlignment="1">
      <alignment vertical="center"/>
    </xf>
    <xf numFmtId="164" fontId="45" fillId="18" borderId="38" xfId="1" applyNumberFormat="1" applyFont="1" applyFill="1" applyBorder="1" applyAlignment="1">
      <alignment vertical="center"/>
    </xf>
    <xf numFmtId="164" fontId="39" fillId="11" borderId="41" xfId="1" applyNumberFormat="1" applyFont="1" applyFill="1" applyBorder="1" applyAlignment="1"/>
    <xf numFmtId="164" fontId="43" fillId="0" borderId="7" xfId="1" applyNumberFormat="1" applyFont="1" applyBorder="1"/>
    <xf numFmtId="164" fontId="42" fillId="0" borderId="8" xfId="1" applyNumberFormat="1" applyFont="1" applyBorder="1"/>
    <xf numFmtId="49" fontId="48" fillId="19" borderId="0" xfId="1" applyNumberFormat="1" applyFont="1" applyFill="1"/>
    <xf numFmtId="0" fontId="0" fillId="0" borderId="0" xfId="0" applyFont="1"/>
    <xf numFmtId="0" fontId="49" fillId="0" borderId="0" xfId="0" applyFont="1"/>
    <xf numFmtId="0" fontId="33" fillId="0" borderId="0" xfId="0" applyFont="1" applyFill="1" applyBorder="1"/>
    <xf numFmtId="174" fontId="33" fillId="0" borderId="0" xfId="98" applyNumberFormat="1" applyFont="1" applyFill="1" applyBorder="1" applyAlignment="1">
      <alignment horizontal="right"/>
    </xf>
    <xf numFmtId="174" fontId="39" fillId="0" borderId="0" xfId="98" applyNumberFormat="1" applyFont="1" applyFill="1" applyBorder="1" applyAlignment="1">
      <alignment horizontal="right"/>
    </xf>
    <xf numFmtId="0" fontId="39" fillId="18" borderId="2" xfId="0" applyFont="1" applyFill="1" applyBorder="1"/>
    <xf numFmtId="0" fontId="39" fillId="18" borderId="2" xfId="0" applyFont="1" applyFill="1" applyBorder="1" applyAlignment="1">
      <alignment horizontal="center"/>
    </xf>
    <xf numFmtId="0" fontId="33" fillId="0" borderId="0" xfId="0" applyFont="1" applyBorder="1"/>
    <xf numFmtId="174" fontId="33" fillId="0" borderId="0" xfId="98" applyNumberFormat="1" applyFont="1" applyBorder="1"/>
    <xf numFmtId="0" fontId="33" fillId="0" borderId="27" xfId="0" applyFont="1" applyFill="1" applyBorder="1"/>
    <xf numFmtId="174" fontId="39" fillId="11" borderId="42" xfId="98" applyNumberFormat="1" applyFont="1" applyFill="1" applyBorder="1" applyAlignment="1">
      <alignment horizontal="right"/>
    </xf>
    <xf numFmtId="0" fontId="33" fillId="0" borderId="43" xfId="0" applyFont="1" applyFill="1" applyBorder="1"/>
    <xf numFmtId="174" fontId="39" fillId="11" borderId="24" xfId="98" applyNumberFormat="1" applyFont="1" applyFill="1" applyBorder="1" applyAlignment="1">
      <alignment horizontal="right"/>
    </xf>
    <xf numFmtId="0" fontId="33" fillId="0" borderId="25" xfId="0" applyFont="1" applyFill="1" applyBorder="1"/>
    <xf numFmtId="174" fontId="39" fillId="0" borderId="20" xfId="98" applyNumberFormat="1" applyFont="1" applyFill="1" applyBorder="1" applyAlignment="1">
      <alignment horizontal="right"/>
    </xf>
    <xf numFmtId="0" fontId="39" fillId="0" borderId="25" xfId="0" applyFont="1" applyFill="1" applyBorder="1"/>
    <xf numFmtId="0" fontId="39" fillId="0" borderId="27" xfId="0" applyFont="1" applyFill="1" applyBorder="1"/>
    <xf numFmtId="174" fontId="33" fillId="0" borderId="26" xfId="98" applyNumberFormat="1" applyFont="1" applyFill="1" applyBorder="1" applyAlignment="1">
      <alignment horizontal="right"/>
    </xf>
    <xf numFmtId="174" fontId="33" fillId="0" borderId="22" xfId="98" applyNumberFormat="1" applyFont="1" applyFill="1" applyBorder="1" applyAlignment="1">
      <alignment horizontal="right"/>
    </xf>
    <xf numFmtId="174" fontId="33" fillId="0" borderId="4" xfId="98" applyNumberFormat="1" applyFont="1" applyFill="1" applyBorder="1" applyAlignment="1">
      <alignment horizontal="right"/>
    </xf>
    <xf numFmtId="174" fontId="39" fillId="11" borderId="41" xfId="98" applyNumberFormat="1" applyFont="1" applyFill="1" applyBorder="1" applyAlignment="1">
      <alignment horizontal="right"/>
    </xf>
    <xf numFmtId="0" fontId="33" fillId="11" borderId="39" xfId="0" applyFont="1" applyFill="1" applyBorder="1"/>
    <xf numFmtId="174" fontId="33" fillId="11" borderId="44" xfId="98" applyNumberFormat="1" applyFont="1" applyFill="1" applyBorder="1"/>
    <xf numFmtId="49" fontId="39" fillId="0" borderId="9" xfId="0" applyNumberFormat="1" applyFont="1" applyBorder="1"/>
    <xf numFmtId="0" fontId="33" fillId="0" borderId="10" xfId="0" applyFont="1" applyBorder="1"/>
    <xf numFmtId="0" fontId="33" fillId="0" borderId="9" xfId="0" applyFont="1" applyBorder="1"/>
    <xf numFmtId="0" fontId="42" fillId="0" borderId="0" xfId="0" applyFont="1" applyBorder="1"/>
    <xf numFmtId="0" fontId="39" fillId="18" borderId="45" xfId="0" applyFont="1" applyFill="1" applyBorder="1" applyAlignment="1">
      <alignment horizontal="center"/>
    </xf>
    <xf numFmtId="164" fontId="39" fillId="11" borderId="45" xfId="1" applyNumberFormat="1" applyFont="1" applyFill="1" applyBorder="1" applyAlignment="1">
      <alignment horizontal="right"/>
    </xf>
    <xf numFmtId="0" fontId="0" fillId="0" borderId="9" xfId="0" applyFont="1" applyBorder="1"/>
    <xf numFmtId="164" fontId="2" fillId="11" borderId="46" xfId="0" applyNumberFormat="1" applyFont="1" applyFill="1" applyBorder="1"/>
    <xf numFmtId="164" fontId="41" fillId="12" borderId="36" xfId="0" applyNumberFormat="1" applyFont="1" applyFill="1" applyBorder="1"/>
    <xf numFmtId="0" fontId="50" fillId="0" borderId="0" xfId="0" applyFont="1"/>
    <xf numFmtId="174" fontId="2" fillId="11" borderId="28" xfId="0" applyNumberFormat="1" applyFont="1" applyFill="1" applyBorder="1" applyAlignment="1"/>
    <xf numFmtId="164" fontId="51" fillId="0" borderId="9" xfId="1" applyNumberFormat="1" applyFont="1" applyBorder="1" applyAlignment="1">
      <alignment horizontal="left" wrapText="1"/>
    </xf>
    <xf numFmtId="164" fontId="44" fillId="0" borderId="9" xfId="1" applyNumberFormat="1" applyFont="1" applyBorder="1"/>
    <xf numFmtId="174" fontId="33" fillId="0" borderId="0" xfId="0" applyNumberFormat="1" applyFont="1"/>
    <xf numFmtId="164" fontId="44" fillId="0" borderId="47" xfId="1" applyNumberFormat="1" applyFont="1" applyBorder="1"/>
    <xf numFmtId="174" fontId="43" fillId="0" borderId="46" xfId="98" applyNumberFormat="1" applyFont="1" applyBorder="1"/>
    <xf numFmtId="164" fontId="43" fillId="0" borderId="47" xfId="1" applyNumberFormat="1" applyFont="1" applyBorder="1"/>
    <xf numFmtId="164" fontId="43" fillId="0" borderId="28" xfId="1" applyNumberFormat="1" applyFont="1" applyBorder="1"/>
    <xf numFmtId="164" fontId="43" fillId="0" borderId="46" xfId="1" applyNumberFormat="1" applyFont="1" applyBorder="1"/>
    <xf numFmtId="164" fontId="45" fillId="20" borderId="13" xfId="1" applyNumberFormat="1" applyFont="1" applyFill="1" applyBorder="1" applyAlignment="1"/>
    <xf numFmtId="164" fontId="45" fillId="20" borderId="8" xfId="1" applyNumberFormat="1" applyFont="1" applyFill="1" applyBorder="1" applyAlignment="1"/>
    <xf numFmtId="164" fontId="44" fillId="20" borderId="13" xfId="1" applyNumberFormat="1" applyFont="1" applyFill="1" applyBorder="1" applyAlignment="1"/>
    <xf numFmtId="164" fontId="44" fillId="20" borderId="8" xfId="1" applyNumberFormat="1" applyFont="1" applyFill="1" applyBorder="1" applyAlignment="1"/>
    <xf numFmtId="164" fontId="52" fillId="12" borderId="7" xfId="1" applyNumberFormat="1" applyFont="1" applyFill="1" applyBorder="1"/>
    <xf numFmtId="164" fontId="52" fillId="12" borderId="13" xfId="1" applyNumberFormat="1" applyFont="1" applyFill="1" applyBorder="1"/>
    <xf numFmtId="0" fontId="40" fillId="12" borderId="13" xfId="0" applyFont="1" applyFill="1" applyBorder="1"/>
    <xf numFmtId="164" fontId="47" fillId="12" borderId="7" xfId="1" applyNumberFormat="1" applyFont="1" applyFill="1" applyBorder="1" applyAlignment="1"/>
    <xf numFmtId="164" fontId="45" fillId="13" borderId="13" xfId="1" applyNumberFormat="1" applyFont="1" applyFill="1" applyBorder="1" applyAlignment="1"/>
    <xf numFmtId="164" fontId="44" fillId="13" borderId="13" xfId="1" applyNumberFormat="1" applyFont="1" applyFill="1" applyBorder="1" applyAlignment="1"/>
    <xf numFmtId="0" fontId="0" fillId="0" borderId="0" xfId="0" applyAlignment="1">
      <alignment horizontal="right" wrapText="1"/>
    </xf>
    <xf numFmtId="0" fontId="0" fillId="0" borderId="5" xfId="0" applyBorder="1" applyAlignment="1">
      <alignment horizontal="left" wrapText="1"/>
    </xf>
    <xf numFmtId="39" fontId="0" fillId="0" borderId="5" xfId="0" applyNumberFormat="1" applyBorder="1" applyAlignment="1">
      <alignment horizontal="right" wrapText="1"/>
    </xf>
    <xf numFmtId="0" fontId="0" fillId="0" borderId="5" xfId="0" applyBorder="1" applyAlignment="1">
      <alignment horizontal="right" wrapText="1"/>
    </xf>
    <xf numFmtId="39" fontId="0" fillId="0" borderId="6" xfId="0" applyNumberFormat="1" applyBorder="1" applyAlignment="1">
      <alignment horizontal="right" wrapText="1"/>
    </xf>
    <xf numFmtId="0" fontId="0" fillId="0" borderId="5" xfId="0" applyBorder="1" applyAlignment="1">
      <alignment horizontal="center"/>
    </xf>
    <xf numFmtId="43" fontId="0" fillId="4" borderId="0" xfId="1" applyFont="1" applyFill="1"/>
    <xf numFmtId="0" fontId="25" fillId="0" borderId="5" xfId="0" applyFont="1" applyBorder="1" applyAlignment="1">
      <alignment horizontal="left" wrapText="1"/>
    </xf>
    <xf numFmtId="0" fontId="25" fillId="0" borderId="5" xfId="0" applyFont="1" applyBorder="1" applyAlignment="1">
      <alignment horizontal="right" wrapText="1"/>
    </xf>
    <xf numFmtId="171" fontId="13" fillId="4" borderId="9" xfId="89" applyNumberFormat="1" applyFont="1" applyFill="1" applyBorder="1" applyAlignment="1">
      <alignment horizontal="left" vertical="center" wrapText="1"/>
    </xf>
    <xf numFmtId="0" fontId="0" fillId="4" borderId="0" xfId="0" applyFill="1" applyAlignment="1">
      <alignment vertical="center" wrapText="1"/>
    </xf>
    <xf numFmtId="43" fontId="0" fillId="4" borderId="9" xfId="1" applyFont="1" applyFill="1" applyBorder="1" applyAlignment="1">
      <alignment vertical="center" wrapText="1"/>
    </xf>
    <xf numFmtId="0" fontId="0" fillId="0" borderId="0" xfId="0" applyAlignment="1">
      <alignment horizontal="center" wrapText="1"/>
    </xf>
    <xf numFmtId="164" fontId="39" fillId="11" borderId="39" xfId="1" applyNumberFormat="1" applyFont="1" applyFill="1" applyBorder="1" applyAlignment="1">
      <alignment horizontal="center"/>
    </xf>
    <xf numFmtId="164" fontId="39" fillId="11" borderId="40" xfId="1" applyNumberFormat="1" applyFont="1" applyFill="1" applyBorder="1" applyAlignment="1">
      <alignment horizontal="center"/>
    </xf>
    <xf numFmtId="0" fontId="2" fillId="11" borderId="28" xfId="0" applyFont="1" applyFill="1" applyBorder="1" applyAlignment="1">
      <alignment horizontal="center"/>
    </xf>
    <xf numFmtId="0" fontId="40" fillId="9" borderId="7" xfId="0" applyFont="1" applyFill="1" applyBorder="1" applyAlignment="1">
      <alignment horizontal="center" vertical="center"/>
    </xf>
    <xf numFmtId="0" fontId="40" fillId="9" borderId="13" xfId="0" applyFont="1" applyFill="1" applyBorder="1" applyAlignment="1">
      <alignment horizontal="center" vertical="center"/>
    </xf>
    <xf numFmtId="0" fontId="40" fillId="9" borderId="8" xfId="0" applyFont="1" applyFill="1" applyBorder="1" applyAlignment="1">
      <alignment horizontal="center" vertical="center"/>
    </xf>
    <xf numFmtId="0" fontId="41" fillId="12" borderId="35" xfId="0" applyFont="1" applyFill="1" applyBorder="1" applyAlignment="1">
      <alignment horizontal="center"/>
    </xf>
    <xf numFmtId="0" fontId="41" fillId="12" borderId="40" xfId="0" applyFont="1" applyFill="1" applyBorder="1" applyAlignment="1">
      <alignment horizontal="center"/>
    </xf>
    <xf numFmtId="164" fontId="41" fillId="11" borderId="27" xfId="1" applyNumberFormat="1" applyFont="1" applyFill="1" applyBorder="1" applyAlignment="1">
      <alignment horizontal="center"/>
    </xf>
    <xf numFmtId="164" fontId="41" fillId="11" borderId="42" xfId="1" applyNumberFormat="1" applyFont="1" applyFill="1" applyBorder="1" applyAlignment="1">
      <alignment horizontal="center"/>
    </xf>
    <xf numFmtId="49" fontId="48" fillId="12" borderId="7" xfId="1" applyNumberFormat="1" applyFont="1" applyFill="1" applyBorder="1" applyAlignment="1">
      <alignment horizontal="center" vertical="center"/>
    </xf>
    <xf numFmtId="49" fontId="48" fillId="12" borderId="8" xfId="1" applyNumberFormat="1" applyFont="1" applyFill="1" applyBorder="1" applyAlignment="1">
      <alignment horizontal="center" vertical="center"/>
    </xf>
    <xf numFmtId="164" fontId="47" fillId="12" borderId="7" xfId="1" applyNumberFormat="1" applyFont="1" applyFill="1" applyBorder="1" applyAlignment="1">
      <alignment horizontal="center"/>
    </xf>
    <xf numFmtId="164" fontId="47" fillId="12" borderId="13" xfId="1" applyNumberFormat="1" applyFont="1" applyFill="1" applyBorder="1" applyAlignment="1">
      <alignment horizontal="center"/>
    </xf>
    <xf numFmtId="164" fontId="47" fillId="12" borderId="8" xfId="1" applyNumberFormat="1" applyFont="1" applyFill="1" applyBorder="1" applyAlignment="1">
      <alignment horizontal="center"/>
    </xf>
    <xf numFmtId="164" fontId="44" fillId="13" borderId="7" xfId="1" applyNumberFormat="1" applyFont="1" applyFill="1" applyBorder="1" applyAlignment="1">
      <alignment horizontal="left"/>
    </xf>
    <xf numFmtId="164" fontId="44" fillId="13" borderId="8" xfId="1" applyNumberFormat="1" applyFont="1" applyFill="1" applyBorder="1" applyAlignment="1">
      <alignment horizontal="left"/>
    </xf>
    <xf numFmtId="164" fontId="45" fillId="13" borderId="13" xfId="1" applyNumberFormat="1" applyFont="1" applyFill="1" applyBorder="1" applyAlignment="1">
      <alignment horizontal="center"/>
    </xf>
    <xf numFmtId="164" fontId="45" fillId="13" borderId="8" xfId="1" applyNumberFormat="1" applyFont="1" applyFill="1" applyBorder="1" applyAlignment="1">
      <alignment horizontal="center"/>
    </xf>
    <xf numFmtId="164" fontId="44" fillId="13" borderId="13" xfId="1" applyNumberFormat="1" applyFont="1" applyFill="1" applyBorder="1" applyAlignment="1">
      <alignment horizontal="center"/>
    </xf>
    <xf numFmtId="164" fontId="44" fillId="13" borderId="8" xfId="1" applyNumberFormat="1" applyFont="1" applyFill="1" applyBorder="1" applyAlignment="1">
      <alignment horizontal="center"/>
    </xf>
    <xf numFmtId="164" fontId="44" fillId="20" borderId="7" xfId="1" applyNumberFormat="1" applyFont="1" applyFill="1" applyBorder="1" applyAlignment="1">
      <alignment horizontal="left"/>
    </xf>
    <xf numFmtId="164" fontId="44" fillId="20" borderId="8" xfId="1" applyNumberFormat="1" applyFont="1" applyFill="1" applyBorder="1" applyAlignment="1">
      <alignment horizontal="left"/>
    </xf>
    <xf numFmtId="164" fontId="44" fillId="20" borderId="13" xfId="1" applyNumberFormat="1" applyFont="1" applyFill="1" applyBorder="1" applyAlignment="1">
      <alignment horizontal="center"/>
    </xf>
    <xf numFmtId="164" fontId="44" fillId="20" borderId="8" xfId="1" applyNumberFormat="1" applyFont="1" applyFill="1" applyBorder="1" applyAlignment="1">
      <alignment horizontal="center"/>
    </xf>
    <xf numFmtId="164" fontId="48" fillId="12" borderId="7" xfId="1" applyNumberFormat="1" applyFont="1" applyFill="1" applyBorder="1" applyAlignment="1">
      <alignment horizontal="center"/>
    </xf>
    <xf numFmtId="164" fontId="48" fillId="12" borderId="13" xfId="1" applyNumberFormat="1" applyFont="1" applyFill="1" applyBorder="1" applyAlignment="1">
      <alignment horizontal="center"/>
    </xf>
    <xf numFmtId="164" fontId="48" fillId="12" borderId="8" xfId="1" applyNumberFormat="1" applyFont="1" applyFill="1" applyBorder="1" applyAlignment="1">
      <alignment horizontal="center"/>
    </xf>
    <xf numFmtId="164" fontId="45" fillId="20" borderId="13" xfId="1" applyNumberFormat="1" applyFont="1" applyFill="1" applyBorder="1" applyAlignment="1">
      <alignment horizontal="center"/>
    </xf>
    <xf numFmtId="164" fontId="45" fillId="20" borderId="8" xfId="1" applyNumberFormat="1" applyFont="1" applyFill="1" applyBorder="1" applyAlignment="1">
      <alignment horizontal="center"/>
    </xf>
    <xf numFmtId="44" fontId="2" fillId="0" borderId="19" xfId="98" applyFont="1" applyBorder="1" applyAlignment="1">
      <alignment horizontal="center"/>
    </xf>
    <xf numFmtId="44" fontId="2" fillId="0" borderId="21" xfId="98" applyFont="1" applyBorder="1" applyAlignment="1">
      <alignment horizontal="center"/>
    </xf>
    <xf numFmtId="0" fontId="0" fillId="0" borderId="0" xfId="0" applyFill="1" applyBorder="1" applyAlignment="1">
      <alignment horizontal="center" vertical="center"/>
    </xf>
  </cellXfs>
  <cellStyles count="103">
    <cellStyle name="ColumnHeading" xfId="94" xr:uid="{00000000-0005-0000-0000-000000000000}"/>
    <cellStyle name="Comma" xfId="1" builtinId="3"/>
    <cellStyle name="Comma 13" xfId="95" xr:uid="{00000000-0005-0000-0000-000002000000}"/>
    <cellStyle name="Comma 2" xfId="4" xr:uid="{00000000-0005-0000-0000-000003000000}"/>
    <cellStyle name="Comma 2 2" xfId="87" xr:uid="{00000000-0005-0000-0000-000004000000}"/>
    <cellStyle name="Comma 3" xfId="6" xr:uid="{00000000-0005-0000-0000-000005000000}"/>
    <cellStyle name="Comma 3 10" xfId="97" xr:uid="{00000000-0005-0000-0000-000006000000}"/>
    <cellStyle name="Comma 4" xfId="10" xr:uid="{00000000-0005-0000-0000-000007000000}"/>
    <cellStyle name="Comma 5" xfId="93" xr:uid="{00000000-0005-0000-0000-000008000000}"/>
    <cellStyle name="Currency" xfId="98" builtinId="4"/>
    <cellStyle name="Currency 2" xfId="12" xr:uid="{00000000-0005-0000-0000-00000A000000}"/>
    <cellStyle name="Currency 3" xfId="13" xr:uid="{00000000-0005-0000-0000-00000B000000}"/>
    <cellStyle name="FRxAmtStyle" xfId="9" xr:uid="{00000000-0005-0000-0000-00000C000000}"/>
    <cellStyle name="FRxAmtStyle 10" xfId="14" xr:uid="{00000000-0005-0000-0000-00000D000000}"/>
    <cellStyle name="FRxAmtStyle 11" xfId="15" xr:uid="{00000000-0005-0000-0000-00000E000000}"/>
    <cellStyle name="FRxAmtStyle 12" xfId="16" xr:uid="{00000000-0005-0000-0000-00000F000000}"/>
    <cellStyle name="FRxAmtStyle 13" xfId="17" xr:uid="{00000000-0005-0000-0000-000010000000}"/>
    <cellStyle name="FRxAmtStyle 14" xfId="18" xr:uid="{00000000-0005-0000-0000-000011000000}"/>
    <cellStyle name="FRxAmtStyle 15" xfId="19" xr:uid="{00000000-0005-0000-0000-000012000000}"/>
    <cellStyle name="FRxAmtStyle 16" xfId="20" xr:uid="{00000000-0005-0000-0000-000013000000}"/>
    <cellStyle name="FRxAmtStyle 17" xfId="21" xr:uid="{00000000-0005-0000-0000-000014000000}"/>
    <cellStyle name="FRxAmtStyle 18" xfId="22" xr:uid="{00000000-0005-0000-0000-000015000000}"/>
    <cellStyle name="FRxAmtStyle 19" xfId="23" xr:uid="{00000000-0005-0000-0000-000016000000}"/>
    <cellStyle name="FRxAmtStyle 2" xfId="24" xr:uid="{00000000-0005-0000-0000-000017000000}"/>
    <cellStyle name="FRxAmtStyle 20" xfId="25" xr:uid="{00000000-0005-0000-0000-000018000000}"/>
    <cellStyle name="FRxAmtStyle 21" xfId="26" xr:uid="{00000000-0005-0000-0000-000019000000}"/>
    <cellStyle name="FRxAmtStyle 22" xfId="27" xr:uid="{00000000-0005-0000-0000-00001A000000}"/>
    <cellStyle name="FRxAmtStyle 23" xfId="28" xr:uid="{00000000-0005-0000-0000-00001B000000}"/>
    <cellStyle name="FRxAmtStyle 24" xfId="29" xr:uid="{00000000-0005-0000-0000-00001C000000}"/>
    <cellStyle name="FRxAmtStyle 25" xfId="30" xr:uid="{00000000-0005-0000-0000-00001D000000}"/>
    <cellStyle name="FRxAmtStyle 26" xfId="31" xr:uid="{00000000-0005-0000-0000-00001E000000}"/>
    <cellStyle name="FRxAmtStyle 27" xfId="32" xr:uid="{00000000-0005-0000-0000-00001F000000}"/>
    <cellStyle name="FRxAmtStyle 28" xfId="33" xr:uid="{00000000-0005-0000-0000-000020000000}"/>
    <cellStyle name="FRxAmtStyle 29" xfId="34" xr:uid="{00000000-0005-0000-0000-000021000000}"/>
    <cellStyle name="FRxAmtStyle 3" xfId="35" xr:uid="{00000000-0005-0000-0000-000022000000}"/>
    <cellStyle name="FRxAmtStyle 30" xfId="36" xr:uid="{00000000-0005-0000-0000-000023000000}"/>
    <cellStyle name="FRxAmtStyle 31" xfId="37" xr:uid="{00000000-0005-0000-0000-000024000000}"/>
    <cellStyle name="FRxAmtStyle 32" xfId="38" xr:uid="{00000000-0005-0000-0000-000025000000}"/>
    <cellStyle name="FRxAmtStyle 33" xfId="39" xr:uid="{00000000-0005-0000-0000-000026000000}"/>
    <cellStyle name="FRxAmtStyle 34" xfId="40" xr:uid="{00000000-0005-0000-0000-000027000000}"/>
    <cellStyle name="FRxAmtStyle 35" xfId="41" xr:uid="{00000000-0005-0000-0000-000028000000}"/>
    <cellStyle name="FRxAmtStyle 36" xfId="11" xr:uid="{00000000-0005-0000-0000-000029000000}"/>
    <cellStyle name="FRxAmtStyle 4" xfId="42" xr:uid="{00000000-0005-0000-0000-00002A000000}"/>
    <cellStyle name="FRxAmtStyle 5" xfId="43" xr:uid="{00000000-0005-0000-0000-00002B000000}"/>
    <cellStyle name="FRxAmtStyle 6" xfId="44" xr:uid="{00000000-0005-0000-0000-00002C000000}"/>
    <cellStyle name="FRxAmtStyle 7" xfId="45" xr:uid="{00000000-0005-0000-0000-00002D000000}"/>
    <cellStyle name="FRxAmtStyle 8" xfId="46" xr:uid="{00000000-0005-0000-0000-00002E000000}"/>
    <cellStyle name="FRxAmtStyle 9" xfId="47" xr:uid="{00000000-0005-0000-0000-00002F000000}"/>
    <cellStyle name="FRxCurrStyle" xfId="48" xr:uid="{00000000-0005-0000-0000-000030000000}"/>
    <cellStyle name="FRxPcntStyle" xfId="49" xr:uid="{00000000-0005-0000-0000-000031000000}"/>
    <cellStyle name="Heading 4 2" xfId="50" xr:uid="{00000000-0005-0000-0000-000032000000}"/>
    <cellStyle name="Normal" xfId="0" builtinId="0"/>
    <cellStyle name="Normal 10" xfId="51" xr:uid="{00000000-0005-0000-0000-000034000000}"/>
    <cellStyle name="Normal 11" xfId="52" xr:uid="{00000000-0005-0000-0000-000035000000}"/>
    <cellStyle name="Normal 12" xfId="53" xr:uid="{00000000-0005-0000-0000-000036000000}"/>
    <cellStyle name="Normal 13" xfId="54" xr:uid="{00000000-0005-0000-0000-000037000000}"/>
    <cellStyle name="Normal 14" xfId="55" xr:uid="{00000000-0005-0000-0000-000038000000}"/>
    <cellStyle name="Normal 15" xfId="56" xr:uid="{00000000-0005-0000-0000-000039000000}"/>
    <cellStyle name="Normal 16" xfId="57" xr:uid="{00000000-0005-0000-0000-00003A000000}"/>
    <cellStyle name="Normal 17" xfId="58" xr:uid="{00000000-0005-0000-0000-00003B000000}"/>
    <cellStyle name="Normal 18" xfId="59" xr:uid="{00000000-0005-0000-0000-00003C000000}"/>
    <cellStyle name="Normal 19" xfId="60" xr:uid="{00000000-0005-0000-0000-00003D000000}"/>
    <cellStyle name="Normal 2" xfId="2" xr:uid="{00000000-0005-0000-0000-00003E000000}"/>
    <cellStyle name="Normal 2 2 2" xfId="96" xr:uid="{00000000-0005-0000-0000-00003F000000}"/>
    <cellStyle name="Normal 20" xfId="61" xr:uid="{00000000-0005-0000-0000-000040000000}"/>
    <cellStyle name="Normal 21" xfId="62" xr:uid="{00000000-0005-0000-0000-000041000000}"/>
    <cellStyle name="Normal 22" xfId="63" xr:uid="{00000000-0005-0000-0000-000042000000}"/>
    <cellStyle name="Normal 23" xfId="64" xr:uid="{00000000-0005-0000-0000-000043000000}"/>
    <cellStyle name="Normal 24" xfId="65" xr:uid="{00000000-0005-0000-0000-000044000000}"/>
    <cellStyle name="Normal 25" xfId="66" xr:uid="{00000000-0005-0000-0000-000045000000}"/>
    <cellStyle name="Normal 26" xfId="67" xr:uid="{00000000-0005-0000-0000-000046000000}"/>
    <cellStyle name="Normal 27" xfId="68" xr:uid="{00000000-0005-0000-0000-000047000000}"/>
    <cellStyle name="Normal 28" xfId="69" xr:uid="{00000000-0005-0000-0000-000048000000}"/>
    <cellStyle name="Normal 29" xfId="70" xr:uid="{00000000-0005-0000-0000-000049000000}"/>
    <cellStyle name="Normal 3" xfId="3" xr:uid="{00000000-0005-0000-0000-00004A000000}"/>
    <cellStyle name="Normal 30" xfId="71" xr:uid="{00000000-0005-0000-0000-00004B000000}"/>
    <cellStyle name="Normal 31" xfId="72" xr:uid="{00000000-0005-0000-0000-00004C000000}"/>
    <cellStyle name="Normal 32" xfId="73" xr:uid="{00000000-0005-0000-0000-00004D000000}"/>
    <cellStyle name="Normal 33" xfId="74" xr:uid="{00000000-0005-0000-0000-00004E000000}"/>
    <cellStyle name="Normal 34" xfId="88" xr:uid="{00000000-0005-0000-0000-00004F000000}"/>
    <cellStyle name="Normal 35" xfId="90" xr:uid="{00000000-0005-0000-0000-000050000000}"/>
    <cellStyle name="Normal 36" xfId="91" xr:uid="{00000000-0005-0000-0000-000051000000}"/>
    <cellStyle name="Normal 37" xfId="99" xr:uid="{00000000-0005-0000-0000-000052000000}"/>
    <cellStyle name="Normal 38" xfId="100" xr:uid="{00000000-0005-0000-0000-000053000000}"/>
    <cellStyle name="Normal 39" xfId="101" xr:uid="{00000000-0005-0000-0000-000054000000}"/>
    <cellStyle name="Normal 4" xfId="8" xr:uid="{00000000-0005-0000-0000-000055000000}"/>
    <cellStyle name="Normal 40" xfId="102" xr:uid="{CA819635-32E1-4254-B1B1-5FDDFE77B884}"/>
    <cellStyle name="Normal 5" xfId="75" xr:uid="{00000000-0005-0000-0000-000056000000}"/>
    <cellStyle name="Normal 6" xfId="76" xr:uid="{00000000-0005-0000-0000-000057000000}"/>
    <cellStyle name="Normal 7" xfId="77" xr:uid="{00000000-0005-0000-0000-000058000000}"/>
    <cellStyle name="Normal 8" xfId="78" xr:uid="{00000000-0005-0000-0000-000059000000}"/>
    <cellStyle name="Normal 9" xfId="79" xr:uid="{00000000-0005-0000-0000-00005A000000}"/>
    <cellStyle name="Normal_Summerville Covenant Compliance Worksheet - 200510062" xfId="89" xr:uid="{00000000-0005-0000-0000-00005B000000}"/>
    <cellStyle name="Percent" xfId="92" builtinId="5"/>
    <cellStyle name="Percent 2" xfId="5" xr:uid="{00000000-0005-0000-0000-00005D000000}"/>
    <cellStyle name="Percent 3" xfId="7" xr:uid="{00000000-0005-0000-0000-00005E000000}"/>
    <cellStyle name="STYLE1" xfId="80" xr:uid="{00000000-0005-0000-0000-00005F000000}"/>
    <cellStyle name="STYLE2" xfId="81" xr:uid="{00000000-0005-0000-0000-000060000000}"/>
    <cellStyle name="STYLE3" xfId="82" xr:uid="{00000000-0005-0000-0000-000061000000}"/>
    <cellStyle name="STYLE4" xfId="83" xr:uid="{00000000-0005-0000-0000-000062000000}"/>
    <cellStyle name="STYLE5" xfId="84" xr:uid="{00000000-0005-0000-0000-000063000000}"/>
    <cellStyle name="STYLE6" xfId="85" xr:uid="{00000000-0005-0000-0000-000064000000}"/>
    <cellStyle name="STYLE7" xfId="86" xr:uid="{00000000-0005-0000-0000-00006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676275</xdr:colOff>
          <xdr:row>0</xdr:row>
          <xdr:rowOff>0</xdr:rowOff>
        </xdr:to>
        <xdr:sp macro="" textlink="">
          <xdr:nvSpPr>
            <xdr:cNvPr id="3073" name="FPMExcelClientSheetOptionstb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5" name="FPMExcelClientSheetOptionstb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6" name="ConnectionDescriptorsInfotb1"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7" name="MultipleReportManagerInfotb1"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8" name="AnalyzerDynReport000tb1"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0</xdr:rowOff>
        </xdr:from>
        <xdr:to>
          <xdr:col>0</xdr:col>
          <xdr:colOff>0</xdr:colOff>
          <xdr:row>1</xdr:row>
          <xdr:rowOff>0</xdr:rowOff>
        </xdr:to>
        <xdr:sp macro="" textlink="">
          <xdr:nvSpPr>
            <xdr:cNvPr id="2049" name="FPMExcelClientSheetOptionstb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200025</xdr:colOff>
          <xdr:row>0</xdr:row>
          <xdr:rowOff>0</xdr:rowOff>
        </xdr:to>
        <xdr:sp macro="" textlink="">
          <xdr:nvSpPr>
            <xdr:cNvPr id="34817" name="FPMExcelClientSheetOptionstb1" hidden="1">
              <a:extLst>
                <a:ext uri="{63B3BB69-23CF-44E3-9099-C40C66FF867C}">
                  <a14:compatExt spid="_x0000_s34817"/>
                </a:ext>
                <a:ext uri="{FF2B5EF4-FFF2-40B4-BE49-F238E27FC236}">
                  <a16:creationId xmlns:a16="http://schemas.microsoft.com/office/drawing/2014/main" id="{00000000-0008-0000-0300-0000018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0</xdr:rowOff>
        </xdr:to>
        <xdr:sp macro="" textlink="">
          <xdr:nvSpPr>
            <xdr:cNvPr id="7169" name="FPMExcelClientSheetOptionstb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0</xdr:rowOff>
        </xdr:to>
        <xdr:sp macro="" textlink="">
          <xdr:nvSpPr>
            <xdr:cNvPr id="6148" name="FPMExcelClientSheetOptionstb1" hidden="1">
              <a:extLst>
                <a:ext uri="{63B3BB69-23CF-44E3-9099-C40C66FF867C}">
                  <a14:compatExt spid="_x0000_s6148"/>
                </a:ext>
                <a:ext uri="{FF2B5EF4-FFF2-40B4-BE49-F238E27FC236}">
                  <a16:creationId xmlns:a16="http://schemas.microsoft.com/office/drawing/2014/main" id="{00000000-0008-0000-0A00-000004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0</xdr:rowOff>
        </xdr:to>
        <xdr:sp macro="" textlink="">
          <xdr:nvSpPr>
            <xdr:cNvPr id="8193" name="FPMExcelClientSheetOptionstb1" hidden="1">
              <a:extLst>
                <a:ext uri="{63B3BB69-23CF-44E3-9099-C40C66FF867C}">
                  <a14:compatExt spid="_x0000_s8193"/>
                </a:ext>
                <a:ext uri="{FF2B5EF4-FFF2-40B4-BE49-F238E27FC236}">
                  <a16:creationId xmlns:a16="http://schemas.microsoft.com/office/drawing/2014/main" id="{00000000-0008-0000-0B00-000001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304800</xdr:colOff>
          <xdr:row>0</xdr:row>
          <xdr:rowOff>0</xdr:rowOff>
        </xdr:to>
        <xdr:sp macro="" textlink="">
          <xdr:nvSpPr>
            <xdr:cNvPr id="33793" name="FPMExcelClientSheetOptionstb1" hidden="1">
              <a:extLst>
                <a:ext uri="{63B3BB69-23CF-44E3-9099-C40C66FF867C}">
                  <a14:compatExt spid="_x0000_s33793"/>
                </a:ext>
                <a:ext uri="{FF2B5EF4-FFF2-40B4-BE49-F238E27FC236}">
                  <a16:creationId xmlns:a16="http://schemas.microsoft.com/office/drawing/2014/main" id="{00000000-0008-0000-0C00-0000018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Public%20Files\Portfolio%20Management\NTrust\Workings\VK\Workings\June%202019\06.10\North%20American%20-%20Nov%20&amp;%20Dec'18%20Revised%20Templates\December%202019\2018.12%20-%20North%20American%20Health%20Care%20Updated%2006.10.201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Team%20Members\Kaalai%20Kathiravan%20Radhakrishnan\Sabra%20Health%20Care\Workings\North%20America%20Mar'20\2018.11%20-%20North%20American%20Health%20Care%20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ppsr02\nvision\Layout\CTRS_PAYR_OS_GHC_NSG.xn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DRE_DATACACHE"/>
      <sheetName val="ReportingTemplate"/>
      <sheetName val="Income Statement"/>
      <sheetName val="Balance Sheet"/>
      <sheetName val="Other"/>
      <sheetName val="Definitions"/>
    </sheetNames>
    <sheetDataSet>
      <sheetData sheetId="0" refreshError="1"/>
      <sheetData sheetId="1"/>
      <sheetData sheetId="2"/>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DRE_DATACACHE"/>
      <sheetName val="ReportingTemplate"/>
      <sheetName val="Income Statement "/>
      <sheetName val="Balance Sheet"/>
      <sheetName val="Definition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tance_Hook"/>
      <sheetName val="History"/>
      <sheetName val="Options"/>
      <sheetName val="Operating Statement"/>
    </sheetNames>
    <sheetDataSet>
      <sheetData sheetId="0" refreshError="1"/>
      <sheetData sheetId="1" refreshError="1"/>
      <sheetData sheetId="2" refreshError="1"/>
      <sheetData sheetId="3" refreshError="1">
        <row r="101">
          <cell r="A101" t="str">
            <v>%,FCHARTFIELD1,TPG_OP_STATE,X,NINS,FACCOUNT,VDAYS,FCURRENCY_CD,V,VUSD</v>
          </cell>
          <cell r="D101" t="str">
            <v>Insurance</v>
          </cell>
          <cell r="M101">
            <v>0</v>
          </cell>
          <cell r="T101">
            <v>0</v>
          </cell>
        </row>
        <row r="103">
          <cell r="A103" t="str">
            <v>%,FCHARTFIELD1,TPG_OP_STATE,X,NMCAID_SNF,FACCOUNT,VDAYS,FCURRENCY_CD,V,VUSD</v>
          </cell>
          <cell r="D103" t="str">
            <v>Medicaid</v>
          </cell>
          <cell r="M103">
            <v>0</v>
          </cell>
          <cell r="T10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image" Target="../media/image1.emf"/><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control" Target="../activeX/activeX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image" Target="../media/image10.emf"/><Relationship Id="rId4" Type="http://schemas.openxmlformats.org/officeDocument/2006/relationships/control" Target="../activeX/activeX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image" Target="../media/image11.emf"/><Relationship Id="rId4" Type="http://schemas.openxmlformats.org/officeDocument/2006/relationships/control" Target="../activeX/activeX11.xml"/></Relationships>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drawing" Target="../drawings/drawing2.xml"/><Relationship Id="rId7" Type="http://schemas.openxmlformats.org/officeDocument/2006/relationships/control" Target="../activeX/activeX3.xml"/><Relationship Id="rId12" Type="http://schemas.openxmlformats.org/officeDocument/2006/relationships/image" Target="../media/image5.emf"/><Relationship Id="rId2" Type="http://schemas.openxmlformats.org/officeDocument/2006/relationships/customProperty" Target="../customProperty4.bin"/><Relationship Id="rId1" Type="http://schemas.openxmlformats.org/officeDocument/2006/relationships/customProperty" Target="../customProperty3.bin"/><Relationship Id="rId6" Type="http://schemas.openxmlformats.org/officeDocument/2006/relationships/image" Target="../media/image2.emf"/><Relationship Id="rId11" Type="http://schemas.openxmlformats.org/officeDocument/2006/relationships/control" Target="../activeX/activeX5.xml"/><Relationship Id="rId5" Type="http://schemas.openxmlformats.org/officeDocument/2006/relationships/control" Target="../activeX/activeX2.xml"/><Relationship Id="rId10" Type="http://schemas.openxmlformats.org/officeDocument/2006/relationships/image" Target="../media/image4.emf"/><Relationship Id="rId4" Type="http://schemas.openxmlformats.org/officeDocument/2006/relationships/vmlDrawing" Target="../drawings/vmlDrawing2.vml"/><Relationship Id="rId9" Type="http://schemas.openxmlformats.org/officeDocument/2006/relationships/control" Target="../activeX/activeX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5.bin"/><Relationship Id="rId1" Type="http://schemas.openxmlformats.org/officeDocument/2006/relationships/printerSettings" Target="../printerSettings/printerSettings2.bin"/><Relationship Id="rId6" Type="http://schemas.openxmlformats.org/officeDocument/2006/relationships/image" Target="../media/image6.emf"/><Relationship Id="rId5" Type="http://schemas.openxmlformats.org/officeDocument/2006/relationships/control" Target="../activeX/activeX6.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customProperty" Target="../customProperty7.bin"/><Relationship Id="rId7" Type="http://schemas.openxmlformats.org/officeDocument/2006/relationships/control" Target="../activeX/activeX7.xml"/><Relationship Id="rId2" Type="http://schemas.openxmlformats.org/officeDocument/2006/relationships/customProperty" Target="../customProperty6.bin"/><Relationship Id="rId1" Type="http://schemas.openxmlformats.org/officeDocument/2006/relationships/printerSettings" Target="../printerSettings/printerSettings3.bin"/><Relationship Id="rId6" Type="http://schemas.openxmlformats.org/officeDocument/2006/relationships/vmlDrawing" Target="../drawings/vmlDrawing4.vml"/><Relationship Id="rId5" Type="http://schemas.openxmlformats.org/officeDocument/2006/relationships/drawing" Target="../drawings/drawing4.xml"/><Relationship Id="rId4" Type="http://schemas.openxmlformats.org/officeDocument/2006/relationships/customProperty" Target="../customProperty8.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9.bin"/><Relationship Id="rId1" Type="http://schemas.openxmlformats.org/officeDocument/2006/relationships/printerSettings" Target="../printerSettings/printerSettings4.bin"/><Relationship Id="rId6" Type="http://schemas.openxmlformats.org/officeDocument/2006/relationships/image" Target="../media/image8.emf"/><Relationship Id="rId5" Type="http://schemas.openxmlformats.org/officeDocument/2006/relationships/control" Target="../activeX/activeX8.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L28"/>
  <sheetViews>
    <sheetView zoomScale="90" zoomScaleNormal="90" workbookViewId="0">
      <selection activeCell="C8" sqref="C8"/>
    </sheetView>
  </sheetViews>
  <sheetFormatPr defaultColWidth="9.15625" defaultRowHeight="14.4" x14ac:dyDescent="0.55000000000000004"/>
  <cols>
    <col min="1" max="1" width="2.578125" style="21" customWidth="1"/>
    <col min="2" max="2" width="19.41796875" style="21" bestFit="1" customWidth="1"/>
    <col min="3" max="3" width="19" style="21" customWidth="1"/>
    <col min="4" max="4" width="4.68359375" style="21" customWidth="1"/>
    <col min="5" max="5" width="19.15625" style="21" bestFit="1" customWidth="1"/>
    <col min="6" max="6" width="16" style="21" customWidth="1"/>
    <col min="7" max="7" width="6.41796875" style="21" customWidth="1"/>
    <col min="8" max="8" width="13.83984375" style="21" bestFit="1" customWidth="1"/>
    <col min="9" max="9" width="1.15625" style="21" customWidth="1"/>
    <col min="10" max="10" width="104.15625" style="21" customWidth="1"/>
    <col min="11" max="11" width="11.578125" style="21" bestFit="1" customWidth="1"/>
    <col min="12" max="12" width="12.26171875" style="21" bestFit="1" customWidth="1"/>
    <col min="13" max="16384" width="9.15625" style="21"/>
  </cols>
  <sheetData>
    <row r="1" spans="1:12" s="24" customFormat="1" ht="12.3" x14ac:dyDescent="0.4">
      <c r="A1" s="22" t="s">
        <v>973</v>
      </c>
      <c r="B1" s="23"/>
    </row>
    <row r="2" spans="1:12" s="24" customFormat="1" ht="12.3" x14ac:dyDescent="0.4">
      <c r="A2" s="25" t="s">
        <v>18</v>
      </c>
      <c r="B2" s="23"/>
    </row>
    <row r="3" spans="1:12" s="24" customFormat="1" x14ac:dyDescent="0.55000000000000004">
      <c r="A3" s="25" t="s">
        <v>1186</v>
      </c>
      <c r="B3" s="23"/>
      <c r="H3" s="174"/>
      <c r="I3" s="174"/>
      <c r="J3" s="174"/>
      <c r="K3" s="174"/>
      <c r="L3" s="174"/>
    </row>
    <row r="4" spans="1:12" ht="14.7" thickBot="1" x14ac:dyDescent="0.6">
      <c r="H4" s="174"/>
      <c r="I4" s="174"/>
      <c r="J4" s="174"/>
      <c r="K4" s="174"/>
      <c r="L4" s="174"/>
    </row>
    <row r="5" spans="1:12" ht="14.7" thickBot="1" x14ac:dyDescent="0.6">
      <c r="B5" s="26" t="s">
        <v>16</v>
      </c>
      <c r="C5" s="27"/>
      <c r="E5" s="26" t="s">
        <v>21</v>
      </c>
      <c r="F5" s="27"/>
      <c r="H5" s="35" t="s">
        <v>22</v>
      </c>
      <c r="I5" s="36"/>
      <c r="J5" s="37" t="s">
        <v>23</v>
      </c>
    </row>
    <row r="6" spans="1:12" x14ac:dyDescent="0.55000000000000004">
      <c r="B6" s="28"/>
      <c r="C6" s="29"/>
      <c r="E6" s="28"/>
      <c r="F6" s="29"/>
      <c r="H6" s="32"/>
      <c r="I6" s="31"/>
      <c r="J6" s="33"/>
    </row>
    <row r="7" spans="1:12" ht="43.2" x14ac:dyDescent="0.55000000000000004">
      <c r="B7" s="288" t="s">
        <v>14</v>
      </c>
      <c r="C7" s="73">
        <v>2156</v>
      </c>
      <c r="D7" s="289"/>
      <c r="E7" s="288" t="s">
        <v>14</v>
      </c>
      <c r="F7" s="73">
        <f ca="1">Summary!O551</f>
        <v>2152</v>
      </c>
      <c r="G7" s="289"/>
      <c r="H7" s="290">
        <f ca="1">C7-F7</f>
        <v>4</v>
      </c>
      <c r="I7" s="31"/>
      <c r="J7" s="48" t="s">
        <v>1189</v>
      </c>
    </row>
    <row r="8" spans="1:12" x14ac:dyDescent="0.55000000000000004">
      <c r="B8" s="70" t="s">
        <v>19</v>
      </c>
      <c r="C8" s="73">
        <f>'YTD Summary'!L4</f>
        <v>389240</v>
      </c>
      <c r="D8" s="71"/>
      <c r="E8" s="70" t="s">
        <v>19</v>
      </c>
      <c r="F8" s="73">
        <f ca="1">Summary!O550</f>
        <v>389240</v>
      </c>
      <c r="G8" s="71"/>
      <c r="H8" s="72">
        <f ca="1">C8-F8</f>
        <v>0</v>
      </c>
      <c r="I8" s="41"/>
      <c r="J8" s="48"/>
    </row>
    <row r="9" spans="1:12" x14ac:dyDescent="0.55000000000000004">
      <c r="B9" s="30"/>
      <c r="C9" s="74"/>
      <c r="E9" s="30"/>
      <c r="F9" s="74"/>
      <c r="H9" s="32"/>
      <c r="I9" s="31"/>
      <c r="J9" s="48"/>
    </row>
    <row r="10" spans="1:12" s="71" customFormat="1" x14ac:dyDescent="0.55000000000000004">
      <c r="B10" s="70" t="s">
        <v>17</v>
      </c>
      <c r="C10" s="75">
        <f>'YTD Summary'!L5</f>
        <v>194046923.56999999</v>
      </c>
      <c r="E10" s="70" t="s">
        <v>17</v>
      </c>
      <c r="F10" s="75">
        <f ca="1">Summary!O552</f>
        <v>194046923.56999999</v>
      </c>
      <c r="H10" s="72">
        <f ca="1">C10-F10</f>
        <v>0</v>
      </c>
      <c r="I10" s="134"/>
      <c r="J10" s="48"/>
      <c r="L10" s="135"/>
    </row>
    <row r="11" spans="1:12" ht="57.6" x14ac:dyDescent="0.55000000000000004">
      <c r="B11" s="70" t="s">
        <v>15</v>
      </c>
      <c r="C11" s="76">
        <f>'YTD Summary'!L6</f>
        <v>156509190.64999998</v>
      </c>
      <c r="D11" s="71"/>
      <c r="E11" s="70" t="s">
        <v>15</v>
      </c>
      <c r="F11" s="76">
        <f ca="1">Summary!O553</f>
        <v>156509481.10999998</v>
      </c>
      <c r="G11" s="71"/>
      <c r="H11" s="72">
        <f ca="1">C11-F11</f>
        <v>-290.46000000834465</v>
      </c>
      <c r="I11" s="41"/>
      <c r="J11" s="48" t="s">
        <v>1188</v>
      </c>
      <c r="L11" s="106"/>
    </row>
    <row r="12" spans="1:12" x14ac:dyDescent="0.55000000000000004">
      <c r="B12" s="30" t="s">
        <v>12</v>
      </c>
      <c r="C12" s="77">
        <f>C10-C11</f>
        <v>37537732.920000017</v>
      </c>
      <c r="E12" s="30" t="s">
        <v>12</v>
      </c>
      <c r="F12" s="77">
        <f ca="1">F10-F11</f>
        <v>37537442.460000008</v>
      </c>
      <c r="H12" s="38">
        <f ca="1">C12-F12</f>
        <v>290.46000000834465</v>
      </c>
      <c r="I12" s="41"/>
      <c r="J12" s="48"/>
      <c r="K12" s="106"/>
    </row>
    <row r="13" spans="1:12" x14ac:dyDescent="0.55000000000000004">
      <c r="B13" s="70" t="s">
        <v>25</v>
      </c>
      <c r="C13" s="76">
        <f>'YTD Summary'!L8</f>
        <v>9524517</v>
      </c>
      <c r="D13" s="71"/>
      <c r="E13" s="70" t="s">
        <v>25</v>
      </c>
      <c r="F13" s="76">
        <f ca="1">Summary!O556</f>
        <v>9524517</v>
      </c>
      <c r="G13" s="71"/>
      <c r="H13" s="72">
        <f ca="1">C13-F13</f>
        <v>0</v>
      </c>
      <c r="I13" s="41"/>
      <c r="J13" s="48"/>
    </row>
    <row r="14" spans="1:12" x14ac:dyDescent="0.55000000000000004">
      <c r="B14" s="30" t="s">
        <v>11</v>
      </c>
      <c r="C14" s="77">
        <f>C12-C13</f>
        <v>28013215.920000017</v>
      </c>
      <c r="E14" s="30" t="s">
        <v>11</v>
      </c>
      <c r="F14" s="77">
        <f ca="1">F12-F13</f>
        <v>28012925.460000008</v>
      </c>
      <c r="H14" s="38">
        <f ca="1">C14-F14</f>
        <v>290.46000000834465</v>
      </c>
      <c r="I14" s="41"/>
      <c r="J14" s="48"/>
    </row>
    <row r="15" spans="1:12" x14ac:dyDescent="0.55000000000000004">
      <c r="B15" s="30"/>
      <c r="C15" s="78"/>
      <c r="E15" s="30"/>
      <c r="F15" s="78"/>
      <c r="H15" s="32"/>
      <c r="I15" s="31"/>
      <c r="J15" s="48"/>
    </row>
    <row r="16" spans="1:12" x14ac:dyDescent="0.55000000000000004">
      <c r="B16" s="30" t="s">
        <v>24</v>
      </c>
      <c r="C16" s="79">
        <f>'YTD Summary'!L10</f>
        <v>25533721.399999999</v>
      </c>
      <c r="E16" s="30" t="s">
        <v>24</v>
      </c>
      <c r="F16" s="79">
        <f ca="1">Summary!O558</f>
        <v>25533721.399999999</v>
      </c>
      <c r="H16" s="38">
        <f ca="1">C16-F16</f>
        <v>0</v>
      </c>
      <c r="I16" s="41"/>
      <c r="J16" s="33"/>
    </row>
    <row r="17" spans="2:10" x14ac:dyDescent="0.55000000000000004">
      <c r="B17" s="32"/>
      <c r="C17" s="56"/>
      <c r="E17" s="32"/>
      <c r="F17" s="56"/>
      <c r="H17" s="32"/>
      <c r="I17" s="31"/>
      <c r="J17" s="33"/>
    </row>
    <row r="18" spans="2:10" x14ac:dyDescent="0.55000000000000004">
      <c r="B18" s="32" t="s">
        <v>20</v>
      </c>
      <c r="C18" s="80">
        <f>C12/C16</f>
        <v>1.4701238543317081</v>
      </c>
      <c r="E18" s="32" t="s">
        <v>20</v>
      </c>
      <c r="F18" s="80">
        <f ca="1">F12/F16</f>
        <v>1.4701124787865827</v>
      </c>
      <c r="H18" s="38">
        <f ca="1">C18-F18</f>
        <v>1.1375545125424935E-5</v>
      </c>
      <c r="I18" s="41"/>
      <c r="J18" s="33"/>
    </row>
    <row r="19" spans="2:10" ht="14.7" thickBot="1" x14ac:dyDescent="0.6">
      <c r="B19" s="34" t="s">
        <v>0</v>
      </c>
      <c r="C19" s="81">
        <f>C14/C16</f>
        <v>1.0971066646007981</v>
      </c>
      <c r="E19" s="34" t="s">
        <v>0</v>
      </c>
      <c r="F19" s="81">
        <f ca="1">F14/F16</f>
        <v>1.0970952890556724</v>
      </c>
      <c r="H19" s="40">
        <f ca="1">C19-F19</f>
        <v>1.137554512564698E-5</v>
      </c>
      <c r="I19" s="42"/>
      <c r="J19" s="39"/>
    </row>
    <row r="21" spans="2:10" x14ac:dyDescent="0.55000000000000004">
      <c r="E21" s="53" t="s">
        <v>19</v>
      </c>
    </row>
    <row r="22" spans="2:10" x14ac:dyDescent="0.55000000000000004">
      <c r="E22" s="53" t="s">
        <v>17</v>
      </c>
      <c r="F22" s="47"/>
    </row>
    <row r="23" spans="2:10" x14ac:dyDescent="0.55000000000000004">
      <c r="E23" s="53" t="s">
        <v>15</v>
      </c>
    </row>
    <row r="24" spans="2:10" x14ac:dyDescent="0.55000000000000004">
      <c r="E24" s="53" t="s">
        <v>12</v>
      </c>
    </row>
    <row r="25" spans="2:10" x14ac:dyDescent="0.55000000000000004">
      <c r="E25" s="53" t="s">
        <v>25</v>
      </c>
    </row>
    <row r="26" spans="2:10" x14ac:dyDescent="0.55000000000000004">
      <c r="E26" s="53" t="s">
        <v>11</v>
      </c>
    </row>
    <row r="27" spans="2:10" x14ac:dyDescent="0.55000000000000004">
      <c r="E27" s="53" t="s">
        <v>24</v>
      </c>
    </row>
    <row r="28" spans="2:10" x14ac:dyDescent="0.55000000000000004">
      <c r="E28" s="53"/>
    </row>
  </sheetData>
  <pageMargins left="0.7" right="0.7" top="0.75" bottom="0.75" header="0.3" footer="0.3"/>
  <pageSetup orientation="portrait" horizontalDpi="4294967295" verticalDpi="4294967295" r:id="rId1"/>
  <customProperties>
    <customPr name="FPMExcelClientCellBasedFunctionStatus" r:id="rId2"/>
    <customPr name="FPMExcelClientRefreshTime" r:id="rId3"/>
  </customProperties>
  <drawing r:id="rId4"/>
  <legacyDrawing r:id="rId5"/>
  <controls>
    <mc:AlternateContent xmlns:mc="http://schemas.openxmlformats.org/markup-compatibility/2006">
      <mc:Choice Requires="x14">
        <control shapeId="3073" r:id="rId6" name="FPMExcelClientSheetOptionstb1">
          <controlPr defaultSize="0" autoLine="0" autoPict="0" r:id="rId7">
            <anchor moveWithCells="1" sizeWithCells="1">
              <from>
                <xdr:col>0</xdr:col>
                <xdr:colOff>0</xdr:colOff>
                <xdr:row>0</xdr:row>
                <xdr:rowOff>0</xdr:rowOff>
              </from>
              <to>
                <xdr:col>1</xdr:col>
                <xdr:colOff>678180</xdr:colOff>
                <xdr:row>0</xdr:row>
                <xdr:rowOff>0</xdr:rowOff>
              </to>
            </anchor>
          </controlPr>
        </control>
      </mc:Choice>
      <mc:Fallback>
        <control shapeId="3073" r:id="rId6" name="FPMExcelClientSheetOptionstb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9F16A-DFAF-4D19-B8A9-D53980DAE7AC}">
  <sheetPr>
    <tabColor rgb="FF92D050"/>
  </sheetPr>
  <dimension ref="A2:T15"/>
  <sheetViews>
    <sheetView zoomScale="80" zoomScaleNormal="80" workbookViewId="0"/>
  </sheetViews>
  <sheetFormatPr defaultColWidth="20.83984375" defaultRowHeight="12.9" x14ac:dyDescent="0.5"/>
  <cols>
    <col min="1" max="1" width="14.578125" style="198" customWidth="1"/>
    <col min="2" max="2" width="5" style="198" customWidth="1"/>
    <col min="3" max="3" width="32.41796875" style="198" bestFit="1" customWidth="1"/>
    <col min="4" max="4" width="17.68359375" style="198" bestFit="1" customWidth="1"/>
    <col min="5" max="5" width="20.578125" style="198" bestFit="1" customWidth="1"/>
    <col min="6" max="6" width="18" style="198" bestFit="1" customWidth="1"/>
    <col min="7" max="7" width="20.26171875" style="198" bestFit="1" customWidth="1"/>
    <col min="8" max="8" width="16.41796875" style="198" bestFit="1" customWidth="1"/>
    <col min="9" max="9" width="20.83984375" style="198"/>
    <col min="10" max="10" width="20.68359375" style="198" bestFit="1" customWidth="1"/>
    <col min="11" max="11" width="20.15625" style="198" bestFit="1" customWidth="1"/>
    <col min="12" max="12" width="16" style="198" bestFit="1" customWidth="1"/>
    <col min="13" max="13" width="15.68359375" style="198" bestFit="1" customWidth="1"/>
    <col min="14" max="14" width="19.26171875" style="198" bestFit="1" customWidth="1"/>
    <col min="15" max="15" width="18.26171875" style="198" bestFit="1" customWidth="1"/>
    <col min="16" max="16" width="15.68359375" style="198" bestFit="1" customWidth="1"/>
    <col min="17" max="17" width="20.578125" style="198" bestFit="1" customWidth="1"/>
    <col min="18" max="18" width="16.68359375" style="198" bestFit="1" customWidth="1"/>
    <col min="19" max="19" width="16.83984375" style="198" bestFit="1" customWidth="1"/>
    <col min="20" max="20" width="20.578125" style="198" bestFit="1" customWidth="1"/>
    <col min="21" max="16384" width="20.83984375" style="198"/>
  </cols>
  <sheetData>
    <row r="2" spans="1:20" s="200" customFormat="1" ht="14.7" thickBot="1" x14ac:dyDescent="0.6">
      <c r="A2" s="226" t="s">
        <v>1177</v>
      </c>
      <c r="B2" s="198"/>
    </row>
    <row r="3" spans="1:20" s="200" customFormat="1" ht="14.7" thickBot="1" x14ac:dyDescent="0.6">
      <c r="C3" s="302" t="s">
        <v>1120</v>
      </c>
      <c r="D3" s="303"/>
      <c r="E3" s="317" t="s">
        <v>105</v>
      </c>
      <c r="F3" s="318"/>
      <c r="G3" s="318"/>
      <c r="H3" s="318"/>
      <c r="I3" s="318"/>
      <c r="J3" s="318"/>
      <c r="K3" s="318"/>
      <c r="L3" s="318"/>
      <c r="M3" s="318"/>
      <c r="N3" s="318"/>
      <c r="O3" s="318"/>
      <c r="P3" s="318"/>
      <c r="Q3" s="318"/>
      <c r="R3" s="318"/>
      <c r="S3" s="318"/>
      <c r="T3" s="318"/>
    </row>
    <row r="4" spans="1:20" s="202" customFormat="1" ht="13.2" thickBot="1" x14ac:dyDescent="0.55000000000000004">
      <c r="C4" s="224"/>
      <c r="D4" s="225" t="s">
        <v>1113</v>
      </c>
      <c r="E4" s="212" t="s">
        <v>1025</v>
      </c>
      <c r="F4" s="213" t="s">
        <v>1026</v>
      </c>
      <c r="G4" s="213" t="s">
        <v>1027</v>
      </c>
      <c r="H4" s="213" t="s">
        <v>1028</v>
      </c>
      <c r="I4" s="213" t="s">
        <v>1029</v>
      </c>
      <c r="J4" s="213" t="s">
        <v>1032</v>
      </c>
      <c r="K4" s="213" t="s">
        <v>1033</v>
      </c>
      <c r="L4" s="213" t="s">
        <v>1035</v>
      </c>
      <c r="M4" s="213" t="s">
        <v>1036</v>
      </c>
      <c r="N4" s="213" t="s">
        <v>1037</v>
      </c>
      <c r="O4" s="213" t="s">
        <v>1038</v>
      </c>
      <c r="P4" s="213" t="s">
        <v>1040</v>
      </c>
      <c r="Q4" s="213" t="s">
        <v>1043</v>
      </c>
      <c r="R4" s="213" t="s">
        <v>1045</v>
      </c>
      <c r="S4" s="213" t="s">
        <v>1046</v>
      </c>
      <c r="T4" s="213" t="s">
        <v>1047</v>
      </c>
    </row>
    <row r="5" spans="1:20" s="202" customFormat="1" ht="26.1" thickBot="1" x14ac:dyDescent="0.6">
      <c r="C5" s="221" t="s">
        <v>1110</v>
      </c>
      <c r="D5" s="222" t="s">
        <v>92</v>
      </c>
      <c r="E5" s="215" t="s">
        <v>1096</v>
      </c>
      <c r="F5" s="209" t="s">
        <v>35</v>
      </c>
      <c r="G5" s="209" t="s">
        <v>1097</v>
      </c>
      <c r="H5" s="209" t="s">
        <v>1098</v>
      </c>
      <c r="I5" s="209" t="s">
        <v>38</v>
      </c>
      <c r="J5" s="210" t="s">
        <v>1099</v>
      </c>
      <c r="K5" s="209" t="s">
        <v>43</v>
      </c>
      <c r="L5" s="209" t="s">
        <v>54</v>
      </c>
      <c r="M5" s="209" t="s">
        <v>45</v>
      </c>
      <c r="N5" s="209" t="s">
        <v>46</v>
      </c>
      <c r="O5" s="209" t="s">
        <v>37</v>
      </c>
      <c r="P5" s="209" t="s">
        <v>1103</v>
      </c>
      <c r="Q5" s="209" t="s">
        <v>1105</v>
      </c>
      <c r="R5" s="209" t="s">
        <v>1107</v>
      </c>
      <c r="S5" s="209" t="s">
        <v>42</v>
      </c>
      <c r="T5" s="209" t="s">
        <v>1108</v>
      </c>
    </row>
    <row r="6" spans="1:20" ht="15" customHeight="1" thickBot="1" x14ac:dyDescent="0.55000000000000004">
      <c r="C6" s="313" t="s">
        <v>1178</v>
      </c>
      <c r="D6" s="314"/>
      <c r="E6" s="269"/>
      <c r="F6" s="269"/>
      <c r="G6" s="269"/>
      <c r="H6" s="269"/>
      <c r="I6" s="269"/>
      <c r="J6" s="269"/>
      <c r="K6" s="269"/>
      <c r="L6" s="269"/>
      <c r="M6" s="269"/>
      <c r="N6" s="269"/>
      <c r="O6" s="269"/>
      <c r="P6" s="269"/>
      <c r="Q6" s="269"/>
      <c r="R6" s="269"/>
      <c r="S6" s="269"/>
      <c r="T6" s="269"/>
    </row>
    <row r="7" spans="1:20" x14ac:dyDescent="0.5">
      <c r="C7" s="205" t="s">
        <v>91</v>
      </c>
      <c r="D7" s="217">
        <f>SUM(E7:T7)</f>
        <v>33428.189999999595</v>
      </c>
      <c r="E7" s="203">
        <v>26.230000000214204</v>
      </c>
      <c r="F7" s="203">
        <v>176.15999999968335</v>
      </c>
      <c r="G7" s="203">
        <v>21766.660000000033</v>
      </c>
      <c r="H7" s="203">
        <v>94.449999999837019</v>
      </c>
      <c r="I7" s="203">
        <v>55.149999999441206</v>
      </c>
      <c r="J7" s="203">
        <v>516.31000000028871</v>
      </c>
      <c r="K7" s="203">
        <v>15.619999999995343</v>
      </c>
      <c r="L7" s="203">
        <v>5.840000000083819</v>
      </c>
      <c r="M7" s="203">
        <v>2.9999999998835847</v>
      </c>
      <c r="N7" s="203">
        <v>125.00000000011642</v>
      </c>
      <c r="O7" s="203">
        <v>5227.0199999996694</v>
      </c>
      <c r="P7" s="203">
        <v>4113.6400000001304</v>
      </c>
      <c r="Q7" s="203">
        <v>100.00000000023283</v>
      </c>
      <c r="R7" s="203">
        <v>103.12000000022817</v>
      </c>
      <c r="S7" s="203">
        <v>199.99999999976717</v>
      </c>
      <c r="T7" s="203">
        <v>899.98999999999069</v>
      </c>
    </row>
    <row r="8" spans="1:20" ht="13.2" thickBot="1" x14ac:dyDescent="0.55000000000000004">
      <c r="C8" s="205"/>
      <c r="D8" s="217"/>
      <c r="E8" s="203"/>
      <c r="F8" s="203"/>
      <c r="G8" s="203"/>
      <c r="H8" s="203"/>
      <c r="I8" s="203"/>
      <c r="J8" s="203"/>
      <c r="K8" s="203"/>
      <c r="L8" s="203"/>
      <c r="M8" s="203"/>
      <c r="N8" s="203"/>
      <c r="O8" s="203"/>
      <c r="P8" s="203"/>
      <c r="Q8" s="203"/>
      <c r="R8" s="203"/>
      <c r="S8" s="203"/>
      <c r="T8" s="203"/>
    </row>
    <row r="9" spans="1:20" ht="15" customHeight="1" thickBot="1" x14ac:dyDescent="0.55000000000000004">
      <c r="C9" s="313" t="s">
        <v>1179</v>
      </c>
      <c r="D9" s="314"/>
      <c r="E9" s="269"/>
      <c r="F9" s="269"/>
      <c r="G9" s="269"/>
      <c r="H9" s="269"/>
      <c r="I9" s="269"/>
      <c r="J9" s="269"/>
      <c r="K9" s="269"/>
      <c r="L9" s="269"/>
      <c r="M9" s="269"/>
      <c r="N9" s="269"/>
      <c r="O9" s="269"/>
      <c r="P9" s="269"/>
      <c r="Q9" s="269"/>
      <c r="R9" s="269"/>
      <c r="S9" s="269"/>
      <c r="T9" s="269"/>
    </row>
    <row r="10" spans="1:20" x14ac:dyDescent="0.5">
      <c r="A10" s="199"/>
      <c r="B10" s="199"/>
      <c r="C10" s="216" t="s">
        <v>91</v>
      </c>
      <c r="D10" s="217">
        <f>SUM(E10:T10)</f>
        <v>0</v>
      </c>
      <c r="E10" s="203">
        <v>0</v>
      </c>
      <c r="F10" s="203">
        <v>0</v>
      </c>
      <c r="G10" s="203">
        <v>0</v>
      </c>
      <c r="H10" s="203">
        <v>0</v>
      </c>
      <c r="I10" s="203">
        <v>0</v>
      </c>
      <c r="J10" s="203">
        <v>0</v>
      </c>
      <c r="K10" s="203">
        <v>0</v>
      </c>
      <c r="L10" s="203">
        <v>0</v>
      </c>
      <c r="M10" s="203">
        <v>0</v>
      </c>
      <c r="N10" s="203">
        <v>0</v>
      </c>
      <c r="O10" s="203">
        <v>0</v>
      </c>
      <c r="P10" s="203">
        <v>0</v>
      </c>
      <c r="Q10" s="203">
        <v>0</v>
      </c>
      <c r="R10" s="203">
        <v>0</v>
      </c>
      <c r="S10" s="203">
        <v>0</v>
      </c>
      <c r="T10" s="203">
        <v>0</v>
      </c>
    </row>
    <row r="11" spans="1:20" ht="13.2" thickBot="1" x14ac:dyDescent="0.55000000000000004">
      <c r="C11" s="205"/>
      <c r="D11" s="217"/>
      <c r="E11" s="203"/>
      <c r="F11" s="203"/>
      <c r="G11" s="203"/>
      <c r="H11" s="203"/>
      <c r="I11" s="203"/>
      <c r="J11" s="203"/>
      <c r="K11" s="203"/>
      <c r="L11" s="203"/>
      <c r="M11" s="203"/>
      <c r="N11" s="203"/>
      <c r="O11" s="203"/>
      <c r="P11" s="203"/>
      <c r="Q11" s="203"/>
      <c r="R11" s="203"/>
      <c r="S11" s="203"/>
      <c r="T11" s="203"/>
    </row>
    <row r="12" spans="1:20" ht="15" customHeight="1" thickBot="1" x14ac:dyDescent="0.55000000000000004">
      <c r="C12" s="313" t="s">
        <v>1122</v>
      </c>
      <c r="D12" s="314"/>
      <c r="E12" s="271"/>
      <c r="F12" s="271"/>
      <c r="G12" s="271"/>
      <c r="H12" s="271"/>
      <c r="I12" s="271"/>
      <c r="J12" s="271"/>
      <c r="K12" s="271"/>
      <c r="L12" s="271"/>
      <c r="M12" s="271"/>
      <c r="N12" s="271"/>
      <c r="O12" s="271"/>
      <c r="P12" s="271"/>
      <c r="Q12" s="271"/>
      <c r="R12" s="271"/>
      <c r="S12" s="271"/>
      <c r="T12" s="271"/>
    </row>
    <row r="13" spans="1:20" x14ac:dyDescent="0.5">
      <c r="A13" s="199"/>
      <c r="B13" s="199"/>
      <c r="C13" s="216"/>
      <c r="D13" s="217">
        <f>D7-D10</f>
        <v>33428.189999999595</v>
      </c>
      <c r="E13" s="203">
        <f>E7-E10</f>
        <v>26.230000000214204</v>
      </c>
      <c r="F13" s="203">
        <f>F7-F10</f>
        <v>176.15999999968335</v>
      </c>
      <c r="G13" s="203">
        <f t="shared" ref="G13:T13" si="0">G7-G10</f>
        <v>21766.660000000033</v>
      </c>
      <c r="H13" s="203">
        <f t="shared" si="0"/>
        <v>94.449999999837019</v>
      </c>
      <c r="I13" s="203">
        <f t="shared" si="0"/>
        <v>55.149999999441206</v>
      </c>
      <c r="J13" s="203">
        <f t="shared" si="0"/>
        <v>516.31000000028871</v>
      </c>
      <c r="K13" s="203">
        <f t="shared" si="0"/>
        <v>15.619999999995343</v>
      </c>
      <c r="L13" s="203">
        <f t="shared" si="0"/>
        <v>5.840000000083819</v>
      </c>
      <c r="M13" s="203">
        <f t="shared" si="0"/>
        <v>2.9999999998835847</v>
      </c>
      <c r="N13" s="203">
        <f t="shared" si="0"/>
        <v>125.00000000011642</v>
      </c>
      <c r="O13" s="203">
        <f t="shared" si="0"/>
        <v>5227.0199999996694</v>
      </c>
      <c r="P13" s="203">
        <f t="shared" si="0"/>
        <v>4113.6400000001304</v>
      </c>
      <c r="Q13" s="203">
        <f t="shared" si="0"/>
        <v>100.00000000023283</v>
      </c>
      <c r="R13" s="203">
        <f t="shared" si="0"/>
        <v>103.12000000022817</v>
      </c>
      <c r="S13" s="203">
        <f t="shared" si="0"/>
        <v>199.99999999976717</v>
      </c>
      <c r="T13" s="203">
        <f t="shared" si="0"/>
        <v>899.98999999999069</v>
      </c>
    </row>
    <row r="14" spans="1:20" ht="13.2" thickBot="1" x14ac:dyDescent="0.55000000000000004">
      <c r="C14" s="205"/>
      <c r="D14" s="218"/>
      <c r="E14" s="207"/>
      <c r="F14" s="207"/>
      <c r="G14" s="207"/>
      <c r="H14" s="207"/>
      <c r="I14" s="207"/>
      <c r="J14" s="207"/>
      <c r="K14" s="207"/>
      <c r="L14" s="207"/>
      <c r="M14" s="207"/>
      <c r="N14" s="207"/>
      <c r="O14" s="207"/>
      <c r="P14" s="207"/>
      <c r="Q14" s="207"/>
      <c r="R14" s="207"/>
      <c r="S14" s="207"/>
      <c r="T14" s="207"/>
    </row>
    <row r="15" spans="1:20" s="200" customFormat="1" ht="14.7" thickBot="1" x14ac:dyDescent="0.6">
      <c r="C15" s="219" t="s">
        <v>1176</v>
      </c>
      <c r="D15" s="220">
        <f t="shared" ref="D15:T15" si="1">SUM(D13:D13)</f>
        <v>33428.189999999595</v>
      </c>
      <c r="E15" s="204">
        <f t="shared" si="1"/>
        <v>26.230000000214204</v>
      </c>
      <c r="F15" s="204">
        <f t="shared" si="1"/>
        <v>176.15999999968335</v>
      </c>
      <c r="G15" s="204">
        <f t="shared" si="1"/>
        <v>21766.660000000033</v>
      </c>
      <c r="H15" s="204">
        <f t="shared" si="1"/>
        <v>94.449999999837019</v>
      </c>
      <c r="I15" s="204">
        <f t="shared" si="1"/>
        <v>55.149999999441206</v>
      </c>
      <c r="J15" s="204">
        <f t="shared" si="1"/>
        <v>516.31000000028871</v>
      </c>
      <c r="K15" s="204">
        <f t="shared" si="1"/>
        <v>15.619999999995343</v>
      </c>
      <c r="L15" s="204">
        <f t="shared" si="1"/>
        <v>5.840000000083819</v>
      </c>
      <c r="M15" s="204">
        <f t="shared" si="1"/>
        <v>2.9999999998835847</v>
      </c>
      <c r="N15" s="204">
        <f t="shared" si="1"/>
        <v>125.00000000011642</v>
      </c>
      <c r="O15" s="204">
        <f t="shared" si="1"/>
        <v>5227.0199999996694</v>
      </c>
      <c r="P15" s="204">
        <f t="shared" si="1"/>
        <v>4113.6400000001304</v>
      </c>
      <c r="Q15" s="204">
        <f t="shared" si="1"/>
        <v>100.00000000023283</v>
      </c>
      <c r="R15" s="204">
        <f t="shared" si="1"/>
        <v>103.12000000022817</v>
      </c>
      <c r="S15" s="204">
        <f t="shared" si="1"/>
        <v>199.99999999976717</v>
      </c>
      <c r="T15" s="204">
        <f t="shared" si="1"/>
        <v>899.98999999999069</v>
      </c>
    </row>
  </sheetData>
  <mergeCells count="5">
    <mergeCell ref="C3:D3"/>
    <mergeCell ref="E3:T3"/>
    <mergeCell ref="C6:D6"/>
    <mergeCell ref="C9:D9"/>
    <mergeCell ref="C12:D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2:AB117"/>
  <sheetViews>
    <sheetView zoomScale="90" zoomScaleNormal="90" workbookViewId="0">
      <selection activeCell="A6" sqref="A6"/>
    </sheetView>
  </sheetViews>
  <sheetFormatPr defaultColWidth="9.15625" defaultRowHeight="14.4" x14ac:dyDescent="0.55000000000000004"/>
  <cols>
    <col min="1" max="1" width="16.578125" style="84" bestFit="1" customWidth="1"/>
    <col min="2" max="2" width="18.68359375" style="84" bestFit="1" customWidth="1"/>
    <col min="3" max="3" width="40" customWidth="1"/>
    <col min="4" max="4" width="16.68359375" bestFit="1" customWidth="1"/>
    <col min="5" max="5" width="18.15625" bestFit="1" customWidth="1"/>
    <col min="6" max="6" width="17.83984375" bestFit="1" customWidth="1"/>
    <col min="7" max="7" width="12.15625" bestFit="1" customWidth="1"/>
    <col min="8" max="8" width="13.578125" bestFit="1" customWidth="1"/>
    <col min="9" max="9" width="12.68359375" bestFit="1" customWidth="1"/>
    <col min="10" max="10" width="12.15625" bestFit="1" customWidth="1"/>
    <col min="11" max="11" width="12.68359375" bestFit="1" customWidth="1"/>
    <col min="12" max="13" width="12.15625" bestFit="1" customWidth="1"/>
    <col min="14" max="14" width="13.41796875" bestFit="1" customWidth="1"/>
    <col min="15" max="15" width="12.68359375" bestFit="1" customWidth="1"/>
    <col min="16" max="16" width="13.26171875" bestFit="1" customWidth="1"/>
    <col min="17" max="17" width="11.15625" style="84" bestFit="1" customWidth="1"/>
    <col min="18" max="18" width="23.68359375" style="84" bestFit="1" customWidth="1"/>
    <col min="19" max="19" width="20" style="84" bestFit="1" customWidth="1"/>
    <col min="20" max="20" width="21.578125" style="84" bestFit="1" customWidth="1"/>
    <col min="21" max="21" width="26.68359375" style="84" bestFit="1" customWidth="1"/>
    <col min="22" max="22" width="33.26171875" style="84" bestFit="1" customWidth="1"/>
    <col min="23" max="23" width="36.26171875" style="84" bestFit="1" customWidth="1"/>
    <col min="24" max="24" width="38.41796875" style="84" bestFit="1" customWidth="1"/>
    <col min="25" max="25" width="21.578125" style="84" bestFit="1" customWidth="1"/>
    <col min="26" max="26" width="21" style="84" bestFit="1" customWidth="1"/>
    <col min="27" max="27" width="17.41796875" style="84" bestFit="1" customWidth="1"/>
    <col min="28" max="28" width="12.15625" style="84" bestFit="1" customWidth="1"/>
    <col min="29" max="29" width="9.15625" style="84"/>
    <col min="30" max="30" width="13" style="84" bestFit="1" customWidth="1"/>
    <col min="31" max="16384" width="9.15625" style="84"/>
  </cols>
  <sheetData>
    <row r="2" spans="1:21" x14ac:dyDescent="0.55000000000000004">
      <c r="A2" s="86" t="s">
        <v>111</v>
      </c>
    </row>
    <row r="3" spans="1:21" x14ac:dyDescent="0.55000000000000004">
      <c r="A3"/>
    </row>
    <row r="4" spans="1:21" x14ac:dyDescent="0.55000000000000004">
      <c r="A4" s="105"/>
      <c r="C4" s="19"/>
      <c r="D4" s="19"/>
      <c r="E4" s="19"/>
      <c r="F4" s="19"/>
      <c r="G4" s="19"/>
      <c r="H4" s="19"/>
      <c r="I4" s="19"/>
      <c r="J4" s="19"/>
      <c r="K4" s="19"/>
      <c r="L4" s="19"/>
      <c r="M4" s="19"/>
      <c r="N4" s="19"/>
      <c r="O4" s="19"/>
      <c r="P4" s="19"/>
    </row>
    <row r="5" spans="1:21" ht="18.3" x14ac:dyDescent="0.7">
      <c r="A5" s="105"/>
      <c r="B5" s="99" t="s">
        <v>105</v>
      </c>
      <c r="C5" s="85"/>
    </row>
    <row r="6" spans="1:21" x14ac:dyDescent="0.55000000000000004">
      <c r="A6" s="105"/>
      <c r="C6" s="108" t="s">
        <v>975</v>
      </c>
      <c r="D6" s="109" t="str">
        <f>'YTD Summary'!D3</f>
        <v>Jan 2021</v>
      </c>
      <c r="E6" s="109" t="str">
        <f>'YTD Summary'!E3</f>
        <v>Feb 2021</v>
      </c>
      <c r="F6" s="109" t="str">
        <f>'YTD Summary'!F3</f>
        <v>Mar 2021</v>
      </c>
      <c r="G6" s="109" t="e">
        <f>'YTD Summary'!#REF!</f>
        <v>#REF!</v>
      </c>
      <c r="H6" s="109" t="e">
        <f>'YTD Summary'!#REF!</f>
        <v>#REF!</v>
      </c>
      <c r="I6" s="109" t="e">
        <f>'YTD Summary'!#REF!</f>
        <v>#REF!</v>
      </c>
      <c r="J6" s="109" t="e">
        <f>'YTD Summary'!#REF!</f>
        <v>#REF!</v>
      </c>
      <c r="K6" s="109" t="e">
        <f>'YTD Summary'!#REF!</f>
        <v>#REF!</v>
      </c>
      <c r="L6" s="109" t="e">
        <f>'YTD Summary'!#REF!</f>
        <v>#REF!</v>
      </c>
      <c r="M6" s="109" t="e">
        <f>'YTD Summary'!#REF!</f>
        <v>#REF!</v>
      </c>
      <c r="N6" s="109" t="e">
        <f>'YTD Summary'!#REF!</f>
        <v>#REF!</v>
      </c>
      <c r="O6" s="109" t="e">
        <f>'YTD Summary'!#REF!</f>
        <v>#REF!</v>
      </c>
      <c r="P6" s="109" t="s">
        <v>115</v>
      </c>
      <c r="R6" s="109" t="s">
        <v>1061</v>
      </c>
      <c r="S6" s="109" t="s">
        <v>1062</v>
      </c>
      <c r="T6" s="109" t="s">
        <v>1063</v>
      </c>
      <c r="U6" s="109" t="s">
        <v>22</v>
      </c>
    </row>
    <row r="7" spans="1:21" x14ac:dyDescent="0.55000000000000004">
      <c r="A7" s="105"/>
      <c r="C7" s="82" t="s">
        <v>113</v>
      </c>
      <c r="D7" s="110">
        <f>'YTD Summary'!D5</f>
        <v>23764455.780000001</v>
      </c>
      <c r="E7" s="110">
        <f>'YTD Summary'!E5</f>
        <v>21640283.989999995</v>
      </c>
      <c r="F7" s="110">
        <f>'YTD Summary'!F5</f>
        <v>23963756.269999996</v>
      </c>
      <c r="G7" s="110" t="e">
        <f>'YTD Summary'!#REF!</f>
        <v>#REF!</v>
      </c>
      <c r="H7" s="110" t="e">
        <f>'YTD Summary'!#REF!</f>
        <v>#REF!</v>
      </c>
      <c r="I7" s="110" t="e">
        <f>'YTD Summary'!#REF!</f>
        <v>#REF!</v>
      </c>
      <c r="J7" s="110" t="e">
        <f>'YTD Summary'!#REF!</f>
        <v>#REF!</v>
      </c>
      <c r="K7" s="110" t="e">
        <f>'YTD Summary'!#REF!</f>
        <v>#REF!</v>
      </c>
      <c r="L7" s="110" t="e">
        <f>'YTD Summary'!#REF!</f>
        <v>#REF!</v>
      </c>
      <c r="M7" s="110" t="e">
        <f>'YTD Summary'!#REF!</f>
        <v>#REF!</v>
      </c>
      <c r="N7" s="110" t="e">
        <f>'YTD Summary'!#REF!</f>
        <v>#REF!</v>
      </c>
      <c r="O7" s="110" t="e">
        <f>'YTD Summary'!#REF!</f>
        <v>#REF!</v>
      </c>
      <c r="P7" s="110" t="e">
        <f>SUM(D7:O7)</f>
        <v>#REF!</v>
      </c>
      <c r="R7" s="110" t="s">
        <v>987</v>
      </c>
      <c r="S7" s="68">
        <v>731261.04</v>
      </c>
      <c r="T7" s="110">
        <v>606575.57999999996</v>
      </c>
      <c r="U7" s="110">
        <f>S7-T7</f>
        <v>124685.46000000008</v>
      </c>
    </row>
    <row r="8" spans="1:21" x14ac:dyDescent="0.55000000000000004">
      <c r="A8" s="105"/>
      <c r="C8" s="82" t="s">
        <v>112</v>
      </c>
      <c r="D8" s="110">
        <f ca="1">'YTD Summary'!D15</f>
        <v>23764455.779999997</v>
      </c>
      <c r="E8" s="110">
        <f ca="1">'YTD Summary'!E15</f>
        <v>21640283.989999995</v>
      </c>
      <c r="F8" s="110">
        <f ca="1">'YTD Summary'!F15</f>
        <v>23963756.27</v>
      </c>
      <c r="G8" s="110" t="e">
        <f>'YTD Summary'!#REF!</f>
        <v>#REF!</v>
      </c>
      <c r="H8" s="110" t="e">
        <f>'YTD Summary'!#REF!</f>
        <v>#REF!</v>
      </c>
      <c r="I8" s="110" t="e">
        <f>'YTD Summary'!#REF!</f>
        <v>#REF!</v>
      </c>
      <c r="J8" s="110" t="e">
        <f>'YTD Summary'!#REF!</f>
        <v>#REF!</v>
      </c>
      <c r="K8" s="110" t="e">
        <f>'YTD Summary'!#REF!</f>
        <v>#REF!</v>
      </c>
      <c r="L8" s="110" t="e">
        <f>'YTD Summary'!#REF!</f>
        <v>#REF!</v>
      </c>
      <c r="M8" s="110" t="e">
        <f>'YTD Summary'!#REF!</f>
        <v>#REF!</v>
      </c>
      <c r="N8" s="110" t="e">
        <f>'YTD Summary'!#REF!</f>
        <v>#REF!</v>
      </c>
      <c r="O8" s="110" t="e">
        <f>'YTD Summary'!#REF!</f>
        <v>#REF!</v>
      </c>
      <c r="P8" s="110" t="e">
        <f ca="1">SUM(D8:O8)</f>
        <v>#REF!</v>
      </c>
      <c r="R8" s="110"/>
      <c r="S8" s="110"/>
      <c r="T8" s="110"/>
      <c r="U8" s="168">
        <f>SUM(U7)</f>
        <v>124685.46000000008</v>
      </c>
    </row>
    <row r="9" spans="1:21" x14ac:dyDescent="0.55000000000000004">
      <c r="A9" s="105"/>
      <c r="C9" s="83" t="s">
        <v>114</v>
      </c>
      <c r="D9" s="116">
        <f t="shared" ref="D9:P9" ca="1" si="0">D7-D8</f>
        <v>0</v>
      </c>
      <c r="E9" s="116">
        <f t="shared" ca="1" si="0"/>
        <v>0</v>
      </c>
      <c r="F9" s="116">
        <f t="shared" ca="1" si="0"/>
        <v>0</v>
      </c>
      <c r="G9" s="116" t="e">
        <f t="shared" si="0"/>
        <v>#REF!</v>
      </c>
      <c r="H9" s="116" t="e">
        <f t="shared" si="0"/>
        <v>#REF!</v>
      </c>
      <c r="I9" s="116" t="e">
        <f t="shared" si="0"/>
        <v>#REF!</v>
      </c>
      <c r="J9" s="116" t="e">
        <f t="shared" si="0"/>
        <v>#REF!</v>
      </c>
      <c r="K9" s="116" t="e">
        <f t="shared" si="0"/>
        <v>#REF!</v>
      </c>
      <c r="L9" s="116" t="e">
        <f t="shared" si="0"/>
        <v>#REF!</v>
      </c>
      <c r="M9" s="116" t="e">
        <f t="shared" si="0"/>
        <v>#REF!</v>
      </c>
      <c r="N9" s="117" t="e">
        <f t="shared" si="0"/>
        <v>#REF!</v>
      </c>
      <c r="O9" s="116" t="e">
        <f t="shared" si="0"/>
        <v>#REF!</v>
      </c>
      <c r="P9" s="118" t="e">
        <f t="shared" ca="1" si="0"/>
        <v>#REF!</v>
      </c>
    </row>
    <row r="10" spans="1:21" x14ac:dyDescent="0.55000000000000004">
      <c r="A10" s="105"/>
      <c r="C10" s="19"/>
      <c r="D10" s="19" t="s">
        <v>1014</v>
      </c>
      <c r="E10" s="19" t="s">
        <v>1015</v>
      </c>
      <c r="G10" s="19" t="s">
        <v>1016</v>
      </c>
      <c r="J10" s="19"/>
      <c r="L10" s="19"/>
      <c r="M10" s="19" t="s">
        <v>1017</v>
      </c>
      <c r="N10" s="19" t="s">
        <v>1056</v>
      </c>
      <c r="P10" s="19"/>
    </row>
    <row r="11" spans="1:21" x14ac:dyDescent="0.55000000000000004">
      <c r="A11" s="105"/>
      <c r="C11" s="19"/>
      <c r="D11" s="19"/>
      <c r="E11" s="19"/>
      <c r="F11" s="19"/>
      <c r="G11" s="19"/>
      <c r="H11" s="19"/>
      <c r="J11" s="19"/>
      <c r="L11" s="19"/>
      <c r="N11" s="19"/>
      <c r="O11" s="19"/>
      <c r="P11" s="19"/>
    </row>
    <row r="12" spans="1:21" x14ac:dyDescent="0.55000000000000004">
      <c r="A12" s="105"/>
      <c r="C12" s="105" t="s">
        <v>1013</v>
      </c>
      <c r="D12" s="113"/>
      <c r="E12" s="114"/>
      <c r="F12" s="19"/>
      <c r="G12" s="19"/>
      <c r="H12" s="84"/>
      <c r="I12" s="19"/>
      <c r="J12" s="19"/>
      <c r="K12" s="19"/>
      <c r="L12" s="19"/>
      <c r="M12" s="19"/>
      <c r="N12" s="19"/>
      <c r="O12" s="19"/>
      <c r="P12" s="19"/>
    </row>
    <row r="13" spans="1:21" x14ac:dyDescent="0.55000000000000004">
      <c r="A13" s="105"/>
      <c r="B13" s="148" t="s">
        <v>1018</v>
      </c>
      <c r="C13" s="132" t="s">
        <v>1077</v>
      </c>
      <c r="E13" s="19"/>
      <c r="F13" s="19"/>
      <c r="G13" s="19"/>
      <c r="H13" s="19"/>
      <c r="I13" s="19"/>
      <c r="J13" s="19"/>
      <c r="K13" s="19"/>
      <c r="L13" s="19"/>
      <c r="M13" s="19"/>
      <c r="N13" s="129"/>
      <c r="O13" s="19"/>
      <c r="P13" s="19"/>
    </row>
    <row r="14" spans="1:21" x14ac:dyDescent="0.55000000000000004">
      <c r="A14" s="105"/>
      <c r="B14" s="66" t="s">
        <v>1019</v>
      </c>
      <c r="C14" s="136" t="s">
        <v>996</v>
      </c>
      <c r="E14" s="19"/>
      <c r="F14" s="19"/>
      <c r="G14" s="19"/>
      <c r="H14" s="19"/>
      <c r="I14" s="19"/>
      <c r="J14" s="19"/>
      <c r="K14" s="19"/>
      <c r="L14" s="19"/>
      <c r="M14" s="19"/>
      <c r="N14" s="19"/>
      <c r="O14" s="19"/>
      <c r="P14" s="19"/>
    </row>
    <row r="15" spans="1:21" x14ac:dyDescent="0.55000000000000004">
      <c r="A15" s="105"/>
      <c r="B15" s="66" t="s">
        <v>1020</v>
      </c>
      <c r="C15" s="136" t="s">
        <v>1022</v>
      </c>
      <c r="E15" s="19"/>
      <c r="F15" s="19"/>
      <c r="G15" s="19"/>
      <c r="H15" s="19"/>
      <c r="I15" s="19"/>
      <c r="J15" s="19"/>
      <c r="K15" s="19"/>
      <c r="L15" s="19"/>
      <c r="M15" s="19"/>
      <c r="N15" s="19"/>
      <c r="O15" s="19"/>
      <c r="P15" s="19"/>
    </row>
    <row r="16" spans="1:21" x14ac:dyDescent="0.55000000000000004">
      <c r="A16" s="105"/>
      <c r="B16" s="149" t="s">
        <v>1021</v>
      </c>
      <c r="C16" s="136" t="s">
        <v>1057</v>
      </c>
      <c r="E16" s="19"/>
      <c r="F16" s="19"/>
      <c r="G16" s="19"/>
      <c r="H16" s="19"/>
      <c r="I16" s="19"/>
      <c r="J16" s="19"/>
      <c r="K16" s="19"/>
      <c r="L16" s="19"/>
      <c r="M16" s="19"/>
      <c r="N16" s="19"/>
      <c r="O16" s="19"/>
      <c r="P16" s="19"/>
    </row>
    <row r="17" spans="1:28" x14ac:dyDescent="0.55000000000000004">
      <c r="A17" s="105"/>
      <c r="B17" s="148" t="s">
        <v>1059</v>
      </c>
      <c r="C17" s="132" t="s">
        <v>1060</v>
      </c>
      <c r="D17" s="19"/>
      <c r="E17" s="19"/>
      <c r="F17" s="19" t="s">
        <v>997</v>
      </c>
      <c r="G17" s="19"/>
      <c r="H17" s="19"/>
      <c r="I17" s="19"/>
      <c r="J17" s="19"/>
      <c r="K17" s="19"/>
      <c r="L17" s="19"/>
      <c r="M17" s="19"/>
      <c r="N17" s="19"/>
      <c r="O17" s="19"/>
      <c r="P17" s="19"/>
    </row>
    <row r="18" spans="1:28" x14ac:dyDescent="0.55000000000000004">
      <c r="A18" s="105"/>
      <c r="C18" s="19"/>
      <c r="D18" s="129"/>
      <c r="E18" s="19"/>
      <c r="F18" s="19"/>
      <c r="G18" s="19"/>
      <c r="H18" s="19"/>
      <c r="I18" s="19"/>
      <c r="J18" s="19"/>
      <c r="K18" s="19"/>
      <c r="L18" s="19"/>
      <c r="M18" s="19"/>
      <c r="N18" s="19"/>
      <c r="O18" s="19"/>
      <c r="P18" s="19"/>
    </row>
    <row r="19" spans="1:28" x14ac:dyDescent="0.55000000000000004">
      <c r="A19" s="105"/>
      <c r="C19" s="19"/>
      <c r="D19" s="19"/>
      <c r="E19" s="19"/>
      <c r="F19" s="19"/>
      <c r="G19" s="19"/>
      <c r="H19" s="19"/>
      <c r="I19" s="19"/>
      <c r="J19" s="19"/>
      <c r="K19" s="19"/>
      <c r="L19" s="19"/>
      <c r="M19" s="19"/>
      <c r="N19" s="19"/>
      <c r="O19" s="19"/>
      <c r="P19" s="19"/>
    </row>
    <row r="20" spans="1:28" s="85" customFormat="1" ht="18.3" x14ac:dyDescent="0.7">
      <c r="B20" s="99" t="s">
        <v>106</v>
      </c>
      <c r="D20"/>
      <c r="E20"/>
      <c r="F20"/>
      <c r="G20"/>
      <c r="H20"/>
      <c r="I20"/>
      <c r="J20"/>
      <c r="K20"/>
      <c r="L20"/>
      <c r="M20"/>
      <c r="N20"/>
      <c r="O20"/>
      <c r="P20"/>
    </row>
    <row r="21" spans="1:28" x14ac:dyDescent="0.55000000000000004">
      <c r="C21" s="108" t="s">
        <v>975</v>
      </c>
      <c r="D21" s="109" t="str">
        <f>+Summary!G8</f>
        <v>Jan 2021</v>
      </c>
      <c r="E21" s="109" t="str">
        <f>+Summary!H8</f>
        <v>Feb 2021</v>
      </c>
      <c r="F21" s="109" t="str">
        <f>+Summary!I8</f>
        <v>Mar 2021</v>
      </c>
      <c r="G21" s="109" t="e">
        <f>+Summary!#REF!</f>
        <v>#REF!</v>
      </c>
      <c r="H21" s="109" t="e">
        <f>+Summary!#REF!</f>
        <v>#REF!</v>
      </c>
      <c r="I21" s="109" t="e">
        <f>+Summary!#REF!</f>
        <v>#REF!</v>
      </c>
      <c r="J21" s="109" t="e">
        <f>+Summary!#REF!</f>
        <v>#REF!</v>
      </c>
      <c r="K21" s="109" t="e">
        <f>+Summary!#REF!</f>
        <v>#REF!</v>
      </c>
      <c r="L21" s="109" t="e">
        <f>+Summary!#REF!</f>
        <v>#REF!</v>
      </c>
      <c r="M21" s="109" t="e">
        <f>+Summary!#REF!</f>
        <v>#REF!</v>
      </c>
      <c r="N21" s="109" t="e">
        <f>+Summary!#REF!</f>
        <v>#REF!</v>
      </c>
      <c r="O21" s="109" t="e">
        <f>+Summary!#REF!</f>
        <v>#REF!</v>
      </c>
      <c r="P21" s="109" t="s">
        <v>115</v>
      </c>
    </row>
    <row r="22" spans="1:28" x14ac:dyDescent="0.55000000000000004">
      <c r="C22" s="82" t="s">
        <v>113</v>
      </c>
      <c r="D22" s="110">
        <f>'YTD Summary'!D6</f>
        <v>18818462.169999991</v>
      </c>
      <c r="E22" s="110">
        <f>'YTD Summary'!E6</f>
        <v>18454496.969999995</v>
      </c>
      <c r="F22" s="110">
        <f>'YTD Summary'!F6</f>
        <v>19636368.350000001</v>
      </c>
      <c r="G22" s="110" t="e">
        <f>'YTD Summary'!#REF!</f>
        <v>#REF!</v>
      </c>
      <c r="H22" s="110" t="e">
        <f>'YTD Summary'!#REF!</f>
        <v>#REF!</v>
      </c>
      <c r="I22" s="110" t="e">
        <f>'YTD Summary'!#REF!</f>
        <v>#REF!</v>
      </c>
      <c r="J22" s="110" t="e">
        <f>'YTD Summary'!#REF!</f>
        <v>#REF!</v>
      </c>
      <c r="K22" s="110" t="e">
        <f>'YTD Summary'!#REF!</f>
        <v>#REF!</v>
      </c>
      <c r="L22" s="110" t="e">
        <f>'YTD Summary'!#REF!</f>
        <v>#REF!</v>
      </c>
      <c r="M22" s="110" t="e">
        <f>'YTD Summary'!#REF!</f>
        <v>#REF!</v>
      </c>
      <c r="N22" s="110" t="e">
        <f>'YTD Summary'!#REF!</f>
        <v>#REF!</v>
      </c>
      <c r="O22" s="110" t="e">
        <f>'YTD Summary'!#REF!</f>
        <v>#REF!</v>
      </c>
      <c r="P22" s="110" t="e">
        <f>SUM(D22:O22)</f>
        <v>#REF!</v>
      </c>
    </row>
    <row r="23" spans="1:28" x14ac:dyDescent="0.55000000000000004">
      <c r="C23" s="82" t="s">
        <v>112</v>
      </c>
      <c r="D23" s="110">
        <f ca="1">'YTD Summary'!D16</f>
        <v>18818462.170000002</v>
      </c>
      <c r="E23" s="110">
        <f ca="1">'YTD Summary'!E16</f>
        <v>18454496.969999999</v>
      </c>
      <c r="F23" s="110">
        <f ca="1">'YTD Summary'!F16</f>
        <v>19636368.349999994</v>
      </c>
      <c r="G23" s="110" t="e">
        <f>'YTD Summary'!#REF!</f>
        <v>#REF!</v>
      </c>
      <c r="H23" s="110" t="e">
        <f>'YTD Summary'!#REF!</f>
        <v>#REF!</v>
      </c>
      <c r="I23" s="110" t="e">
        <f>'YTD Summary'!#REF!</f>
        <v>#REF!</v>
      </c>
      <c r="J23" s="110" t="e">
        <f>'YTD Summary'!#REF!</f>
        <v>#REF!</v>
      </c>
      <c r="K23" s="110" t="e">
        <f>'YTD Summary'!#REF!</f>
        <v>#REF!</v>
      </c>
      <c r="L23" s="110" t="e">
        <f>'YTD Summary'!#REF!</f>
        <v>#REF!</v>
      </c>
      <c r="M23" s="110" t="e">
        <f>'YTD Summary'!#REF!</f>
        <v>#REF!</v>
      </c>
      <c r="N23" s="110" t="e">
        <f>'YTD Summary'!#REF!</f>
        <v>#REF!</v>
      </c>
      <c r="O23" s="110" t="e">
        <f>'YTD Summary'!#REF!</f>
        <v>#REF!</v>
      </c>
      <c r="P23" s="110" t="e">
        <f ca="1">SUM(D23:O23)</f>
        <v>#REF!</v>
      </c>
    </row>
    <row r="24" spans="1:28" x14ac:dyDescent="0.55000000000000004">
      <c r="C24" s="83" t="s">
        <v>114</v>
      </c>
      <c r="D24" s="111">
        <f t="shared" ref="D24:P24" ca="1" si="1">D22-D23</f>
        <v>0</v>
      </c>
      <c r="E24" s="111">
        <f t="shared" ca="1" si="1"/>
        <v>0</v>
      </c>
      <c r="F24" s="111">
        <f t="shared" ca="1" si="1"/>
        <v>0</v>
      </c>
      <c r="G24" s="111" t="e">
        <f t="shared" si="1"/>
        <v>#REF!</v>
      </c>
      <c r="H24" s="111" t="e">
        <f t="shared" si="1"/>
        <v>#REF!</v>
      </c>
      <c r="I24" s="111" t="e">
        <f t="shared" si="1"/>
        <v>#REF!</v>
      </c>
      <c r="J24" s="111" t="e">
        <f t="shared" si="1"/>
        <v>#REF!</v>
      </c>
      <c r="K24" s="111" t="e">
        <f t="shared" si="1"/>
        <v>#REF!</v>
      </c>
      <c r="L24" s="111" t="e">
        <f t="shared" si="1"/>
        <v>#REF!</v>
      </c>
      <c r="M24" s="111" t="e">
        <f t="shared" si="1"/>
        <v>#REF!</v>
      </c>
      <c r="N24" s="111" t="e">
        <f t="shared" si="1"/>
        <v>#REF!</v>
      </c>
      <c r="O24" s="111" t="e">
        <f t="shared" si="1"/>
        <v>#REF!</v>
      </c>
      <c r="P24" s="112" t="e">
        <f t="shared" ca="1" si="1"/>
        <v>#REF!</v>
      </c>
    </row>
    <row r="25" spans="1:28" x14ac:dyDescent="0.55000000000000004">
      <c r="E25" s="84" t="s">
        <v>980</v>
      </c>
      <c r="F25" s="84" t="s">
        <v>981</v>
      </c>
      <c r="H25" s="19" t="s">
        <v>982</v>
      </c>
      <c r="I25" s="84" t="s">
        <v>1064</v>
      </c>
      <c r="J25" s="84" t="s">
        <v>1065</v>
      </c>
      <c r="L25" s="84"/>
      <c r="M25" s="84" t="s">
        <v>1066</v>
      </c>
      <c r="N25" s="84" t="s">
        <v>1072</v>
      </c>
      <c r="O25" s="84" t="s">
        <v>1073</v>
      </c>
    </row>
    <row r="26" spans="1:28" x14ac:dyDescent="0.55000000000000004">
      <c r="D26" s="84"/>
      <c r="E26" s="84"/>
      <c r="F26" s="98"/>
      <c r="I26" s="84"/>
      <c r="J26" s="84"/>
      <c r="K26" s="84"/>
      <c r="L26" s="84"/>
      <c r="M26" s="84"/>
      <c r="N26" s="84"/>
    </row>
    <row r="27" spans="1:28" x14ac:dyDescent="0.55000000000000004">
      <c r="B27" s="84" t="s">
        <v>1069</v>
      </c>
      <c r="C27" s="6" t="s">
        <v>1067</v>
      </c>
      <c r="D27" s="84"/>
      <c r="E27" s="84"/>
      <c r="F27" s="98"/>
      <c r="I27" s="84"/>
      <c r="J27" s="84"/>
      <c r="K27" s="84"/>
      <c r="L27" s="84"/>
      <c r="M27" s="84"/>
      <c r="N27" s="84"/>
    </row>
    <row r="28" spans="1:28" hidden="1" x14ac:dyDescent="0.55000000000000004">
      <c r="C28" s="157" t="s">
        <v>1052</v>
      </c>
      <c r="D28" s="158"/>
      <c r="E28" s="158"/>
      <c r="F28" s="159"/>
      <c r="I28" s="84"/>
      <c r="J28" s="84"/>
      <c r="K28" s="84"/>
      <c r="L28" s="84"/>
      <c r="M28" s="84"/>
      <c r="N28" s="84"/>
    </row>
    <row r="29" spans="1:28" customFormat="1" hidden="1" x14ac:dyDescent="0.55000000000000004">
      <c r="A29" s="84"/>
      <c r="B29" s="84"/>
      <c r="C29" s="108" t="s">
        <v>975</v>
      </c>
      <c r="D29" s="151" t="s">
        <v>1025</v>
      </c>
      <c r="E29" s="151" t="s">
        <v>1026</v>
      </c>
      <c r="F29" s="151" t="s">
        <v>1027</v>
      </c>
      <c r="G29" s="151" t="s">
        <v>1028</v>
      </c>
      <c r="H29" s="151" t="s">
        <v>1029</v>
      </c>
      <c r="I29" s="151" t="s">
        <v>1030</v>
      </c>
      <c r="J29" s="151" t="s">
        <v>1031</v>
      </c>
      <c r="K29" s="151" t="s">
        <v>1032</v>
      </c>
      <c r="L29" s="151" t="s">
        <v>1033</v>
      </c>
      <c r="M29" s="152"/>
      <c r="N29" s="151" t="s">
        <v>1034</v>
      </c>
      <c r="O29" s="151" t="s">
        <v>1035</v>
      </c>
      <c r="P29" s="151" t="s">
        <v>1036</v>
      </c>
      <c r="Q29" s="151" t="s">
        <v>1037</v>
      </c>
      <c r="R29" s="151" t="s">
        <v>1038</v>
      </c>
      <c r="S29" s="151" t="s">
        <v>1039</v>
      </c>
      <c r="T29" s="151" t="s">
        <v>1040</v>
      </c>
      <c r="U29" s="151" t="s">
        <v>1041</v>
      </c>
      <c r="V29" s="151" t="s">
        <v>1042</v>
      </c>
      <c r="W29" s="151" t="s">
        <v>1043</v>
      </c>
      <c r="X29" s="151" t="s">
        <v>1044</v>
      </c>
      <c r="Y29" s="151" t="s">
        <v>1045</v>
      </c>
      <c r="Z29" s="151" t="s">
        <v>1046</v>
      </c>
      <c r="AA29" s="151" t="s">
        <v>1047</v>
      </c>
      <c r="AB29" s="151" t="s">
        <v>92</v>
      </c>
    </row>
    <row r="30" spans="1:28" hidden="1" x14ac:dyDescent="0.55000000000000004">
      <c r="B30" s="324"/>
      <c r="C30" s="153" t="s">
        <v>15</v>
      </c>
      <c r="D30" s="153">
        <v>790325.16000000027</v>
      </c>
      <c r="E30" s="154">
        <v>1047568.3899999998</v>
      </c>
      <c r="F30" s="82">
        <v>974425.87</v>
      </c>
      <c r="G30" s="82">
        <v>886361.95999999985</v>
      </c>
      <c r="H30" s="153">
        <v>1049581.1199999999</v>
      </c>
      <c r="I30" s="153">
        <v>873354.39999999956</v>
      </c>
      <c r="J30" s="153">
        <v>666594.09000000008</v>
      </c>
      <c r="K30" s="153">
        <v>1258821.3199999998</v>
      </c>
      <c r="L30" s="153">
        <v>660335.7699999999</v>
      </c>
      <c r="M30" s="153"/>
      <c r="N30" s="82">
        <v>750132.84000000008</v>
      </c>
      <c r="O30" s="82">
        <v>665209.23999999987</v>
      </c>
      <c r="P30" s="153">
        <v>1167448.92</v>
      </c>
      <c r="Q30" s="153">
        <v>622709.4</v>
      </c>
      <c r="R30" s="153">
        <v>958853.92999999993</v>
      </c>
      <c r="S30" s="153">
        <v>592953.51</v>
      </c>
      <c r="T30" s="153">
        <v>1033633.5000000001</v>
      </c>
      <c r="U30" s="153">
        <v>655134.9</v>
      </c>
      <c r="V30" s="153">
        <v>1010724.1999999998</v>
      </c>
      <c r="W30" s="153">
        <v>1075227.52</v>
      </c>
      <c r="X30" s="153">
        <v>850292.07999999984</v>
      </c>
      <c r="Y30" s="153">
        <v>961545.72</v>
      </c>
      <c r="Z30" s="153">
        <v>1232679.7599999995</v>
      </c>
      <c r="AA30" s="153">
        <v>2118794.6100000003</v>
      </c>
      <c r="AB30" s="153">
        <f>SUM(D30:AA30)</f>
        <v>21902708.209999993</v>
      </c>
    </row>
    <row r="31" spans="1:28" hidden="1" x14ac:dyDescent="0.55000000000000004">
      <c r="B31" s="324"/>
      <c r="C31" s="155" t="s">
        <v>1050</v>
      </c>
      <c r="D31" s="153">
        <v>0</v>
      </c>
      <c r="E31" s="154">
        <v>150382.5</v>
      </c>
      <c r="F31" s="82">
        <v>128099.7</v>
      </c>
      <c r="G31" s="82">
        <v>20000</v>
      </c>
      <c r="H31" s="153">
        <v>0</v>
      </c>
      <c r="I31" s="153">
        <v>23225.09</v>
      </c>
      <c r="J31" s="153">
        <v>78869.02</v>
      </c>
      <c r="K31" s="153">
        <v>62246.73</v>
      </c>
      <c r="L31" s="153">
        <v>0</v>
      </c>
      <c r="M31" s="153"/>
      <c r="N31" s="82">
        <v>0</v>
      </c>
      <c r="O31" s="82">
        <v>0</v>
      </c>
      <c r="P31" s="153">
        <v>0</v>
      </c>
      <c r="Q31" s="153">
        <v>0</v>
      </c>
      <c r="R31" s="153">
        <v>0</v>
      </c>
      <c r="S31" s="153">
        <v>31980</v>
      </c>
      <c r="T31" s="153">
        <v>13076.56</v>
      </c>
      <c r="U31" s="153">
        <v>0</v>
      </c>
      <c r="V31" s="153">
        <v>128725</v>
      </c>
      <c r="W31" s="153">
        <v>0</v>
      </c>
      <c r="X31" s="153">
        <v>13000</v>
      </c>
      <c r="Y31" s="153">
        <v>44740.62</v>
      </c>
      <c r="Z31" s="153">
        <v>119904.2</v>
      </c>
      <c r="AA31" s="153">
        <v>-46400.23</v>
      </c>
      <c r="AB31" s="153">
        <f>SUM(D31:AA31)</f>
        <v>767849.19000000006</v>
      </c>
    </row>
    <row r="32" spans="1:28" hidden="1" x14ac:dyDescent="0.55000000000000004">
      <c r="B32" s="324"/>
      <c r="C32" s="153" t="s">
        <v>1051</v>
      </c>
      <c r="D32" s="153">
        <v>803.94</v>
      </c>
      <c r="E32" s="154">
        <v>1158.1099999999999</v>
      </c>
      <c r="F32" s="82">
        <v>3002.83</v>
      </c>
      <c r="G32" s="82">
        <v>3390.23</v>
      </c>
      <c r="H32" s="153">
        <v>0</v>
      </c>
      <c r="I32" s="153">
        <v>0</v>
      </c>
      <c r="J32" s="153">
        <v>1234.0999999999999</v>
      </c>
      <c r="K32" s="153">
        <v>3061.87</v>
      </c>
      <c r="L32" s="153">
        <v>894.99</v>
      </c>
      <c r="M32" s="153"/>
      <c r="N32" s="82">
        <v>2184.0500000000002</v>
      </c>
      <c r="O32" s="82">
        <v>1270.76</v>
      </c>
      <c r="P32" s="153">
        <v>781.34</v>
      </c>
      <c r="Q32" s="153">
        <v>0</v>
      </c>
      <c r="R32" s="153">
        <v>1089.3900000000001</v>
      </c>
      <c r="S32" s="153">
        <v>1049.42</v>
      </c>
      <c r="T32" s="153">
        <v>1842.56</v>
      </c>
      <c r="U32" s="153">
        <v>1060.46</v>
      </c>
      <c r="V32" s="153">
        <v>781.34</v>
      </c>
      <c r="W32" s="153">
        <v>1656.97</v>
      </c>
      <c r="X32" s="153">
        <v>1735.7</v>
      </c>
      <c r="Y32" s="153">
        <v>3990.48</v>
      </c>
      <c r="Z32" s="153">
        <v>6943.79</v>
      </c>
      <c r="AA32" s="153">
        <v>2739.09</v>
      </c>
      <c r="AB32" s="153">
        <f>SUM(D32:AA32)</f>
        <v>40671.42</v>
      </c>
    </row>
    <row r="33" spans="2:28" hidden="1" x14ac:dyDescent="0.55000000000000004">
      <c r="C33" s="156" t="s">
        <v>1048</v>
      </c>
      <c r="D33" s="153">
        <f>D30-D31+D32</f>
        <v>791129.10000000021</v>
      </c>
      <c r="E33" s="153">
        <f t="shared" ref="E33:AA33" si="2">E30-E31+E32</f>
        <v>898343.99999999977</v>
      </c>
      <c r="F33" s="153">
        <f t="shared" si="2"/>
        <v>849329</v>
      </c>
      <c r="G33" s="153">
        <f t="shared" si="2"/>
        <v>869752.18999999983</v>
      </c>
      <c r="H33" s="153">
        <f t="shared" si="2"/>
        <v>1049581.1199999999</v>
      </c>
      <c r="I33" s="153">
        <f t="shared" si="2"/>
        <v>850129.30999999959</v>
      </c>
      <c r="J33" s="153">
        <f t="shared" si="2"/>
        <v>588959.17000000004</v>
      </c>
      <c r="K33" s="153">
        <f t="shared" si="2"/>
        <v>1199636.46</v>
      </c>
      <c r="L33" s="153">
        <f t="shared" si="2"/>
        <v>661230.75999999989</v>
      </c>
      <c r="M33" s="153"/>
      <c r="N33" s="153">
        <f t="shared" si="2"/>
        <v>752316.89000000013</v>
      </c>
      <c r="O33" s="153">
        <f t="shared" si="2"/>
        <v>666479.99999999988</v>
      </c>
      <c r="P33" s="153">
        <f t="shared" si="2"/>
        <v>1168230.26</v>
      </c>
      <c r="Q33" s="153">
        <f t="shared" si="2"/>
        <v>622709.4</v>
      </c>
      <c r="R33" s="153">
        <f t="shared" si="2"/>
        <v>959943.32</v>
      </c>
      <c r="S33" s="153">
        <f t="shared" si="2"/>
        <v>562022.93000000005</v>
      </c>
      <c r="T33" s="153">
        <f t="shared" si="2"/>
        <v>1022399.5000000001</v>
      </c>
      <c r="U33" s="153">
        <f t="shared" si="2"/>
        <v>656195.36</v>
      </c>
      <c r="V33" s="153">
        <f t="shared" si="2"/>
        <v>882780.5399999998</v>
      </c>
      <c r="W33" s="153">
        <f t="shared" si="2"/>
        <v>1076884.49</v>
      </c>
      <c r="X33" s="153">
        <f t="shared" si="2"/>
        <v>839027.7799999998</v>
      </c>
      <c r="Y33" s="153">
        <f t="shared" si="2"/>
        <v>920795.58</v>
      </c>
      <c r="Z33" s="153">
        <f t="shared" si="2"/>
        <v>1119719.3499999996</v>
      </c>
      <c r="AA33" s="153">
        <f t="shared" si="2"/>
        <v>2167933.9300000002</v>
      </c>
      <c r="AB33" s="153">
        <f>AB30-AB31+AB32</f>
        <v>21175530.439999994</v>
      </c>
    </row>
    <row r="34" spans="2:28" hidden="1" x14ac:dyDescent="0.55000000000000004">
      <c r="C34" s="156" t="s">
        <v>1049</v>
      </c>
      <c r="D34" s="153">
        <v>791129.10000000009</v>
      </c>
      <c r="E34" s="153">
        <v>898238.14999999991</v>
      </c>
      <c r="F34" s="154">
        <v>845501.7</v>
      </c>
      <c r="G34" s="82">
        <v>868115.36999999988</v>
      </c>
      <c r="H34" s="82">
        <v>1046075.9800000001</v>
      </c>
      <c r="I34" s="153">
        <v>848813.44</v>
      </c>
      <c r="J34" s="153">
        <v>587527.85000000009</v>
      </c>
      <c r="K34" s="153">
        <v>1199636.46</v>
      </c>
      <c r="L34" s="153">
        <v>660575.82000000007</v>
      </c>
      <c r="M34" s="153"/>
      <c r="N34" s="153">
        <v>753599.19</v>
      </c>
      <c r="O34" s="82">
        <v>666480</v>
      </c>
      <c r="P34" s="82">
        <v>1167790.56</v>
      </c>
      <c r="Q34" s="153">
        <v>621206.04</v>
      </c>
      <c r="R34" s="153">
        <v>957807.64999999991</v>
      </c>
      <c r="S34" s="153">
        <v>554905.43999999994</v>
      </c>
      <c r="T34" s="153">
        <v>1020667.02</v>
      </c>
      <c r="U34" s="153">
        <v>649009.28999999992</v>
      </c>
      <c r="V34" s="153">
        <v>881987.13000000012</v>
      </c>
      <c r="W34" s="153">
        <v>1078166.79</v>
      </c>
      <c r="X34" s="153">
        <v>840310.08000000007</v>
      </c>
      <c r="Y34" s="153">
        <v>921010.22</v>
      </c>
      <c r="Z34" s="153">
        <v>1121001.6499999999</v>
      </c>
      <c r="AA34" s="153">
        <v>2157803.4699999997</v>
      </c>
      <c r="AB34" s="153">
        <f>SUM(D34:AA34)</f>
        <v>21137358.399999999</v>
      </c>
    </row>
    <row r="35" spans="2:28" hidden="1" x14ac:dyDescent="0.55000000000000004">
      <c r="C35" s="156" t="s">
        <v>22</v>
      </c>
      <c r="D35" s="156">
        <f>D33-D34</f>
        <v>0</v>
      </c>
      <c r="E35" s="156">
        <f t="shared" ref="E35:AB35" si="3">E33-E34</f>
        <v>105.8499999998603</v>
      </c>
      <c r="F35" s="156">
        <f t="shared" si="3"/>
        <v>3827.3000000000466</v>
      </c>
      <c r="G35" s="156">
        <f t="shared" si="3"/>
        <v>1636.8199999999488</v>
      </c>
      <c r="H35" s="156">
        <f t="shared" si="3"/>
        <v>3505.1399999997811</v>
      </c>
      <c r="I35" s="156">
        <f t="shared" si="3"/>
        <v>1315.8699999996461</v>
      </c>
      <c r="J35" s="156">
        <f t="shared" si="3"/>
        <v>1431.3199999999488</v>
      </c>
      <c r="K35" s="156">
        <f t="shared" si="3"/>
        <v>0</v>
      </c>
      <c r="L35" s="156">
        <f t="shared" si="3"/>
        <v>654.93999999982771</v>
      </c>
      <c r="M35" s="156"/>
      <c r="N35" s="156">
        <f t="shared" si="3"/>
        <v>-1282.2999999998137</v>
      </c>
      <c r="O35" s="156">
        <f t="shared" si="3"/>
        <v>0</v>
      </c>
      <c r="P35" s="156">
        <f t="shared" si="3"/>
        <v>439.69999999995343</v>
      </c>
      <c r="Q35" s="156">
        <f t="shared" si="3"/>
        <v>1503.359999999986</v>
      </c>
      <c r="R35" s="156">
        <f t="shared" si="3"/>
        <v>2135.6700000000419</v>
      </c>
      <c r="S35" s="156">
        <f t="shared" si="3"/>
        <v>7117.4900000001071</v>
      </c>
      <c r="T35" s="156">
        <f t="shared" si="3"/>
        <v>1732.4800000000978</v>
      </c>
      <c r="U35" s="156">
        <f t="shared" si="3"/>
        <v>7186.0700000000652</v>
      </c>
      <c r="V35" s="156">
        <f t="shared" si="3"/>
        <v>793.40999999968335</v>
      </c>
      <c r="W35" s="156">
        <f t="shared" si="3"/>
        <v>-1282.3000000000466</v>
      </c>
      <c r="X35" s="156">
        <f t="shared" si="3"/>
        <v>-1282.3000000002794</v>
      </c>
      <c r="Y35" s="156">
        <f t="shared" si="3"/>
        <v>-214.64000000001397</v>
      </c>
      <c r="Z35" s="156">
        <f t="shared" si="3"/>
        <v>-1282.3000000002794</v>
      </c>
      <c r="AA35" s="156">
        <f t="shared" si="3"/>
        <v>10130.460000000428</v>
      </c>
      <c r="AB35" s="160">
        <f t="shared" si="3"/>
        <v>38172.039999995381</v>
      </c>
    </row>
    <row r="36" spans="2:28" x14ac:dyDescent="0.55000000000000004">
      <c r="B36" s="84" t="s">
        <v>1074</v>
      </c>
      <c r="C36" s="6" t="s">
        <v>1068</v>
      </c>
      <c r="D36" s="84"/>
      <c r="E36" s="84"/>
      <c r="F36" s="98"/>
      <c r="I36" s="84"/>
      <c r="J36" s="84"/>
      <c r="K36" s="84"/>
      <c r="L36" s="84"/>
      <c r="M36" s="170"/>
      <c r="N36" s="84"/>
    </row>
    <row r="37" spans="2:28" x14ac:dyDescent="0.55000000000000004">
      <c r="B37" s="84" t="s">
        <v>1075</v>
      </c>
      <c r="C37" s="6" t="s">
        <v>1076</v>
      </c>
      <c r="D37" s="84"/>
      <c r="E37" s="84"/>
      <c r="F37" s="98"/>
      <c r="I37" s="84"/>
      <c r="J37" s="84"/>
      <c r="K37" s="84"/>
      <c r="L37" s="84"/>
      <c r="M37" s="84"/>
      <c r="N37" s="84"/>
    </row>
    <row r="38" spans="2:28" x14ac:dyDescent="0.55000000000000004">
      <c r="C38" s="6" t="s">
        <v>1078</v>
      </c>
      <c r="D38" s="84"/>
      <c r="E38" s="84"/>
      <c r="F38" s="98"/>
      <c r="I38" s="84"/>
      <c r="J38" s="84"/>
      <c r="K38" s="84"/>
      <c r="L38" s="84"/>
      <c r="M38" s="84"/>
      <c r="N38" s="84"/>
    </row>
    <row r="39" spans="2:28" x14ac:dyDescent="0.55000000000000004">
      <c r="D39" s="84"/>
      <c r="E39" s="150"/>
      <c r="F39" s="150"/>
      <c r="G39" s="150"/>
      <c r="H39" s="150"/>
      <c r="I39" s="150"/>
      <c r="J39" s="150"/>
      <c r="K39" s="150"/>
      <c r="L39" s="150"/>
      <c r="M39" s="150"/>
      <c r="N39" s="150"/>
      <c r="O39" s="150"/>
      <c r="P39" s="150"/>
      <c r="Q39" s="150"/>
      <c r="R39" s="150"/>
      <c r="S39" s="150"/>
      <c r="T39" s="150"/>
      <c r="U39" s="150"/>
      <c r="V39" s="150"/>
      <c r="W39" s="150"/>
      <c r="X39" s="150"/>
      <c r="Y39" s="150"/>
      <c r="Z39" s="150"/>
      <c r="AA39" s="150"/>
    </row>
    <row r="40" spans="2:28" ht="18.3" x14ac:dyDescent="0.7">
      <c r="C40" s="130" t="s">
        <v>984</v>
      </c>
      <c r="D40" s="84"/>
      <c r="E40" s="84"/>
      <c r="F40" s="98"/>
      <c r="I40" s="84"/>
      <c r="J40" s="84"/>
      <c r="K40" s="84"/>
      <c r="M40" s="84"/>
      <c r="N40" s="84"/>
    </row>
    <row r="41" spans="2:28" ht="18.3" x14ac:dyDescent="0.7">
      <c r="C41" s="130"/>
      <c r="D41" s="84"/>
      <c r="E41" s="84"/>
      <c r="F41" s="98"/>
      <c r="I41" s="84"/>
      <c r="J41" s="84"/>
      <c r="K41" s="84"/>
      <c r="M41" s="84"/>
      <c r="N41" s="84"/>
    </row>
    <row r="42" spans="2:28" x14ac:dyDescent="0.55000000000000004">
      <c r="C42" s="85" t="s">
        <v>1023</v>
      </c>
      <c r="D42" s="131"/>
      <c r="E42" s="131"/>
      <c r="F42" s="131"/>
    </row>
    <row r="43" spans="2:28" x14ac:dyDescent="0.55000000000000004">
      <c r="C43" s="122" t="s">
        <v>975</v>
      </c>
      <c r="D43" s="120" t="s">
        <v>1004</v>
      </c>
      <c r="E43" s="119" t="s">
        <v>1005</v>
      </c>
      <c r="F43" s="121" t="s">
        <v>22</v>
      </c>
    </row>
    <row r="44" spans="2:28" x14ac:dyDescent="0.55000000000000004">
      <c r="C44" s="137" t="s">
        <v>1000</v>
      </c>
      <c r="E44" s="138"/>
      <c r="F44" s="138"/>
    </row>
    <row r="45" spans="2:28" x14ac:dyDescent="0.55000000000000004">
      <c r="C45" s="139" t="s">
        <v>995</v>
      </c>
      <c r="D45" s="140">
        <v>1846.87</v>
      </c>
      <c r="E45" s="124">
        <v>871.97</v>
      </c>
      <c r="F45" s="127">
        <f>D45-E45</f>
        <v>974.89999999999986</v>
      </c>
    </row>
    <row r="46" spans="2:28" x14ac:dyDescent="0.55000000000000004">
      <c r="C46" s="6"/>
    </row>
    <row r="47" spans="2:28" ht="28.8" x14ac:dyDescent="0.55000000000000004">
      <c r="C47" s="122" t="s">
        <v>975</v>
      </c>
      <c r="D47" s="120" t="s">
        <v>1006</v>
      </c>
      <c r="E47" s="119" t="s">
        <v>1007</v>
      </c>
      <c r="F47" s="121" t="s">
        <v>22</v>
      </c>
    </row>
    <row r="48" spans="2:28" x14ac:dyDescent="0.55000000000000004">
      <c r="C48" s="137" t="s">
        <v>1008</v>
      </c>
      <c r="E48" s="138"/>
      <c r="F48" s="138"/>
    </row>
    <row r="49" spans="3:16" x14ac:dyDescent="0.55000000000000004">
      <c r="C49" s="141" t="s">
        <v>30</v>
      </c>
      <c r="D49" s="142">
        <v>123534.05</v>
      </c>
      <c r="E49" s="123">
        <v>123470.14</v>
      </c>
      <c r="F49" s="123">
        <f>D49-E49</f>
        <v>63.910000000003492</v>
      </c>
    </row>
    <row r="50" spans="3:16" x14ac:dyDescent="0.55000000000000004">
      <c r="C50" s="123" t="s">
        <v>34</v>
      </c>
      <c r="D50" s="142">
        <v>86648.05</v>
      </c>
      <c r="E50" s="123">
        <v>85986.34</v>
      </c>
      <c r="F50" s="123">
        <f t="shared" ref="F50:F55" si="4">D50-E50</f>
        <v>661.7100000000064</v>
      </c>
    </row>
    <row r="51" spans="3:16" x14ac:dyDescent="0.55000000000000004">
      <c r="C51" s="123" t="s">
        <v>32</v>
      </c>
      <c r="D51" s="142">
        <v>3393.21</v>
      </c>
      <c r="E51" s="123">
        <v>3189.23</v>
      </c>
      <c r="F51" s="123">
        <f t="shared" si="4"/>
        <v>203.98000000000002</v>
      </c>
    </row>
    <row r="52" spans="3:16" x14ac:dyDescent="0.55000000000000004">
      <c r="C52" s="123" t="s">
        <v>78</v>
      </c>
      <c r="D52" s="142">
        <v>12841.06</v>
      </c>
      <c r="E52" s="123">
        <v>9027.5300000000007</v>
      </c>
      <c r="F52" s="123">
        <f t="shared" si="4"/>
        <v>3813.5299999999988</v>
      </c>
    </row>
    <row r="53" spans="3:16" x14ac:dyDescent="0.55000000000000004">
      <c r="C53" s="123" t="s">
        <v>71</v>
      </c>
      <c r="D53" s="142">
        <v>3063.42</v>
      </c>
      <c r="E53" s="123">
        <v>1868.68</v>
      </c>
      <c r="F53" s="123">
        <f t="shared" si="4"/>
        <v>1194.74</v>
      </c>
    </row>
    <row r="54" spans="3:16" x14ac:dyDescent="0.55000000000000004">
      <c r="C54" s="123" t="s">
        <v>72</v>
      </c>
      <c r="D54" s="142">
        <v>434.71</v>
      </c>
      <c r="E54" s="123">
        <v>294</v>
      </c>
      <c r="F54" s="123">
        <f t="shared" si="4"/>
        <v>140.70999999999998</v>
      </c>
    </row>
    <row r="55" spans="3:16" x14ac:dyDescent="0.55000000000000004">
      <c r="C55" s="123" t="s">
        <v>79</v>
      </c>
      <c r="D55" s="142">
        <v>48204.87</v>
      </c>
      <c r="E55" s="123">
        <v>48017.04</v>
      </c>
      <c r="F55" s="123">
        <f t="shared" si="4"/>
        <v>187.83000000000175</v>
      </c>
      <c r="G55" s="19"/>
      <c r="H55" s="19"/>
      <c r="I55" s="19"/>
      <c r="J55" s="19"/>
      <c r="K55" s="19"/>
      <c r="L55" s="19"/>
      <c r="M55" s="19"/>
      <c r="N55" s="19"/>
      <c r="O55" s="19"/>
      <c r="P55" s="19"/>
    </row>
    <row r="56" spans="3:16" x14ac:dyDescent="0.55000000000000004">
      <c r="C56" s="322" t="s">
        <v>1009</v>
      </c>
      <c r="D56" s="323"/>
      <c r="E56" s="323"/>
      <c r="F56" s="143">
        <f>SUM(F49:F55)</f>
        <v>6266.4100000000099</v>
      </c>
    </row>
    <row r="57" spans="3:16" x14ac:dyDescent="0.55000000000000004">
      <c r="C57" s="85"/>
      <c r="D57" s="131"/>
      <c r="E57" s="131"/>
      <c r="F57" s="131"/>
    </row>
    <row r="58" spans="3:16" x14ac:dyDescent="0.55000000000000004">
      <c r="C58" s="105" t="s">
        <v>983</v>
      </c>
    </row>
    <row r="59" spans="3:16" x14ac:dyDescent="0.55000000000000004">
      <c r="C59" s="122" t="s">
        <v>975</v>
      </c>
      <c r="D59" s="120" t="s">
        <v>999</v>
      </c>
      <c r="E59" s="119" t="s">
        <v>998</v>
      </c>
      <c r="F59" s="121" t="s">
        <v>22</v>
      </c>
    </row>
    <row r="60" spans="3:16" x14ac:dyDescent="0.55000000000000004">
      <c r="C60" s="133" t="s">
        <v>1000</v>
      </c>
      <c r="D60" s="84"/>
      <c r="E60" s="107"/>
      <c r="F60" s="107"/>
    </row>
    <row r="61" spans="3:16" x14ac:dyDescent="0.55000000000000004">
      <c r="C61" s="125" t="s">
        <v>995</v>
      </c>
      <c r="D61" s="128">
        <v>2369.52</v>
      </c>
      <c r="E61" s="126">
        <v>2047.92</v>
      </c>
      <c r="F61" s="127">
        <f>D61-E61</f>
        <v>321.59999999999991</v>
      </c>
    </row>
    <row r="62" spans="3:16" x14ac:dyDescent="0.55000000000000004">
      <c r="C62" s="84"/>
      <c r="D62" s="146"/>
      <c r="E62" s="146"/>
      <c r="F62" s="146"/>
    </row>
    <row r="63" spans="3:16" x14ac:dyDescent="0.55000000000000004">
      <c r="C63" s="85" t="s">
        <v>1024</v>
      </c>
      <c r="D63" s="131"/>
      <c r="E63" s="131"/>
      <c r="F63" s="131"/>
    </row>
    <row r="64" spans="3:16" ht="28.8" x14ac:dyDescent="0.55000000000000004">
      <c r="C64" s="122" t="s">
        <v>975</v>
      </c>
      <c r="D64" s="120" t="s">
        <v>1010</v>
      </c>
      <c r="E64" s="120" t="s">
        <v>1011</v>
      </c>
      <c r="F64" s="121" t="s">
        <v>22</v>
      </c>
    </row>
    <row r="65" spans="3:16" x14ac:dyDescent="0.55000000000000004">
      <c r="C65" s="137" t="s">
        <v>1012</v>
      </c>
      <c r="E65" s="138"/>
      <c r="F65" s="138"/>
    </row>
    <row r="66" spans="3:16" x14ac:dyDescent="0.55000000000000004">
      <c r="C66" s="139" t="s">
        <v>30</v>
      </c>
      <c r="D66" s="140">
        <v>71467.460000000006</v>
      </c>
      <c r="E66" s="124">
        <v>91853.8</v>
      </c>
      <c r="F66" s="127">
        <f>D66-E66</f>
        <v>-20386.339999999997</v>
      </c>
    </row>
    <row r="67" spans="3:16" x14ac:dyDescent="0.55000000000000004">
      <c r="C67" s="137" t="s">
        <v>954</v>
      </c>
      <c r="F67" s="144"/>
    </row>
    <row r="68" spans="3:16" x14ac:dyDescent="0.55000000000000004">
      <c r="C68" s="115" t="s">
        <v>30</v>
      </c>
      <c r="D68" s="145">
        <v>114348.61</v>
      </c>
      <c r="E68" s="145">
        <v>119548.77</v>
      </c>
      <c r="F68" s="127">
        <f>D68-E68</f>
        <v>-5200.1600000000035</v>
      </c>
      <c r="G68" s="19"/>
      <c r="H68" s="19"/>
      <c r="I68" s="19"/>
      <c r="J68" s="19"/>
      <c r="K68" s="19"/>
      <c r="L68" s="19"/>
      <c r="M68" s="19"/>
      <c r="N68" s="19"/>
      <c r="O68" s="19"/>
      <c r="P68" s="19"/>
    </row>
    <row r="69" spans="3:16" x14ac:dyDescent="0.55000000000000004">
      <c r="C69" s="165"/>
      <c r="D69" s="84"/>
      <c r="E69" s="84"/>
      <c r="F69" s="166"/>
      <c r="G69" s="19"/>
      <c r="H69" s="19"/>
      <c r="I69" s="19"/>
      <c r="J69" s="19"/>
      <c r="K69" s="19"/>
      <c r="L69" s="19"/>
      <c r="M69" s="19"/>
      <c r="N69" s="19"/>
      <c r="O69" s="19"/>
      <c r="P69" s="19"/>
    </row>
    <row r="70" spans="3:16" ht="28.8" x14ac:dyDescent="0.55000000000000004">
      <c r="C70" s="161" t="s">
        <v>975</v>
      </c>
      <c r="D70" s="162" t="s">
        <v>1053</v>
      </c>
      <c r="E70" s="162" t="s">
        <v>1054</v>
      </c>
      <c r="F70" s="163" t="s">
        <v>22</v>
      </c>
      <c r="G70" s="19"/>
      <c r="H70" s="19"/>
      <c r="I70" s="19"/>
      <c r="J70" s="19"/>
      <c r="K70" s="19"/>
      <c r="L70" s="19"/>
      <c r="M70" s="19"/>
      <c r="N70" s="19"/>
      <c r="O70" s="19"/>
      <c r="P70" s="19"/>
    </row>
    <row r="71" spans="3:16" x14ac:dyDescent="0.55000000000000004">
      <c r="C71" s="137" t="s">
        <v>1055</v>
      </c>
      <c r="D71" s="82"/>
      <c r="E71" s="82"/>
      <c r="F71" s="82"/>
      <c r="G71" s="19"/>
      <c r="H71" s="19"/>
      <c r="I71" s="19"/>
      <c r="J71" s="19"/>
      <c r="K71" s="19"/>
      <c r="L71" s="19"/>
      <c r="M71" s="19"/>
      <c r="N71" s="19"/>
      <c r="O71" s="19"/>
      <c r="P71" s="19"/>
    </row>
    <row r="72" spans="3:16" x14ac:dyDescent="0.55000000000000004">
      <c r="C72" s="155" t="s">
        <v>34</v>
      </c>
      <c r="D72" s="164">
        <v>6384116.4800000004</v>
      </c>
      <c r="E72" s="164">
        <v>6121595.2400000002</v>
      </c>
      <c r="F72" s="164">
        <f>D72-E72</f>
        <v>262521.24000000022</v>
      </c>
      <c r="G72" s="19"/>
      <c r="H72" s="19"/>
      <c r="I72" s="19"/>
      <c r="J72" s="19"/>
      <c r="K72" s="19"/>
      <c r="L72" s="19"/>
      <c r="M72" s="19"/>
      <c r="N72" s="19"/>
      <c r="O72" s="19"/>
      <c r="P72" s="19"/>
    </row>
    <row r="73" spans="3:16" x14ac:dyDescent="0.55000000000000004">
      <c r="C73" s="155" t="s">
        <v>70</v>
      </c>
      <c r="D73" s="164">
        <v>228505.54</v>
      </c>
      <c r="E73" s="164">
        <v>218157.31</v>
      </c>
      <c r="F73" s="164">
        <f t="shared" ref="F73:F81" si="5">D73-E73</f>
        <v>10348.23000000001</v>
      </c>
      <c r="G73" s="19"/>
      <c r="H73" s="19"/>
      <c r="I73" s="19"/>
      <c r="J73" s="19"/>
      <c r="K73" s="19"/>
      <c r="L73" s="19"/>
      <c r="M73" s="19"/>
      <c r="N73" s="19"/>
      <c r="O73" s="19"/>
      <c r="P73" s="19"/>
    </row>
    <row r="74" spans="3:16" x14ac:dyDescent="0.55000000000000004">
      <c r="C74" s="155" t="s">
        <v>32</v>
      </c>
      <c r="D74" s="164">
        <v>305521.43</v>
      </c>
      <c r="E74" s="164">
        <v>296024.2</v>
      </c>
      <c r="F74" s="164">
        <f t="shared" si="5"/>
        <v>9497.2299999999814</v>
      </c>
      <c r="G74" s="19"/>
      <c r="H74" s="19"/>
      <c r="I74" s="19"/>
      <c r="J74" s="19"/>
      <c r="K74" s="19"/>
      <c r="L74" s="19"/>
      <c r="M74" s="19"/>
      <c r="N74" s="19"/>
      <c r="O74" s="19"/>
      <c r="P74" s="19"/>
    </row>
    <row r="75" spans="3:16" x14ac:dyDescent="0.55000000000000004">
      <c r="C75" s="155" t="s">
        <v>33</v>
      </c>
      <c r="D75" s="164">
        <v>139845.95000000001</v>
      </c>
      <c r="E75" s="164">
        <v>134758.51</v>
      </c>
      <c r="F75" s="164">
        <f t="shared" si="5"/>
        <v>5087.4400000000023</v>
      </c>
      <c r="G75" s="19"/>
      <c r="H75" s="19"/>
      <c r="I75" s="19"/>
      <c r="J75" s="19"/>
      <c r="K75" s="19"/>
      <c r="L75" s="19"/>
      <c r="M75" s="19"/>
      <c r="N75" s="19"/>
      <c r="O75" s="19"/>
      <c r="P75" s="19"/>
    </row>
    <row r="76" spans="3:16" x14ac:dyDescent="0.55000000000000004">
      <c r="C76" s="155" t="s">
        <v>71</v>
      </c>
      <c r="D76" s="164">
        <v>691945.91</v>
      </c>
      <c r="E76" s="164">
        <v>670808.31999999995</v>
      </c>
      <c r="F76" s="164">
        <f t="shared" si="5"/>
        <v>21137.590000000084</v>
      </c>
      <c r="G76" s="19"/>
      <c r="H76" s="19"/>
      <c r="I76" s="19"/>
      <c r="J76" s="19"/>
      <c r="K76" s="19"/>
      <c r="L76" s="19"/>
      <c r="M76" s="19"/>
      <c r="N76" s="19"/>
      <c r="O76" s="19"/>
      <c r="P76" s="19"/>
    </row>
    <row r="77" spans="3:16" x14ac:dyDescent="0.55000000000000004">
      <c r="C77" s="155" t="s">
        <v>72</v>
      </c>
      <c r="D77" s="164">
        <v>357703.55</v>
      </c>
      <c r="E77" s="164">
        <v>348062.76</v>
      </c>
      <c r="F77" s="164">
        <f t="shared" si="5"/>
        <v>9640.789999999979</v>
      </c>
      <c r="G77" s="19"/>
      <c r="H77" s="19"/>
      <c r="I77" s="19"/>
      <c r="J77" s="19"/>
      <c r="K77" s="19"/>
      <c r="L77" s="19"/>
      <c r="M77" s="19"/>
      <c r="N77" s="19"/>
      <c r="O77" s="19"/>
      <c r="P77" s="19"/>
    </row>
    <row r="78" spans="3:16" x14ac:dyDescent="0.55000000000000004">
      <c r="C78" s="155" t="s">
        <v>73</v>
      </c>
      <c r="D78" s="164">
        <v>1989778.01</v>
      </c>
      <c r="E78" s="164">
        <v>1940821.07</v>
      </c>
      <c r="F78" s="164">
        <f t="shared" si="5"/>
        <v>48956.939999999944</v>
      </c>
      <c r="G78" s="19"/>
      <c r="H78" s="19"/>
      <c r="I78" s="19"/>
      <c r="J78" s="19"/>
      <c r="K78" s="19"/>
      <c r="L78" s="19"/>
      <c r="M78" s="19"/>
      <c r="N78" s="19"/>
      <c r="O78" s="19"/>
      <c r="P78" s="19"/>
    </row>
    <row r="79" spans="3:16" x14ac:dyDescent="0.55000000000000004">
      <c r="C79" s="155" t="s">
        <v>74</v>
      </c>
      <c r="D79" s="164">
        <v>1512997.28</v>
      </c>
      <c r="E79" s="164">
        <v>1426724.49</v>
      </c>
      <c r="F79" s="164">
        <f t="shared" si="5"/>
        <v>86272.790000000037</v>
      </c>
      <c r="G79" s="19"/>
      <c r="H79" s="19"/>
      <c r="I79" s="19"/>
      <c r="J79" s="19"/>
      <c r="K79" s="19"/>
      <c r="L79" s="19"/>
      <c r="M79" s="19"/>
      <c r="N79" s="19"/>
      <c r="O79" s="19"/>
      <c r="P79" s="19"/>
    </row>
    <row r="80" spans="3:16" x14ac:dyDescent="0.55000000000000004">
      <c r="C80" s="155" t="s">
        <v>30</v>
      </c>
      <c r="D80" s="164">
        <v>2221542.37</v>
      </c>
      <c r="E80" s="164">
        <v>2328184.41</v>
      </c>
      <c r="F80" s="164">
        <f t="shared" si="5"/>
        <v>-106642.04000000004</v>
      </c>
      <c r="G80" s="19"/>
      <c r="H80" s="19"/>
      <c r="I80" s="19"/>
      <c r="J80" s="19"/>
      <c r="K80" s="19"/>
      <c r="L80" s="19"/>
      <c r="M80" s="19"/>
      <c r="N80" s="19"/>
      <c r="O80" s="19"/>
      <c r="P80" s="19"/>
    </row>
    <row r="81" spans="3:16" x14ac:dyDescent="0.55000000000000004">
      <c r="C81" s="155" t="s">
        <v>74</v>
      </c>
      <c r="D81" s="164">
        <v>1252631.07</v>
      </c>
      <c r="E81" s="164">
        <v>1245826.01</v>
      </c>
      <c r="F81" s="164">
        <f t="shared" si="5"/>
        <v>6805.0600000000559</v>
      </c>
      <c r="G81" s="19"/>
      <c r="H81" s="19"/>
      <c r="I81" s="19"/>
      <c r="J81" s="19"/>
      <c r="K81" s="19"/>
      <c r="L81" s="19"/>
      <c r="M81" s="19"/>
      <c r="N81" s="19"/>
      <c r="O81" s="19"/>
      <c r="P81" s="19"/>
    </row>
    <row r="82" spans="3:16" x14ac:dyDescent="0.55000000000000004">
      <c r="C82" s="153"/>
      <c r="D82" s="153"/>
      <c r="E82" s="153"/>
      <c r="F82" s="167">
        <f>SUM(F72:F81)</f>
        <v>353625.27000000025</v>
      </c>
      <c r="G82" s="19"/>
      <c r="H82" s="19"/>
      <c r="I82" s="19"/>
      <c r="J82" s="19"/>
      <c r="K82" s="19"/>
      <c r="L82" s="19"/>
      <c r="M82" s="19"/>
      <c r="N82" s="19"/>
      <c r="O82" s="19"/>
      <c r="P82" s="19"/>
    </row>
    <row r="83" spans="3:16" x14ac:dyDescent="0.55000000000000004">
      <c r="C83" s="84"/>
      <c r="D83" s="84"/>
      <c r="E83" s="84"/>
      <c r="F83" s="84"/>
      <c r="G83" s="19"/>
      <c r="H83" s="19"/>
      <c r="I83" s="19"/>
      <c r="J83" s="19"/>
      <c r="K83" s="19"/>
      <c r="L83" s="19"/>
      <c r="M83" s="19"/>
      <c r="N83" s="19"/>
      <c r="O83" s="19"/>
      <c r="P83" s="19"/>
    </row>
    <row r="84" spans="3:16" ht="28.8" x14ac:dyDescent="0.55000000000000004">
      <c r="C84" s="161" t="s">
        <v>975</v>
      </c>
      <c r="D84" s="162" t="s">
        <v>1070</v>
      </c>
      <c r="E84" s="162" t="s">
        <v>1071</v>
      </c>
      <c r="F84" s="163" t="s">
        <v>22</v>
      </c>
      <c r="G84" s="19"/>
      <c r="H84" s="19"/>
      <c r="I84" s="19"/>
      <c r="J84" s="19"/>
      <c r="K84" s="19"/>
      <c r="L84" s="19"/>
      <c r="M84" s="19"/>
      <c r="N84" s="19"/>
      <c r="O84" s="19"/>
      <c r="P84" s="19"/>
    </row>
    <row r="85" spans="3:16" x14ac:dyDescent="0.55000000000000004">
      <c r="C85" s="137" t="s">
        <v>1055</v>
      </c>
      <c r="D85" s="82"/>
      <c r="E85" s="82"/>
      <c r="F85" s="82"/>
      <c r="G85" s="19"/>
      <c r="H85" s="19"/>
      <c r="I85" s="19"/>
      <c r="J85" s="19"/>
      <c r="K85" s="19"/>
      <c r="L85" s="19"/>
      <c r="M85" s="19"/>
      <c r="N85" s="19"/>
      <c r="O85" s="19"/>
      <c r="P85" s="19"/>
    </row>
    <row r="86" spans="3:16" x14ac:dyDescent="0.55000000000000004">
      <c r="C86" s="155" t="s">
        <v>73</v>
      </c>
      <c r="D86" s="164">
        <v>1451157.36</v>
      </c>
      <c r="E86" s="164">
        <v>1828059.44</v>
      </c>
      <c r="F86" s="164">
        <f>D86-E86</f>
        <v>-376902.07999999984</v>
      </c>
      <c r="G86" s="19"/>
      <c r="H86" s="19"/>
      <c r="I86" s="19"/>
      <c r="J86" s="19"/>
      <c r="K86" s="19"/>
      <c r="L86" s="19"/>
      <c r="M86" s="19"/>
      <c r="N86" s="19"/>
      <c r="O86" s="19"/>
      <c r="P86" s="19"/>
    </row>
    <row r="87" spans="3:16" x14ac:dyDescent="0.55000000000000004">
      <c r="C87" s="155" t="s">
        <v>75</v>
      </c>
      <c r="D87" s="164"/>
      <c r="E87" s="164"/>
      <c r="F87" s="169">
        <f>SUM(F86)</f>
        <v>-376902.07999999984</v>
      </c>
      <c r="G87" s="19"/>
      <c r="H87" s="19"/>
      <c r="I87" s="19"/>
      <c r="J87" s="19"/>
      <c r="K87" s="19"/>
      <c r="L87" s="19"/>
      <c r="M87" s="19"/>
      <c r="N87" s="19"/>
      <c r="O87" s="19"/>
      <c r="P87" s="19"/>
    </row>
    <row r="88" spans="3:16" x14ac:dyDescent="0.55000000000000004">
      <c r="C88" s="84"/>
      <c r="D88" s="84"/>
      <c r="E88" s="84"/>
      <c r="F88" s="84"/>
      <c r="G88" s="19"/>
      <c r="H88" s="19"/>
      <c r="I88" s="19"/>
      <c r="J88" s="19"/>
      <c r="K88" s="19"/>
      <c r="L88" s="19"/>
      <c r="M88" s="19"/>
      <c r="N88" s="19"/>
      <c r="O88" s="19"/>
      <c r="P88" s="19"/>
    </row>
    <row r="90" spans="3:16" x14ac:dyDescent="0.55000000000000004">
      <c r="F90" s="147"/>
    </row>
    <row r="106" spans="17:27" x14ac:dyDescent="0.55000000000000004">
      <c r="Q106"/>
      <c r="R106"/>
      <c r="S106"/>
      <c r="T106"/>
      <c r="U106"/>
      <c r="V106"/>
      <c r="W106"/>
      <c r="X106"/>
      <c r="Y106"/>
      <c r="Z106"/>
      <c r="AA106"/>
    </row>
    <row r="107" spans="17:27" x14ac:dyDescent="0.55000000000000004">
      <c r="Q107"/>
      <c r="R107"/>
      <c r="S107"/>
      <c r="T107"/>
      <c r="U107"/>
      <c r="V107"/>
      <c r="W107"/>
      <c r="X107"/>
      <c r="Y107"/>
      <c r="Z107"/>
      <c r="AA107"/>
    </row>
    <row r="108" spans="17:27" x14ac:dyDescent="0.55000000000000004">
      <c r="Q108"/>
      <c r="R108"/>
      <c r="S108"/>
      <c r="T108"/>
      <c r="U108"/>
      <c r="V108"/>
      <c r="W108"/>
      <c r="X108"/>
      <c r="Y108"/>
      <c r="Z108"/>
      <c r="AA108"/>
    </row>
    <row r="109" spans="17:27" x14ac:dyDescent="0.55000000000000004">
      <c r="Q109"/>
      <c r="R109"/>
      <c r="S109"/>
      <c r="T109"/>
      <c r="U109"/>
      <c r="V109"/>
      <c r="W109"/>
      <c r="X109"/>
      <c r="Y109"/>
      <c r="Z109"/>
      <c r="AA109"/>
    </row>
    <row r="110" spans="17:27" x14ac:dyDescent="0.55000000000000004">
      <c r="Q110"/>
      <c r="R110"/>
      <c r="S110"/>
      <c r="T110"/>
      <c r="U110"/>
      <c r="V110"/>
      <c r="W110"/>
      <c r="X110"/>
      <c r="Y110"/>
      <c r="Z110"/>
      <c r="AA110"/>
    </row>
    <row r="111" spans="17:27" x14ac:dyDescent="0.55000000000000004">
      <c r="Q111"/>
      <c r="R111"/>
      <c r="S111"/>
      <c r="T111"/>
      <c r="U111"/>
      <c r="V111"/>
      <c r="W111"/>
      <c r="X111"/>
      <c r="Y111"/>
      <c r="Z111"/>
      <c r="AA111"/>
    </row>
    <row r="112" spans="17:27" x14ac:dyDescent="0.55000000000000004">
      <c r="Q112"/>
      <c r="R112"/>
      <c r="S112"/>
      <c r="T112"/>
      <c r="U112"/>
      <c r="V112"/>
      <c r="W112"/>
      <c r="X112"/>
      <c r="Y112"/>
      <c r="Z112"/>
      <c r="AA112"/>
    </row>
    <row r="113" spans="17:27" x14ac:dyDescent="0.55000000000000004">
      <c r="Q113"/>
      <c r="R113"/>
      <c r="S113"/>
      <c r="T113"/>
      <c r="U113"/>
      <c r="V113"/>
      <c r="W113"/>
      <c r="X113"/>
      <c r="Y113"/>
      <c r="Z113"/>
      <c r="AA113"/>
    </row>
    <row r="114" spans="17:27" x14ac:dyDescent="0.55000000000000004">
      <c r="Q114"/>
      <c r="R114"/>
      <c r="S114"/>
      <c r="T114"/>
      <c r="U114"/>
      <c r="V114"/>
      <c r="W114"/>
      <c r="X114"/>
      <c r="Y114"/>
      <c r="Z114"/>
      <c r="AA114"/>
    </row>
    <row r="115" spans="17:27" x14ac:dyDescent="0.55000000000000004">
      <c r="Q115"/>
      <c r="R115"/>
      <c r="S115"/>
      <c r="T115"/>
      <c r="U115"/>
      <c r="V115"/>
      <c r="W115"/>
      <c r="X115"/>
      <c r="Y115"/>
      <c r="Z115"/>
      <c r="AA115"/>
    </row>
    <row r="116" spans="17:27" x14ac:dyDescent="0.55000000000000004">
      <c r="Q116"/>
      <c r="R116"/>
      <c r="S116"/>
      <c r="T116"/>
      <c r="U116"/>
      <c r="V116"/>
      <c r="W116"/>
      <c r="X116"/>
      <c r="Y116"/>
      <c r="Z116"/>
      <c r="AA116"/>
    </row>
    <row r="117" spans="17:27" x14ac:dyDescent="0.55000000000000004">
      <c r="Q117"/>
      <c r="R117"/>
      <c r="S117"/>
      <c r="T117"/>
      <c r="U117"/>
      <c r="V117"/>
      <c r="W117"/>
      <c r="X117"/>
      <c r="Y117"/>
      <c r="Z117"/>
      <c r="AA117"/>
    </row>
  </sheetData>
  <mergeCells count="2">
    <mergeCell ref="C56:E56"/>
    <mergeCell ref="B30:B32"/>
  </mergeCells>
  <pageMargins left="0.7" right="0.7" top="0.75" bottom="0.75" header="0.3" footer="0.3"/>
  <pageSetup orientation="portrait" r:id="rId1"/>
  <drawing r:id="rId2"/>
  <legacyDrawing r:id="rId3"/>
  <controls>
    <mc:AlternateContent xmlns:mc="http://schemas.openxmlformats.org/markup-compatibility/2006">
      <mc:Choice Requires="x14">
        <control shapeId="6148" r:id="rId4" name="FPMExcelClientSheetOptionstb1">
          <controlPr defaultSize="0" autoLine="0" autoPict="0" r:id="rId5">
            <anchor moveWithCells="1" sizeWithCells="1">
              <from>
                <xdr:col>0</xdr:col>
                <xdr:colOff>0</xdr:colOff>
                <xdr:row>0</xdr:row>
                <xdr:rowOff>0</xdr:rowOff>
              </from>
              <to>
                <xdr:col>0</xdr:col>
                <xdr:colOff>914400</xdr:colOff>
                <xdr:row>0</xdr:row>
                <xdr:rowOff>0</xdr:rowOff>
              </to>
            </anchor>
          </controlPr>
        </control>
      </mc:Choice>
      <mc:Fallback>
        <control shapeId="6148" r:id="rId4" name="FPMExcelClientSheetOptionstb1"/>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C469"/>
  <sheetViews>
    <sheetView zoomScale="85" zoomScaleNormal="85" workbookViewId="0">
      <pane ySplit="5" topLeftCell="A6" activePane="bottomLeft" state="frozen"/>
      <selection activeCell="A6" sqref="A6"/>
      <selection pane="bottomLeft" activeCell="A6" sqref="A6"/>
    </sheetView>
  </sheetViews>
  <sheetFormatPr defaultRowHeight="14.4" x14ac:dyDescent="0.55000000000000004"/>
  <cols>
    <col min="1" max="1" width="55.578125" bestFit="1" customWidth="1"/>
    <col min="2" max="2" width="13.41796875" bestFit="1" customWidth="1"/>
    <col min="3" max="3" width="37.41796875" customWidth="1"/>
    <col min="4" max="4" width="30.83984375" customWidth="1"/>
    <col min="5" max="5" width="12.578125" bestFit="1" customWidth="1"/>
    <col min="6" max="28" width="11.578125" bestFit="1" customWidth="1"/>
    <col min="257" max="257" width="55.578125" bestFit="1" customWidth="1"/>
    <col min="258" max="258" width="13.41796875" bestFit="1" customWidth="1"/>
    <col min="259" max="259" width="37.41796875" customWidth="1"/>
    <col min="260" max="260" width="30.83984375" customWidth="1"/>
    <col min="261" max="261" width="12.578125" bestFit="1" customWidth="1"/>
    <col min="262" max="284" width="11.578125" bestFit="1" customWidth="1"/>
    <col min="513" max="513" width="55.578125" bestFit="1" customWidth="1"/>
    <col min="514" max="514" width="13.41796875" bestFit="1" customWidth="1"/>
    <col min="515" max="515" width="37.41796875" customWidth="1"/>
    <col min="516" max="516" width="30.83984375" customWidth="1"/>
    <col min="517" max="517" width="12.578125" bestFit="1" customWidth="1"/>
    <col min="518" max="540" width="11.578125" bestFit="1" customWidth="1"/>
    <col min="769" max="769" width="55.578125" bestFit="1" customWidth="1"/>
    <col min="770" max="770" width="13.41796875" bestFit="1" customWidth="1"/>
    <col min="771" max="771" width="37.41796875" customWidth="1"/>
    <col min="772" max="772" width="30.83984375" customWidth="1"/>
    <col min="773" max="773" width="12.578125" bestFit="1" customWidth="1"/>
    <col min="774" max="796" width="11.578125" bestFit="1" customWidth="1"/>
    <col min="1025" max="1025" width="55.578125" bestFit="1" customWidth="1"/>
    <col min="1026" max="1026" width="13.41796875" bestFit="1" customWidth="1"/>
    <col min="1027" max="1027" width="37.41796875" customWidth="1"/>
    <col min="1028" max="1028" width="30.83984375" customWidth="1"/>
    <col min="1029" max="1029" width="12.578125" bestFit="1" customWidth="1"/>
    <col min="1030" max="1052" width="11.578125" bestFit="1" customWidth="1"/>
    <col min="1281" max="1281" width="55.578125" bestFit="1" customWidth="1"/>
    <col min="1282" max="1282" width="13.41796875" bestFit="1" customWidth="1"/>
    <col min="1283" max="1283" width="37.41796875" customWidth="1"/>
    <col min="1284" max="1284" width="30.83984375" customWidth="1"/>
    <col min="1285" max="1285" width="12.578125" bestFit="1" customWidth="1"/>
    <col min="1286" max="1308" width="11.578125" bestFit="1" customWidth="1"/>
    <col min="1537" max="1537" width="55.578125" bestFit="1" customWidth="1"/>
    <col min="1538" max="1538" width="13.41796875" bestFit="1" customWidth="1"/>
    <col min="1539" max="1539" width="37.41796875" customWidth="1"/>
    <col min="1540" max="1540" width="30.83984375" customWidth="1"/>
    <col min="1541" max="1541" width="12.578125" bestFit="1" customWidth="1"/>
    <col min="1542" max="1564" width="11.578125" bestFit="1" customWidth="1"/>
    <col min="1793" max="1793" width="55.578125" bestFit="1" customWidth="1"/>
    <col min="1794" max="1794" width="13.41796875" bestFit="1" customWidth="1"/>
    <col min="1795" max="1795" width="37.41796875" customWidth="1"/>
    <col min="1796" max="1796" width="30.83984375" customWidth="1"/>
    <col min="1797" max="1797" width="12.578125" bestFit="1" customWidth="1"/>
    <col min="1798" max="1820" width="11.578125" bestFit="1" customWidth="1"/>
    <col min="2049" max="2049" width="55.578125" bestFit="1" customWidth="1"/>
    <col min="2050" max="2050" width="13.41796875" bestFit="1" customWidth="1"/>
    <col min="2051" max="2051" width="37.41796875" customWidth="1"/>
    <col min="2052" max="2052" width="30.83984375" customWidth="1"/>
    <col min="2053" max="2053" width="12.578125" bestFit="1" customWidth="1"/>
    <col min="2054" max="2076" width="11.578125" bestFit="1" customWidth="1"/>
    <col min="2305" max="2305" width="55.578125" bestFit="1" customWidth="1"/>
    <col min="2306" max="2306" width="13.41796875" bestFit="1" customWidth="1"/>
    <col min="2307" max="2307" width="37.41796875" customWidth="1"/>
    <col min="2308" max="2308" width="30.83984375" customWidth="1"/>
    <col min="2309" max="2309" width="12.578125" bestFit="1" customWidth="1"/>
    <col min="2310" max="2332" width="11.578125" bestFit="1" customWidth="1"/>
    <col min="2561" max="2561" width="55.578125" bestFit="1" customWidth="1"/>
    <col min="2562" max="2562" width="13.41796875" bestFit="1" customWidth="1"/>
    <col min="2563" max="2563" width="37.41796875" customWidth="1"/>
    <col min="2564" max="2564" width="30.83984375" customWidth="1"/>
    <col min="2565" max="2565" width="12.578125" bestFit="1" customWidth="1"/>
    <col min="2566" max="2588" width="11.578125" bestFit="1" customWidth="1"/>
    <col min="2817" max="2817" width="55.578125" bestFit="1" customWidth="1"/>
    <col min="2818" max="2818" width="13.41796875" bestFit="1" customWidth="1"/>
    <col min="2819" max="2819" width="37.41796875" customWidth="1"/>
    <col min="2820" max="2820" width="30.83984375" customWidth="1"/>
    <col min="2821" max="2821" width="12.578125" bestFit="1" customWidth="1"/>
    <col min="2822" max="2844" width="11.578125" bestFit="1" customWidth="1"/>
    <col min="3073" max="3073" width="55.578125" bestFit="1" customWidth="1"/>
    <col min="3074" max="3074" width="13.41796875" bestFit="1" customWidth="1"/>
    <col min="3075" max="3075" width="37.41796875" customWidth="1"/>
    <col min="3076" max="3076" width="30.83984375" customWidth="1"/>
    <col min="3077" max="3077" width="12.578125" bestFit="1" customWidth="1"/>
    <col min="3078" max="3100" width="11.578125" bestFit="1" customWidth="1"/>
    <col min="3329" max="3329" width="55.578125" bestFit="1" customWidth="1"/>
    <col min="3330" max="3330" width="13.41796875" bestFit="1" customWidth="1"/>
    <col min="3331" max="3331" width="37.41796875" customWidth="1"/>
    <col min="3332" max="3332" width="30.83984375" customWidth="1"/>
    <col min="3333" max="3333" width="12.578125" bestFit="1" customWidth="1"/>
    <col min="3334" max="3356" width="11.578125" bestFit="1" customWidth="1"/>
    <col min="3585" max="3585" width="55.578125" bestFit="1" customWidth="1"/>
    <col min="3586" max="3586" width="13.41796875" bestFit="1" customWidth="1"/>
    <col min="3587" max="3587" width="37.41796875" customWidth="1"/>
    <col min="3588" max="3588" width="30.83984375" customWidth="1"/>
    <col min="3589" max="3589" width="12.578125" bestFit="1" customWidth="1"/>
    <col min="3590" max="3612" width="11.578125" bestFit="1" customWidth="1"/>
    <col min="3841" max="3841" width="55.578125" bestFit="1" customWidth="1"/>
    <col min="3842" max="3842" width="13.41796875" bestFit="1" customWidth="1"/>
    <col min="3843" max="3843" width="37.41796875" customWidth="1"/>
    <col min="3844" max="3844" width="30.83984375" customWidth="1"/>
    <col min="3845" max="3845" width="12.578125" bestFit="1" customWidth="1"/>
    <col min="3846" max="3868" width="11.578125" bestFit="1" customWidth="1"/>
    <col min="4097" max="4097" width="55.578125" bestFit="1" customWidth="1"/>
    <col min="4098" max="4098" width="13.41796875" bestFit="1" customWidth="1"/>
    <col min="4099" max="4099" width="37.41796875" customWidth="1"/>
    <col min="4100" max="4100" width="30.83984375" customWidth="1"/>
    <col min="4101" max="4101" width="12.578125" bestFit="1" customWidth="1"/>
    <col min="4102" max="4124" width="11.578125" bestFit="1" customWidth="1"/>
    <col min="4353" max="4353" width="55.578125" bestFit="1" customWidth="1"/>
    <col min="4354" max="4354" width="13.41796875" bestFit="1" customWidth="1"/>
    <col min="4355" max="4355" width="37.41796875" customWidth="1"/>
    <col min="4356" max="4356" width="30.83984375" customWidth="1"/>
    <col min="4357" max="4357" width="12.578125" bestFit="1" customWidth="1"/>
    <col min="4358" max="4380" width="11.578125" bestFit="1" customWidth="1"/>
    <col min="4609" max="4609" width="55.578125" bestFit="1" customWidth="1"/>
    <col min="4610" max="4610" width="13.41796875" bestFit="1" customWidth="1"/>
    <col min="4611" max="4611" width="37.41796875" customWidth="1"/>
    <col min="4612" max="4612" width="30.83984375" customWidth="1"/>
    <col min="4613" max="4613" width="12.578125" bestFit="1" customWidth="1"/>
    <col min="4614" max="4636" width="11.578125" bestFit="1" customWidth="1"/>
    <col min="4865" max="4865" width="55.578125" bestFit="1" customWidth="1"/>
    <col min="4866" max="4866" width="13.41796875" bestFit="1" customWidth="1"/>
    <col min="4867" max="4867" width="37.41796875" customWidth="1"/>
    <col min="4868" max="4868" width="30.83984375" customWidth="1"/>
    <col min="4869" max="4869" width="12.578125" bestFit="1" customWidth="1"/>
    <col min="4870" max="4892" width="11.578125" bestFit="1" customWidth="1"/>
    <col min="5121" max="5121" width="55.578125" bestFit="1" customWidth="1"/>
    <col min="5122" max="5122" width="13.41796875" bestFit="1" customWidth="1"/>
    <col min="5123" max="5123" width="37.41796875" customWidth="1"/>
    <col min="5124" max="5124" width="30.83984375" customWidth="1"/>
    <col min="5125" max="5125" width="12.578125" bestFit="1" customWidth="1"/>
    <col min="5126" max="5148" width="11.578125" bestFit="1" customWidth="1"/>
    <col min="5377" max="5377" width="55.578125" bestFit="1" customWidth="1"/>
    <col min="5378" max="5378" width="13.41796875" bestFit="1" customWidth="1"/>
    <col min="5379" max="5379" width="37.41796875" customWidth="1"/>
    <col min="5380" max="5380" width="30.83984375" customWidth="1"/>
    <col min="5381" max="5381" width="12.578125" bestFit="1" customWidth="1"/>
    <col min="5382" max="5404" width="11.578125" bestFit="1" customWidth="1"/>
    <col min="5633" max="5633" width="55.578125" bestFit="1" customWidth="1"/>
    <col min="5634" max="5634" width="13.41796875" bestFit="1" customWidth="1"/>
    <col min="5635" max="5635" width="37.41796875" customWidth="1"/>
    <col min="5636" max="5636" width="30.83984375" customWidth="1"/>
    <col min="5637" max="5637" width="12.578125" bestFit="1" customWidth="1"/>
    <col min="5638" max="5660" width="11.578125" bestFit="1" customWidth="1"/>
    <col min="5889" max="5889" width="55.578125" bestFit="1" customWidth="1"/>
    <col min="5890" max="5890" width="13.41796875" bestFit="1" customWidth="1"/>
    <col min="5891" max="5891" width="37.41796875" customWidth="1"/>
    <col min="5892" max="5892" width="30.83984375" customWidth="1"/>
    <col min="5893" max="5893" width="12.578125" bestFit="1" customWidth="1"/>
    <col min="5894" max="5916" width="11.578125" bestFit="1" customWidth="1"/>
    <col min="6145" max="6145" width="55.578125" bestFit="1" customWidth="1"/>
    <col min="6146" max="6146" width="13.41796875" bestFit="1" customWidth="1"/>
    <col min="6147" max="6147" width="37.41796875" customWidth="1"/>
    <col min="6148" max="6148" width="30.83984375" customWidth="1"/>
    <col min="6149" max="6149" width="12.578125" bestFit="1" customWidth="1"/>
    <col min="6150" max="6172" width="11.578125" bestFit="1" customWidth="1"/>
    <col min="6401" max="6401" width="55.578125" bestFit="1" customWidth="1"/>
    <col min="6402" max="6402" width="13.41796875" bestFit="1" customWidth="1"/>
    <col min="6403" max="6403" width="37.41796875" customWidth="1"/>
    <col min="6404" max="6404" width="30.83984375" customWidth="1"/>
    <col min="6405" max="6405" width="12.578125" bestFit="1" customWidth="1"/>
    <col min="6406" max="6428" width="11.578125" bestFit="1" customWidth="1"/>
    <col min="6657" max="6657" width="55.578125" bestFit="1" customWidth="1"/>
    <col min="6658" max="6658" width="13.41796875" bestFit="1" customWidth="1"/>
    <col min="6659" max="6659" width="37.41796875" customWidth="1"/>
    <col min="6660" max="6660" width="30.83984375" customWidth="1"/>
    <col min="6661" max="6661" width="12.578125" bestFit="1" customWidth="1"/>
    <col min="6662" max="6684" width="11.578125" bestFit="1" customWidth="1"/>
    <col min="6913" max="6913" width="55.578125" bestFit="1" customWidth="1"/>
    <col min="6914" max="6914" width="13.41796875" bestFit="1" customWidth="1"/>
    <col min="6915" max="6915" width="37.41796875" customWidth="1"/>
    <col min="6916" max="6916" width="30.83984375" customWidth="1"/>
    <col min="6917" max="6917" width="12.578125" bestFit="1" customWidth="1"/>
    <col min="6918" max="6940" width="11.578125" bestFit="1" customWidth="1"/>
    <col min="7169" max="7169" width="55.578125" bestFit="1" customWidth="1"/>
    <col min="7170" max="7170" width="13.41796875" bestFit="1" customWidth="1"/>
    <col min="7171" max="7171" width="37.41796875" customWidth="1"/>
    <col min="7172" max="7172" width="30.83984375" customWidth="1"/>
    <col min="7173" max="7173" width="12.578125" bestFit="1" customWidth="1"/>
    <col min="7174" max="7196" width="11.578125" bestFit="1" customWidth="1"/>
    <col min="7425" max="7425" width="55.578125" bestFit="1" customWidth="1"/>
    <col min="7426" max="7426" width="13.41796875" bestFit="1" customWidth="1"/>
    <col min="7427" max="7427" width="37.41796875" customWidth="1"/>
    <col min="7428" max="7428" width="30.83984375" customWidth="1"/>
    <col min="7429" max="7429" width="12.578125" bestFit="1" customWidth="1"/>
    <col min="7430" max="7452" width="11.578125" bestFit="1" customWidth="1"/>
    <col min="7681" max="7681" width="55.578125" bestFit="1" customWidth="1"/>
    <col min="7682" max="7682" width="13.41796875" bestFit="1" customWidth="1"/>
    <col min="7683" max="7683" width="37.41796875" customWidth="1"/>
    <col min="7684" max="7684" width="30.83984375" customWidth="1"/>
    <col min="7685" max="7685" width="12.578125" bestFit="1" customWidth="1"/>
    <col min="7686" max="7708" width="11.578125" bestFit="1" customWidth="1"/>
    <col min="7937" max="7937" width="55.578125" bestFit="1" customWidth="1"/>
    <col min="7938" max="7938" width="13.41796875" bestFit="1" customWidth="1"/>
    <col min="7939" max="7939" width="37.41796875" customWidth="1"/>
    <col min="7940" max="7940" width="30.83984375" customWidth="1"/>
    <col min="7941" max="7941" width="12.578125" bestFit="1" customWidth="1"/>
    <col min="7942" max="7964" width="11.578125" bestFit="1" customWidth="1"/>
    <col min="8193" max="8193" width="55.578125" bestFit="1" customWidth="1"/>
    <col min="8194" max="8194" width="13.41796875" bestFit="1" customWidth="1"/>
    <col min="8195" max="8195" width="37.41796875" customWidth="1"/>
    <col min="8196" max="8196" width="30.83984375" customWidth="1"/>
    <col min="8197" max="8197" width="12.578125" bestFit="1" customWidth="1"/>
    <col min="8198" max="8220" width="11.578125" bestFit="1" customWidth="1"/>
    <col min="8449" max="8449" width="55.578125" bestFit="1" customWidth="1"/>
    <col min="8450" max="8450" width="13.41796875" bestFit="1" customWidth="1"/>
    <col min="8451" max="8451" width="37.41796875" customWidth="1"/>
    <col min="8452" max="8452" width="30.83984375" customWidth="1"/>
    <col min="8453" max="8453" width="12.578125" bestFit="1" customWidth="1"/>
    <col min="8454" max="8476" width="11.578125" bestFit="1" customWidth="1"/>
    <col min="8705" max="8705" width="55.578125" bestFit="1" customWidth="1"/>
    <col min="8706" max="8706" width="13.41796875" bestFit="1" customWidth="1"/>
    <col min="8707" max="8707" width="37.41796875" customWidth="1"/>
    <col min="8708" max="8708" width="30.83984375" customWidth="1"/>
    <col min="8709" max="8709" width="12.578125" bestFit="1" customWidth="1"/>
    <col min="8710" max="8732" width="11.578125" bestFit="1" customWidth="1"/>
    <col min="8961" max="8961" width="55.578125" bestFit="1" customWidth="1"/>
    <col min="8962" max="8962" width="13.41796875" bestFit="1" customWidth="1"/>
    <col min="8963" max="8963" width="37.41796875" customWidth="1"/>
    <col min="8964" max="8964" width="30.83984375" customWidth="1"/>
    <col min="8965" max="8965" width="12.578125" bestFit="1" customWidth="1"/>
    <col min="8966" max="8988" width="11.578125" bestFit="1" customWidth="1"/>
    <col min="9217" max="9217" width="55.578125" bestFit="1" customWidth="1"/>
    <col min="9218" max="9218" width="13.41796875" bestFit="1" customWidth="1"/>
    <col min="9219" max="9219" width="37.41796875" customWidth="1"/>
    <col min="9220" max="9220" width="30.83984375" customWidth="1"/>
    <col min="9221" max="9221" width="12.578125" bestFit="1" customWidth="1"/>
    <col min="9222" max="9244" width="11.578125" bestFit="1" customWidth="1"/>
    <col min="9473" max="9473" width="55.578125" bestFit="1" customWidth="1"/>
    <col min="9474" max="9474" width="13.41796875" bestFit="1" customWidth="1"/>
    <col min="9475" max="9475" width="37.41796875" customWidth="1"/>
    <col min="9476" max="9476" width="30.83984375" customWidth="1"/>
    <col min="9477" max="9477" width="12.578125" bestFit="1" customWidth="1"/>
    <col min="9478" max="9500" width="11.578125" bestFit="1" customWidth="1"/>
    <col min="9729" max="9729" width="55.578125" bestFit="1" customWidth="1"/>
    <col min="9730" max="9730" width="13.41796875" bestFit="1" customWidth="1"/>
    <col min="9731" max="9731" width="37.41796875" customWidth="1"/>
    <col min="9732" max="9732" width="30.83984375" customWidth="1"/>
    <col min="9733" max="9733" width="12.578125" bestFit="1" customWidth="1"/>
    <col min="9734" max="9756" width="11.578125" bestFit="1" customWidth="1"/>
    <col min="9985" max="9985" width="55.578125" bestFit="1" customWidth="1"/>
    <col min="9986" max="9986" width="13.41796875" bestFit="1" customWidth="1"/>
    <col min="9987" max="9987" width="37.41796875" customWidth="1"/>
    <col min="9988" max="9988" width="30.83984375" customWidth="1"/>
    <col min="9989" max="9989" width="12.578125" bestFit="1" customWidth="1"/>
    <col min="9990" max="10012" width="11.578125" bestFit="1" customWidth="1"/>
    <col min="10241" max="10241" width="55.578125" bestFit="1" customWidth="1"/>
    <col min="10242" max="10242" width="13.41796875" bestFit="1" customWidth="1"/>
    <col min="10243" max="10243" width="37.41796875" customWidth="1"/>
    <col min="10244" max="10244" width="30.83984375" customWidth="1"/>
    <col min="10245" max="10245" width="12.578125" bestFit="1" customWidth="1"/>
    <col min="10246" max="10268" width="11.578125" bestFit="1" customWidth="1"/>
    <col min="10497" max="10497" width="55.578125" bestFit="1" customWidth="1"/>
    <col min="10498" max="10498" width="13.41796875" bestFit="1" customWidth="1"/>
    <col min="10499" max="10499" width="37.41796875" customWidth="1"/>
    <col min="10500" max="10500" width="30.83984375" customWidth="1"/>
    <col min="10501" max="10501" width="12.578125" bestFit="1" customWidth="1"/>
    <col min="10502" max="10524" width="11.578125" bestFit="1" customWidth="1"/>
    <col min="10753" max="10753" width="55.578125" bestFit="1" customWidth="1"/>
    <col min="10754" max="10754" width="13.41796875" bestFit="1" customWidth="1"/>
    <col min="10755" max="10755" width="37.41796875" customWidth="1"/>
    <col min="10756" max="10756" width="30.83984375" customWidth="1"/>
    <col min="10757" max="10757" width="12.578125" bestFit="1" customWidth="1"/>
    <col min="10758" max="10780" width="11.578125" bestFit="1" customWidth="1"/>
    <col min="11009" max="11009" width="55.578125" bestFit="1" customWidth="1"/>
    <col min="11010" max="11010" width="13.41796875" bestFit="1" customWidth="1"/>
    <col min="11011" max="11011" width="37.41796875" customWidth="1"/>
    <col min="11012" max="11012" width="30.83984375" customWidth="1"/>
    <col min="11013" max="11013" width="12.578125" bestFit="1" customWidth="1"/>
    <col min="11014" max="11036" width="11.578125" bestFit="1" customWidth="1"/>
    <col min="11265" max="11265" width="55.578125" bestFit="1" customWidth="1"/>
    <col min="11266" max="11266" width="13.41796875" bestFit="1" customWidth="1"/>
    <col min="11267" max="11267" width="37.41796875" customWidth="1"/>
    <col min="11268" max="11268" width="30.83984375" customWidth="1"/>
    <col min="11269" max="11269" width="12.578125" bestFit="1" customWidth="1"/>
    <col min="11270" max="11292" width="11.578125" bestFit="1" customWidth="1"/>
    <col min="11521" max="11521" width="55.578125" bestFit="1" customWidth="1"/>
    <col min="11522" max="11522" width="13.41796875" bestFit="1" customWidth="1"/>
    <col min="11523" max="11523" width="37.41796875" customWidth="1"/>
    <col min="11524" max="11524" width="30.83984375" customWidth="1"/>
    <col min="11525" max="11525" width="12.578125" bestFit="1" customWidth="1"/>
    <col min="11526" max="11548" width="11.578125" bestFit="1" customWidth="1"/>
    <col min="11777" max="11777" width="55.578125" bestFit="1" customWidth="1"/>
    <col min="11778" max="11778" width="13.41796875" bestFit="1" customWidth="1"/>
    <col min="11779" max="11779" width="37.41796875" customWidth="1"/>
    <col min="11780" max="11780" width="30.83984375" customWidth="1"/>
    <col min="11781" max="11781" width="12.578125" bestFit="1" customWidth="1"/>
    <col min="11782" max="11804" width="11.578125" bestFit="1" customWidth="1"/>
    <col min="12033" max="12033" width="55.578125" bestFit="1" customWidth="1"/>
    <col min="12034" max="12034" width="13.41796875" bestFit="1" customWidth="1"/>
    <col min="12035" max="12035" width="37.41796875" customWidth="1"/>
    <col min="12036" max="12036" width="30.83984375" customWidth="1"/>
    <col min="12037" max="12037" width="12.578125" bestFit="1" customWidth="1"/>
    <col min="12038" max="12060" width="11.578125" bestFit="1" customWidth="1"/>
    <col min="12289" max="12289" width="55.578125" bestFit="1" customWidth="1"/>
    <col min="12290" max="12290" width="13.41796875" bestFit="1" customWidth="1"/>
    <col min="12291" max="12291" width="37.41796875" customWidth="1"/>
    <col min="12292" max="12292" width="30.83984375" customWidth="1"/>
    <col min="12293" max="12293" width="12.578125" bestFit="1" customWidth="1"/>
    <col min="12294" max="12316" width="11.578125" bestFit="1" customWidth="1"/>
    <col min="12545" max="12545" width="55.578125" bestFit="1" customWidth="1"/>
    <col min="12546" max="12546" width="13.41796875" bestFit="1" customWidth="1"/>
    <col min="12547" max="12547" width="37.41796875" customWidth="1"/>
    <col min="12548" max="12548" width="30.83984375" customWidth="1"/>
    <col min="12549" max="12549" width="12.578125" bestFit="1" customWidth="1"/>
    <col min="12550" max="12572" width="11.578125" bestFit="1" customWidth="1"/>
    <col min="12801" max="12801" width="55.578125" bestFit="1" customWidth="1"/>
    <col min="12802" max="12802" width="13.41796875" bestFit="1" customWidth="1"/>
    <col min="12803" max="12803" width="37.41796875" customWidth="1"/>
    <col min="12804" max="12804" width="30.83984375" customWidth="1"/>
    <col min="12805" max="12805" width="12.578125" bestFit="1" customWidth="1"/>
    <col min="12806" max="12828" width="11.578125" bestFit="1" customWidth="1"/>
    <col min="13057" max="13057" width="55.578125" bestFit="1" customWidth="1"/>
    <col min="13058" max="13058" width="13.41796875" bestFit="1" customWidth="1"/>
    <col min="13059" max="13059" width="37.41796875" customWidth="1"/>
    <col min="13060" max="13060" width="30.83984375" customWidth="1"/>
    <col min="13061" max="13061" width="12.578125" bestFit="1" customWidth="1"/>
    <col min="13062" max="13084" width="11.578125" bestFit="1" customWidth="1"/>
    <col min="13313" max="13313" width="55.578125" bestFit="1" customWidth="1"/>
    <col min="13314" max="13314" width="13.41796875" bestFit="1" customWidth="1"/>
    <col min="13315" max="13315" width="37.41796875" customWidth="1"/>
    <col min="13316" max="13316" width="30.83984375" customWidth="1"/>
    <col min="13317" max="13317" width="12.578125" bestFit="1" customWidth="1"/>
    <col min="13318" max="13340" width="11.578125" bestFit="1" customWidth="1"/>
    <col min="13569" max="13569" width="55.578125" bestFit="1" customWidth="1"/>
    <col min="13570" max="13570" width="13.41796875" bestFit="1" customWidth="1"/>
    <col min="13571" max="13571" width="37.41796875" customWidth="1"/>
    <col min="13572" max="13572" width="30.83984375" customWidth="1"/>
    <col min="13573" max="13573" width="12.578125" bestFit="1" customWidth="1"/>
    <col min="13574" max="13596" width="11.578125" bestFit="1" customWidth="1"/>
    <col min="13825" max="13825" width="55.578125" bestFit="1" customWidth="1"/>
    <col min="13826" max="13826" width="13.41796875" bestFit="1" customWidth="1"/>
    <col min="13827" max="13827" width="37.41796875" customWidth="1"/>
    <col min="13828" max="13828" width="30.83984375" customWidth="1"/>
    <col min="13829" max="13829" width="12.578125" bestFit="1" customWidth="1"/>
    <col min="13830" max="13852" width="11.578125" bestFit="1" customWidth="1"/>
    <col min="14081" max="14081" width="55.578125" bestFit="1" customWidth="1"/>
    <col min="14082" max="14082" width="13.41796875" bestFit="1" customWidth="1"/>
    <col min="14083" max="14083" width="37.41796875" customWidth="1"/>
    <col min="14084" max="14084" width="30.83984375" customWidth="1"/>
    <col min="14085" max="14085" width="12.578125" bestFit="1" customWidth="1"/>
    <col min="14086" max="14108" width="11.578125" bestFit="1" customWidth="1"/>
    <col min="14337" max="14337" width="55.578125" bestFit="1" customWidth="1"/>
    <col min="14338" max="14338" width="13.41796875" bestFit="1" customWidth="1"/>
    <col min="14339" max="14339" width="37.41796875" customWidth="1"/>
    <col min="14340" max="14340" width="30.83984375" customWidth="1"/>
    <col min="14341" max="14341" width="12.578125" bestFit="1" customWidth="1"/>
    <col min="14342" max="14364" width="11.578125" bestFit="1" customWidth="1"/>
    <col min="14593" max="14593" width="55.578125" bestFit="1" customWidth="1"/>
    <col min="14594" max="14594" width="13.41796875" bestFit="1" customWidth="1"/>
    <col min="14595" max="14595" width="37.41796875" customWidth="1"/>
    <col min="14596" max="14596" width="30.83984375" customWidth="1"/>
    <col min="14597" max="14597" width="12.578125" bestFit="1" customWidth="1"/>
    <col min="14598" max="14620" width="11.578125" bestFit="1" customWidth="1"/>
    <col min="14849" max="14849" width="55.578125" bestFit="1" customWidth="1"/>
    <col min="14850" max="14850" width="13.41796875" bestFit="1" customWidth="1"/>
    <col min="14851" max="14851" width="37.41796875" customWidth="1"/>
    <col min="14852" max="14852" width="30.83984375" customWidth="1"/>
    <col min="14853" max="14853" width="12.578125" bestFit="1" customWidth="1"/>
    <col min="14854" max="14876" width="11.578125" bestFit="1" customWidth="1"/>
    <col min="15105" max="15105" width="55.578125" bestFit="1" customWidth="1"/>
    <col min="15106" max="15106" width="13.41796875" bestFit="1" customWidth="1"/>
    <col min="15107" max="15107" width="37.41796875" customWidth="1"/>
    <col min="15108" max="15108" width="30.83984375" customWidth="1"/>
    <col min="15109" max="15109" width="12.578125" bestFit="1" customWidth="1"/>
    <col min="15110" max="15132" width="11.578125" bestFit="1" customWidth="1"/>
    <col min="15361" max="15361" width="55.578125" bestFit="1" customWidth="1"/>
    <col min="15362" max="15362" width="13.41796875" bestFit="1" customWidth="1"/>
    <col min="15363" max="15363" width="37.41796875" customWidth="1"/>
    <col min="15364" max="15364" width="30.83984375" customWidth="1"/>
    <col min="15365" max="15365" width="12.578125" bestFit="1" customWidth="1"/>
    <col min="15366" max="15388" width="11.578125" bestFit="1" customWidth="1"/>
    <col min="15617" max="15617" width="55.578125" bestFit="1" customWidth="1"/>
    <col min="15618" max="15618" width="13.41796875" bestFit="1" customWidth="1"/>
    <col min="15619" max="15619" width="37.41796875" customWidth="1"/>
    <col min="15620" max="15620" width="30.83984375" customWidth="1"/>
    <col min="15621" max="15621" width="12.578125" bestFit="1" customWidth="1"/>
    <col min="15622" max="15644" width="11.578125" bestFit="1" customWidth="1"/>
    <col min="15873" max="15873" width="55.578125" bestFit="1" customWidth="1"/>
    <col min="15874" max="15874" width="13.41796875" bestFit="1" customWidth="1"/>
    <col min="15875" max="15875" width="37.41796875" customWidth="1"/>
    <col min="15876" max="15876" width="30.83984375" customWidth="1"/>
    <col min="15877" max="15877" width="12.578125" bestFit="1" customWidth="1"/>
    <col min="15878" max="15900" width="11.578125" bestFit="1" customWidth="1"/>
    <col min="16129" max="16129" width="55.578125" bestFit="1" customWidth="1"/>
    <col min="16130" max="16130" width="13.41796875" bestFit="1" customWidth="1"/>
    <col min="16131" max="16131" width="37.41796875" customWidth="1"/>
    <col min="16132" max="16132" width="30.83984375" customWidth="1"/>
    <col min="16133" max="16133" width="12.578125" bestFit="1" customWidth="1"/>
    <col min="16134" max="16156" width="11.578125" bestFit="1" customWidth="1"/>
  </cols>
  <sheetData>
    <row r="1" spans="1:29" x14ac:dyDescent="0.55000000000000004">
      <c r="A1" s="87" t="s">
        <v>117</v>
      </c>
      <c r="B1" s="87"/>
      <c r="C1" s="87"/>
      <c r="D1" s="87"/>
      <c r="E1" s="87"/>
      <c r="F1" s="87"/>
      <c r="G1" s="87"/>
      <c r="H1" s="87"/>
      <c r="I1" s="87"/>
      <c r="J1" s="87"/>
      <c r="K1" s="87"/>
      <c r="L1" s="87"/>
      <c r="M1" s="87"/>
      <c r="N1" s="87"/>
      <c r="O1" s="87"/>
      <c r="P1" s="87"/>
      <c r="Q1" s="87"/>
      <c r="R1" s="87"/>
      <c r="S1" s="87"/>
      <c r="T1" s="87"/>
      <c r="U1" s="87"/>
      <c r="V1" s="87"/>
      <c r="W1" s="87"/>
      <c r="X1" s="87"/>
      <c r="Y1" s="87"/>
      <c r="Z1" s="87"/>
      <c r="AA1" s="87"/>
      <c r="AB1" s="87"/>
    </row>
    <row r="2" spans="1:29" x14ac:dyDescent="0.55000000000000004">
      <c r="A2" s="87" t="s">
        <v>116</v>
      </c>
      <c r="B2" s="87"/>
      <c r="C2" s="87"/>
      <c r="D2" s="87"/>
      <c r="E2" s="87"/>
      <c r="F2" s="87"/>
      <c r="G2" s="87"/>
      <c r="H2" s="87"/>
      <c r="I2" s="87"/>
      <c r="J2" s="87"/>
      <c r="K2" s="87"/>
      <c r="L2" s="87"/>
      <c r="M2" s="87"/>
      <c r="N2" s="87"/>
      <c r="O2" s="87"/>
      <c r="P2" s="87"/>
      <c r="Q2" s="87"/>
      <c r="R2" s="87"/>
      <c r="S2" s="87"/>
      <c r="T2" s="87"/>
      <c r="U2" s="87"/>
      <c r="V2" s="87"/>
      <c r="W2" s="87"/>
      <c r="X2" s="87"/>
      <c r="Y2" s="87"/>
      <c r="Z2" s="87"/>
      <c r="AA2" s="87"/>
      <c r="AB2" s="87"/>
    </row>
    <row r="3" spans="1:29" x14ac:dyDescent="0.55000000000000004">
      <c r="A3" s="87"/>
      <c r="B3" s="87"/>
      <c r="C3" s="87"/>
      <c r="D3" s="87"/>
      <c r="E3" s="87"/>
      <c r="F3" s="87"/>
      <c r="G3" s="87"/>
      <c r="H3" s="87"/>
      <c r="I3" s="87"/>
      <c r="J3" s="87"/>
      <c r="K3" s="87"/>
      <c r="L3" s="87"/>
      <c r="M3" s="87"/>
      <c r="N3" s="87"/>
      <c r="O3" s="87"/>
      <c r="P3" s="87"/>
      <c r="Q3" s="87"/>
      <c r="R3" s="87"/>
      <c r="S3" s="87"/>
      <c r="T3" s="87"/>
      <c r="U3" s="87"/>
      <c r="V3" s="87"/>
      <c r="W3" s="87"/>
      <c r="X3" s="87"/>
      <c r="Y3" s="87"/>
      <c r="Z3" s="87"/>
      <c r="AA3" s="87"/>
      <c r="AB3" s="87"/>
    </row>
    <row r="4" spans="1:29" x14ac:dyDescent="0.55000000000000004">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row>
    <row r="5" spans="1:29" x14ac:dyDescent="0.55000000000000004">
      <c r="C5" s="88" t="s">
        <v>118</v>
      </c>
      <c r="D5" s="88" t="s">
        <v>119</v>
      </c>
      <c r="E5" s="97" t="s">
        <v>120</v>
      </c>
      <c r="F5" s="97" t="s">
        <v>121</v>
      </c>
      <c r="G5" s="97" t="s">
        <v>122</v>
      </c>
      <c r="H5" s="97" t="s">
        <v>123</v>
      </c>
      <c r="I5" s="97" t="s">
        <v>124</v>
      </c>
      <c r="J5" s="97" t="s">
        <v>125</v>
      </c>
      <c r="K5" s="97" t="s">
        <v>126</v>
      </c>
      <c r="L5" s="97" t="s">
        <v>127</v>
      </c>
      <c r="M5" s="97" t="s">
        <v>128</v>
      </c>
      <c r="N5" s="97" t="s">
        <v>129</v>
      </c>
      <c r="O5" s="97" t="s">
        <v>130</v>
      </c>
      <c r="P5" s="97" t="s">
        <v>131</v>
      </c>
      <c r="Q5" s="97" t="s">
        <v>132</v>
      </c>
      <c r="R5" s="97" t="s">
        <v>133</v>
      </c>
      <c r="S5" s="97" t="s">
        <v>134</v>
      </c>
      <c r="T5" s="97" t="s">
        <v>135</v>
      </c>
      <c r="U5" s="97" t="s">
        <v>136</v>
      </c>
      <c r="V5" s="97" t="s">
        <v>137</v>
      </c>
      <c r="W5" s="97" t="s">
        <v>138</v>
      </c>
      <c r="X5" s="97" t="s">
        <v>139</v>
      </c>
      <c r="Y5" s="97" t="s">
        <v>140</v>
      </c>
      <c r="Z5" s="97" t="s">
        <v>141</v>
      </c>
      <c r="AA5" s="97" t="s">
        <v>142</v>
      </c>
      <c r="AB5" s="97" t="s">
        <v>143</v>
      </c>
      <c r="AC5" s="97" t="s">
        <v>929</v>
      </c>
    </row>
    <row r="6" spans="1:29" x14ac:dyDescent="0.55000000000000004">
      <c r="A6" s="49" t="s">
        <v>144</v>
      </c>
      <c r="B6" s="49" t="s">
        <v>145</v>
      </c>
      <c r="C6" s="49" t="s">
        <v>146</v>
      </c>
      <c r="D6" s="49" t="s">
        <v>147</v>
      </c>
      <c r="E6" s="67">
        <v>370</v>
      </c>
      <c r="F6" s="67">
        <v>62</v>
      </c>
      <c r="G6" s="67">
        <v>81</v>
      </c>
      <c r="H6" s="67">
        <v>103</v>
      </c>
      <c r="I6" s="67">
        <v>124</v>
      </c>
      <c r="J6" s="67">
        <v>106</v>
      </c>
      <c r="K6" s="67">
        <v>77</v>
      </c>
      <c r="L6" s="67">
        <v>58</v>
      </c>
      <c r="M6" s="67">
        <v>144</v>
      </c>
      <c r="N6" s="67">
        <v>116</v>
      </c>
      <c r="O6" s="67">
        <v>68</v>
      </c>
      <c r="P6" s="95">
        <v>6</v>
      </c>
      <c r="Q6" s="67">
        <v>66</v>
      </c>
      <c r="R6" s="67">
        <v>7</v>
      </c>
      <c r="S6" s="67">
        <v>132</v>
      </c>
      <c r="T6" s="67">
        <v>-106</v>
      </c>
      <c r="U6" s="67">
        <v>156</v>
      </c>
      <c r="V6" s="67">
        <v>6</v>
      </c>
      <c r="W6" s="67">
        <v>-67</v>
      </c>
      <c r="X6" s="67">
        <v>-60</v>
      </c>
      <c r="Y6" s="67">
        <v>114</v>
      </c>
      <c r="Z6" s="67">
        <v>161</v>
      </c>
      <c r="AA6" s="67">
        <v>245</v>
      </c>
      <c r="AB6" s="67">
        <v>123</v>
      </c>
      <c r="AC6" s="67">
        <v>0</v>
      </c>
    </row>
    <row r="7" spans="1:29" x14ac:dyDescent="0.55000000000000004">
      <c r="A7" s="49" t="s">
        <v>148</v>
      </c>
      <c r="B7" s="49" t="s">
        <v>149</v>
      </c>
      <c r="C7" s="49" t="s">
        <v>150</v>
      </c>
      <c r="D7" s="49" t="s">
        <v>147</v>
      </c>
      <c r="E7" s="68">
        <v>221</v>
      </c>
      <c r="F7" s="68">
        <v>283</v>
      </c>
      <c r="G7" s="68">
        <v>322</v>
      </c>
      <c r="H7" s="68">
        <v>78</v>
      </c>
      <c r="I7" s="68">
        <v>5</v>
      </c>
      <c r="J7" s="68">
        <v>104</v>
      </c>
      <c r="K7" s="68">
        <v>32</v>
      </c>
      <c r="L7" s="68">
        <v>251</v>
      </c>
      <c r="M7" s="68">
        <v>483</v>
      </c>
      <c r="N7" s="68">
        <v>486</v>
      </c>
      <c r="O7" s="68">
        <v>567</v>
      </c>
      <c r="P7" s="96">
        <v>559</v>
      </c>
      <c r="Q7" s="68">
        <v>226</v>
      </c>
      <c r="R7" s="68">
        <v>180</v>
      </c>
      <c r="S7" s="68">
        <v>178</v>
      </c>
      <c r="T7" s="68">
        <v>113</v>
      </c>
      <c r="U7" s="68">
        <v>820</v>
      </c>
      <c r="V7" s="68">
        <v>372</v>
      </c>
      <c r="W7" s="68">
        <v>207</v>
      </c>
      <c r="X7" s="68">
        <v>221</v>
      </c>
      <c r="Y7" s="68">
        <v>160</v>
      </c>
      <c r="Z7" s="68">
        <v>101</v>
      </c>
      <c r="AA7" s="68">
        <v>53</v>
      </c>
      <c r="AB7" s="68">
        <v>1109</v>
      </c>
      <c r="AC7" s="68">
        <v>0</v>
      </c>
    </row>
    <row r="8" spans="1:29" x14ac:dyDescent="0.55000000000000004">
      <c r="A8" s="49" t="s">
        <v>151</v>
      </c>
      <c r="B8" s="49" t="s">
        <v>152</v>
      </c>
      <c r="C8" s="49" t="s">
        <v>153</v>
      </c>
      <c r="D8" s="49" t="s">
        <v>147</v>
      </c>
      <c r="E8" s="68">
        <v>0</v>
      </c>
      <c r="F8" s="68">
        <v>0</v>
      </c>
      <c r="G8" s="68">
        <v>0</v>
      </c>
      <c r="H8" s="68">
        <v>0</v>
      </c>
      <c r="I8" s="68">
        <v>0</v>
      </c>
      <c r="J8" s="68">
        <v>0</v>
      </c>
      <c r="K8" s="68">
        <v>0</v>
      </c>
      <c r="L8" s="68">
        <v>0</v>
      </c>
      <c r="M8" s="68">
        <v>0</v>
      </c>
      <c r="N8" s="68">
        <v>0</v>
      </c>
      <c r="O8" s="68">
        <v>0</v>
      </c>
      <c r="P8" s="96">
        <v>0</v>
      </c>
      <c r="Q8" s="68">
        <v>191</v>
      </c>
      <c r="R8" s="68">
        <v>0</v>
      </c>
      <c r="S8" s="68">
        <v>280</v>
      </c>
      <c r="T8" s="68">
        <v>0</v>
      </c>
      <c r="U8" s="68">
        <v>0</v>
      </c>
      <c r="V8" s="68">
        <v>0</v>
      </c>
      <c r="W8" s="68">
        <v>0</v>
      </c>
      <c r="X8" s="68">
        <v>78</v>
      </c>
      <c r="Y8" s="68">
        <v>0</v>
      </c>
      <c r="Z8" s="68">
        <v>0</v>
      </c>
      <c r="AA8" s="68">
        <v>74</v>
      </c>
      <c r="AB8" s="68">
        <v>0</v>
      </c>
      <c r="AC8" s="68">
        <v>0</v>
      </c>
    </row>
    <row r="9" spans="1:29" x14ac:dyDescent="0.55000000000000004">
      <c r="A9" s="49" t="s">
        <v>154</v>
      </c>
      <c r="B9" s="49" t="s">
        <v>155</v>
      </c>
      <c r="C9" s="49" t="s">
        <v>156</v>
      </c>
      <c r="D9" s="49" t="s">
        <v>147</v>
      </c>
      <c r="E9" s="68">
        <v>1158</v>
      </c>
      <c r="F9" s="68">
        <v>654</v>
      </c>
      <c r="G9" s="68">
        <v>856</v>
      </c>
      <c r="H9" s="68">
        <v>644</v>
      </c>
      <c r="I9" s="68">
        <v>982</v>
      </c>
      <c r="J9" s="68">
        <v>1185</v>
      </c>
      <c r="K9" s="68">
        <v>1008</v>
      </c>
      <c r="L9" s="68">
        <v>795</v>
      </c>
      <c r="M9" s="68">
        <v>734</v>
      </c>
      <c r="N9" s="68">
        <v>811</v>
      </c>
      <c r="O9" s="68">
        <v>420</v>
      </c>
      <c r="P9" s="96">
        <v>1109</v>
      </c>
      <c r="Q9" s="68">
        <v>183</v>
      </c>
      <c r="R9" s="68">
        <v>481</v>
      </c>
      <c r="S9" s="68">
        <v>532</v>
      </c>
      <c r="T9" s="68">
        <v>566</v>
      </c>
      <c r="U9" s="68">
        <v>796</v>
      </c>
      <c r="V9" s="68">
        <v>663</v>
      </c>
      <c r="W9" s="68">
        <v>585</v>
      </c>
      <c r="X9" s="68">
        <v>640</v>
      </c>
      <c r="Y9" s="68">
        <v>806</v>
      </c>
      <c r="Z9" s="68">
        <v>1017</v>
      </c>
      <c r="AA9" s="68">
        <v>526</v>
      </c>
      <c r="AB9" s="68">
        <v>287</v>
      </c>
      <c r="AC9" s="68">
        <v>0</v>
      </c>
    </row>
    <row r="10" spans="1:29" x14ac:dyDescent="0.55000000000000004">
      <c r="A10" s="49" t="s">
        <v>157</v>
      </c>
      <c r="B10" s="49" t="s">
        <v>158</v>
      </c>
      <c r="C10" s="49" t="s">
        <v>159</v>
      </c>
      <c r="D10" s="49" t="s">
        <v>147</v>
      </c>
      <c r="E10" s="68">
        <v>189</v>
      </c>
      <c r="F10" s="68">
        <v>217</v>
      </c>
      <c r="G10" s="68">
        <v>2164</v>
      </c>
      <c r="H10" s="68">
        <v>305</v>
      </c>
      <c r="I10" s="68">
        <v>109</v>
      </c>
      <c r="J10" s="68">
        <v>0</v>
      </c>
      <c r="K10" s="68">
        <v>174</v>
      </c>
      <c r="L10" s="68">
        <v>198</v>
      </c>
      <c r="M10" s="68">
        <v>330</v>
      </c>
      <c r="N10" s="68">
        <v>1263</v>
      </c>
      <c r="O10" s="68">
        <v>93</v>
      </c>
      <c r="P10" s="96">
        <v>41</v>
      </c>
      <c r="Q10" s="68">
        <v>1940</v>
      </c>
      <c r="R10" s="68">
        <v>739</v>
      </c>
      <c r="S10" s="68">
        <v>62</v>
      </c>
      <c r="T10" s="68">
        <v>432</v>
      </c>
      <c r="U10" s="68">
        <v>43</v>
      </c>
      <c r="V10" s="68">
        <v>637</v>
      </c>
      <c r="W10" s="68">
        <v>370</v>
      </c>
      <c r="X10" s="68">
        <v>2051</v>
      </c>
      <c r="Y10" s="68">
        <v>2048</v>
      </c>
      <c r="Z10" s="68">
        <v>1765</v>
      </c>
      <c r="AA10" s="68">
        <v>2374</v>
      </c>
      <c r="AB10" s="68">
        <v>1029</v>
      </c>
      <c r="AC10" s="68">
        <v>0</v>
      </c>
    </row>
    <row r="11" spans="1:29" x14ac:dyDescent="0.55000000000000004">
      <c r="A11" s="49" t="s">
        <v>160</v>
      </c>
      <c r="B11" s="49" t="s">
        <v>161</v>
      </c>
      <c r="C11" s="49" t="s">
        <v>159</v>
      </c>
      <c r="D11" s="49" t="s">
        <v>147</v>
      </c>
      <c r="E11" s="68">
        <v>613</v>
      </c>
      <c r="F11" s="68">
        <v>1351</v>
      </c>
      <c r="G11" s="68">
        <v>0</v>
      </c>
      <c r="H11" s="68">
        <v>1209</v>
      </c>
      <c r="I11" s="68">
        <v>1430</v>
      </c>
      <c r="J11" s="68">
        <v>0</v>
      </c>
      <c r="K11" s="68">
        <v>524</v>
      </c>
      <c r="L11" s="68">
        <v>2635</v>
      </c>
      <c r="M11" s="68">
        <v>0</v>
      </c>
      <c r="N11" s="68">
        <v>0</v>
      </c>
      <c r="O11" s="68">
        <v>459</v>
      </c>
      <c r="P11" s="96">
        <v>366</v>
      </c>
      <c r="Q11" s="68">
        <v>0</v>
      </c>
      <c r="R11" s="68">
        <v>0</v>
      </c>
      <c r="S11" s="68">
        <v>1359</v>
      </c>
      <c r="T11" s="68">
        <v>0</v>
      </c>
      <c r="U11" s="68">
        <v>0</v>
      </c>
      <c r="V11" s="68">
        <v>0</v>
      </c>
      <c r="W11" s="68">
        <v>1499</v>
      </c>
      <c r="X11" s="68">
        <v>0</v>
      </c>
      <c r="Y11" s="68">
        <v>1</v>
      </c>
      <c r="Z11" s="68">
        <v>0</v>
      </c>
      <c r="AA11" s="68">
        <v>0</v>
      </c>
      <c r="AB11" s="68">
        <v>0</v>
      </c>
      <c r="AC11" s="68">
        <v>0</v>
      </c>
    </row>
    <row r="12" spans="1:29" x14ac:dyDescent="0.55000000000000004">
      <c r="A12" s="49" t="s">
        <v>162</v>
      </c>
      <c r="B12" s="49" t="s">
        <v>163</v>
      </c>
      <c r="C12" s="49" t="s">
        <v>159</v>
      </c>
      <c r="D12" s="49" t="s">
        <v>147</v>
      </c>
      <c r="E12" s="68">
        <v>9</v>
      </c>
      <c r="F12" s="68">
        <v>33</v>
      </c>
      <c r="G12" s="68">
        <v>0</v>
      </c>
      <c r="H12" s="68">
        <v>24</v>
      </c>
      <c r="I12" s="68">
        <v>52</v>
      </c>
      <c r="J12" s="68">
        <v>0</v>
      </c>
      <c r="K12" s="68">
        <v>10</v>
      </c>
      <c r="L12" s="68">
        <v>96</v>
      </c>
      <c r="M12" s="68">
        <v>0</v>
      </c>
      <c r="N12" s="68">
        <v>0</v>
      </c>
      <c r="O12" s="68">
        <v>29</v>
      </c>
      <c r="P12" s="96">
        <v>0</v>
      </c>
      <c r="Q12" s="68">
        <v>0</v>
      </c>
      <c r="R12" s="68">
        <v>0</v>
      </c>
      <c r="S12" s="68">
        <v>34</v>
      </c>
      <c r="T12" s="68">
        <v>0</v>
      </c>
      <c r="U12" s="68">
        <v>0</v>
      </c>
      <c r="V12" s="68">
        <v>0</v>
      </c>
      <c r="W12" s="68">
        <v>13</v>
      </c>
      <c r="X12" s="68">
        <v>0</v>
      </c>
      <c r="Y12" s="68">
        <v>0</v>
      </c>
      <c r="Z12" s="68">
        <v>0</v>
      </c>
      <c r="AA12" s="68">
        <v>0</v>
      </c>
      <c r="AB12" s="68">
        <v>0</v>
      </c>
      <c r="AC12" s="68">
        <v>0</v>
      </c>
    </row>
    <row r="13" spans="1:29" x14ac:dyDescent="0.55000000000000004">
      <c r="A13" s="49" t="s">
        <v>164</v>
      </c>
      <c r="B13" s="49" t="s">
        <v>165</v>
      </c>
      <c r="C13" s="49" t="s">
        <v>166</v>
      </c>
      <c r="D13" s="49" t="s">
        <v>147</v>
      </c>
      <c r="E13" s="68">
        <v>130</v>
      </c>
      <c r="F13" s="68">
        <v>58</v>
      </c>
      <c r="G13" s="68">
        <v>93</v>
      </c>
      <c r="H13" s="68">
        <v>0</v>
      </c>
      <c r="I13" s="68">
        <v>66</v>
      </c>
      <c r="J13" s="68">
        <v>0</v>
      </c>
      <c r="K13" s="68">
        <v>89</v>
      </c>
      <c r="L13" s="68">
        <v>206</v>
      </c>
      <c r="M13" s="68">
        <v>-2</v>
      </c>
      <c r="N13" s="68">
        <v>-62</v>
      </c>
      <c r="O13" s="68">
        <v>2</v>
      </c>
      <c r="P13" s="96">
        <v>0</v>
      </c>
      <c r="Q13" s="68">
        <v>185</v>
      </c>
      <c r="R13" s="68">
        <v>0</v>
      </c>
      <c r="S13" s="68">
        <v>223</v>
      </c>
      <c r="T13" s="68">
        <v>250</v>
      </c>
      <c r="U13" s="68">
        <v>0</v>
      </c>
      <c r="V13" s="68">
        <v>0</v>
      </c>
      <c r="W13" s="68">
        <v>0</v>
      </c>
      <c r="X13" s="68">
        <v>43</v>
      </c>
      <c r="Y13" s="68">
        <v>98</v>
      </c>
      <c r="Z13" s="68">
        <v>27</v>
      </c>
      <c r="AA13" s="68">
        <v>31</v>
      </c>
      <c r="AB13" s="68">
        <v>0</v>
      </c>
      <c r="AC13" s="68">
        <v>0</v>
      </c>
    </row>
    <row r="14" spans="1:29" x14ac:dyDescent="0.55000000000000004">
      <c r="A14" s="49" t="s">
        <v>167</v>
      </c>
      <c r="B14" s="49" t="s">
        <v>168</v>
      </c>
      <c r="C14" s="49" t="s">
        <v>159</v>
      </c>
      <c r="D14" s="49" t="s">
        <v>147</v>
      </c>
      <c r="E14" s="68">
        <v>0</v>
      </c>
      <c r="F14" s="68">
        <v>0</v>
      </c>
      <c r="G14" s="68">
        <v>0</v>
      </c>
      <c r="H14" s="68">
        <v>0</v>
      </c>
      <c r="I14" s="68">
        <v>0</v>
      </c>
      <c r="J14" s="68">
        <v>0</v>
      </c>
      <c r="K14" s="68">
        <v>0</v>
      </c>
      <c r="L14" s="68">
        <v>0</v>
      </c>
      <c r="M14" s="68">
        <v>0</v>
      </c>
      <c r="N14" s="68">
        <v>0</v>
      </c>
      <c r="O14" s="68">
        <v>0</v>
      </c>
      <c r="P14" s="96">
        <v>0</v>
      </c>
      <c r="Q14" s="68">
        <v>0</v>
      </c>
      <c r="R14" s="68">
        <v>0</v>
      </c>
      <c r="S14" s="68">
        <v>0</v>
      </c>
      <c r="T14" s="68">
        <v>0</v>
      </c>
      <c r="U14" s="68">
        <v>0</v>
      </c>
      <c r="V14" s="68">
        <v>0</v>
      </c>
      <c r="W14" s="68">
        <v>0</v>
      </c>
      <c r="X14" s="68">
        <v>0</v>
      </c>
      <c r="Y14" s="68">
        <v>0</v>
      </c>
      <c r="Z14" s="68">
        <v>0</v>
      </c>
      <c r="AA14" s="68">
        <v>0</v>
      </c>
      <c r="AB14" s="68">
        <v>1372</v>
      </c>
      <c r="AC14" s="68">
        <v>0</v>
      </c>
    </row>
    <row r="15" spans="1:29" x14ac:dyDescent="0.55000000000000004">
      <c r="A15" s="49" t="s">
        <v>169</v>
      </c>
      <c r="B15" s="49" t="s">
        <v>170</v>
      </c>
      <c r="C15" s="49" t="s">
        <v>146</v>
      </c>
      <c r="D15" s="49" t="s">
        <v>147</v>
      </c>
      <c r="E15" s="68">
        <v>14</v>
      </c>
      <c r="F15" s="68">
        <v>2</v>
      </c>
      <c r="G15" s="68">
        <v>0</v>
      </c>
      <c r="H15" s="68">
        <v>0</v>
      </c>
      <c r="I15" s="68">
        <v>0</v>
      </c>
      <c r="J15" s="68">
        <v>0</v>
      </c>
      <c r="K15" s="68">
        <v>2</v>
      </c>
      <c r="L15" s="68">
        <v>0</v>
      </c>
      <c r="M15" s="68">
        <v>0</v>
      </c>
      <c r="N15" s="68">
        <v>0</v>
      </c>
      <c r="O15" s="68">
        <v>1</v>
      </c>
      <c r="P15" s="96">
        <v>1</v>
      </c>
      <c r="Q15" s="68">
        <v>0</v>
      </c>
      <c r="R15" s="68">
        <v>0</v>
      </c>
      <c r="S15" s="68">
        <v>0</v>
      </c>
      <c r="T15" s="68">
        <v>2</v>
      </c>
      <c r="U15" s="68">
        <v>0</v>
      </c>
      <c r="V15" s="68">
        <v>0</v>
      </c>
      <c r="W15" s="68">
        <v>9</v>
      </c>
      <c r="X15" s="68">
        <v>0</v>
      </c>
      <c r="Y15" s="68">
        <v>0</v>
      </c>
      <c r="Z15" s="68">
        <v>0</v>
      </c>
      <c r="AA15" s="68">
        <v>0</v>
      </c>
      <c r="AB15" s="68">
        <v>0</v>
      </c>
      <c r="AC15" s="68">
        <v>0</v>
      </c>
    </row>
    <row r="16" spans="1:29" x14ac:dyDescent="0.55000000000000004">
      <c r="A16" s="49" t="s">
        <v>930</v>
      </c>
      <c r="B16" s="49" t="s">
        <v>931</v>
      </c>
      <c r="C16" s="49" t="s">
        <v>166</v>
      </c>
      <c r="D16" s="49" t="s">
        <v>147</v>
      </c>
      <c r="E16" s="68">
        <v>0</v>
      </c>
      <c r="F16" s="68">
        <v>0</v>
      </c>
      <c r="G16" s="68">
        <v>0</v>
      </c>
      <c r="H16" s="68">
        <v>0</v>
      </c>
      <c r="I16" s="68">
        <v>0</v>
      </c>
      <c r="J16" s="68">
        <v>0</v>
      </c>
      <c r="K16" s="68">
        <v>0</v>
      </c>
      <c r="L16" s="68">
        <v>0</v>
      </c>
      <c r="M16" s="68">
        <v>0</v>
      </c>
      <c r="N16" s="68">
        <v>0</v>
      </c>
      <c r="O16" s="68">
        <v>0</v>
      </c>
      <c r="P16" s="96">
        <v>0</v>
      </c>
      <c r="Q16" s="68">
        <v>-1</v>
      </c>
      <c r="R16" s="68">
        <v>0</v>
      </c>
      <c r="S16" s="68">
        <v>7</v>
      </c>
      <c r="T16" s="68">
        <v>0</v>
      </c>
      <c r="U16" s="68">
        <v>0</v>
      </c>
      <c r="V16" s="68">
        <v>0</v>
      </c>
      <c r="W16" s="68">
        <v>0</v>
      </c>
      <c r="X16" s="68">
        <v>0</v>
      </c>
      <c r="Y16" s="68">
        <v>0</v>
      </c>
      <c r="Z16" s="68">
        <v>0</v>
      </c>
      <c r="AA16" s="68">
        <v>0</v>
      </c>
      <c r="AB16" s="68">
        <v>0</v>
      </c>
      <c r="AC16" s="68">
        <v>0</v>
      </c>
    </row>
    <row r="17" spans="1:29" x14ac:dyDescent="0.55000000000000004">
      <c r="A17" s="49" t="s">
        <v>171</v>
      </c>
      <c r="B17" s="49" t="s">
        <v>172</v>
      </c>
      <c r="C17" s="49" t="s">
        <v>159</v>
      </c>
      <c r="D17" s="49" t="s">
        <v>147</v>
      </c>
      <c r="E17" s="68">
        <v>0</v>
      </c>
      <c r="F17" s="68">
        <v>4</v>
      </c>
      <c r="G17" s="68">
        <v>51</v>
      </c>
      <c r="H17" s="68">
        <v>13</v>
      </c>
      <c r="I17" s="68">
        <v>7</v>
      </c>
      <c r="J17" s="68">
        <v>30</v>
      </c>
      <c r="K17" s="68">
        <v>-1</v>
      </c>
      <c r="L17" s="68">
        <v>17</v>
      </c>
      <c r="M17" s="68">
        <v>22</v>
      </c>
      <c r="N17" s="68">
        <v>5</v>
      </c>
      <c r="O17" s="68">
        <v>7</v>
      </c>
      <c r="P17" s="96">
        <v>0</v>
      </c>
      <c r="Q17" s="68">
        <v>17</v>
      </c>
      <c r="R17" s="68">
        <v>0</v>
      </c>
      <c r="S17" s="68">
        <v>0</v>
      </c>
      <c r="T17" s="68">
        <v>0</v>
      </c>
      <c r="U17" s="68">
        <v>0</v>
      </c>
      <c r="V17" s="68">
        <v>8</v>
      </c>
      <c r="W17" s="68">
        <v>16</v>
      </c>
      <c r="X17" s="68">
        <v>0</v>
      </c>
      <c r="Y17" s="68">
        <v>0</v>
      </c>
      <c r="Z17" s="68">
        <v>0</v>
      </c>
      <c r="AA17" s="68">
        <v>0</v>
      </c>
      <c r="AB17" s="68">
        <v>0</v>
      </c>
      <c r="AC17" s="68">
        <v>0</v>
      </c>
    </row>
    <row r="18" spans="1:29" x14ac:dyDescent="0.55000000000000004">
      <c r="A18" s="49" t="s">
        <v>173</v>
      </c>
      <c r="B18" s="49" t="s">
        <v>174</v>
      </c>
      <c r="C18" s="49" t="s">
        <v>175</v>
      </c>
      <c r="D18" s="49" t="s">
        <v>147</v>
      </c>
      <c r="E18" s="68">
        <v>173.34</v>
      </c>
      <c r="F18" s="68">
        <v>173.34</v>
      </c>
      <c r="G18" s="68">
        <v>173.34</v>
      </c>
      <c r="H18" s="68">
        <v>109.34</v>
      </c>
      <c r="I18" s="68">
        <v>173.34</v>
      </c>
      <c r="J18" s="68">
        <v>181.34</v>
      </c>
      <c r="K18" s="68">
        <v>173.34</v>
      </c>
      <c r="L18" s="68">
        <v>173.34</v>
      </c>
      <c r="M18" s="68">
        <v>173.34</v>
      </c>
      <c r="N18" s="68">
        <v>260.01</v>
      </c>
      <c r="O18" s="68">
        <v>173.34</v>
      </c>
      <c r="P18" s="96">
        <v>173.34</v>
      </c>
      <c r="Q18" s="68">
        <v>0</v>
      </c>
      <c r="R18" s="68">
        <v>169.34</v>
      </c>
      <c r="S18" s="68">
        <v>173.34</v>
      </c>
      <c r="T18" s="68">
        <v>173.34</v>
      </c>
      <c r="U18" s="68">
        <v>173.34</v>
      </c>
      <c r="V18" s="68">
        <v>165.34</v>
      </c>
      <c r="W18" s="68">
        <v>173.34</v>
      </c>
      <c r="X18" s="68">
        <v>173.34</v>
      </c>
      <c r="Y18" s="68">
        <v>174.84</v>
      </c>
      <c r="Z18" s="68">
        <v>173.34</v>
      </c>
      <c r="AA18" s="68">
        <v>173.34</v>
      </c>
      <c r="AB18" s="68">
        <v>172.96</v>
      </c>
      <c r="AC18" s="68">
        <v>0</v>
      </c>
    </row>
    <row r="19" spans="1:29" x14ac:dyDescent="0.55000000000000004">
      <c r="A19" s="49" t="s">
        <v>176</v>
      </c>
      <c r="B19" s="49" t="s">
        <v>177</v>
      </c>
      <c r="C19" s="49" t="s">
        <v>175</v>
      </c>
      <c r="D19" s="49" t="s">
        <v>147</v>
      </c>
      <c r="E19" s="68">
        <v>1049.4100000000001</v>
      </c>
      <c r="F19" s="68">
        <v>995.8</v>
      </c>
      <c r="G19" s="68">
        <v>1102.77</v>
      </c>
      <c r="H19" s="68">
        <v>617.22</v>
      </c>
      <c r="I19" s="68">
        <v>930.22</v>
      </c>
      <c r="J19" s="68">
        <v>974.73</v>
      </c>
      <c r="K19" s="68">
        <v>844.98</v>
      </c>
      <c r="L19" s="68">
        <v>943.18</v>
      </c>
      <c r="M19" s="68">
        <v>979.39</v>
      </c>
      <c r="N19" s="68">
        <v>1506.4</v>
      </c>
      <c r="O19" s="68">
        <v>1043.6099999999999</v>
      </c>
      <c r="P19" s="96">
        <v>604.37</v>
      </c>
      <c r="Q19" s="68">
        <v>1218.79</v>
      </c>
      <c r="R19" s="68">
        <v>1138.6400000000001</v>
      </c>
      <c r="S19" s="68">
        <v>2599.86</v>
      </c>
      <c r="T19" s="68">
        <v>778.31</v>
      </c>
      <c r="U19" s="68">
        <v>1767.85</v>
      </c>
      <c r="V19" s="68">
        <v>1483.03</v>
      </c>
      <c r="W19" s="68">
        <v>1030.0999999999999</v>
      </c>
      <c r="X19" s="68">
        <v>1343.25</v>
      </c>
      <c r="Y19" s="68">
        <v>2150.86</v>
      </c>
      <c r="Z19" s="68">
        <v>1868.25</v>
      </c>
      <c r="AA19" s="68">
        <v>2412.5</v>
      </c>
      <c r="AB19" s="68">
        <v>1885.35</v>
      </c>
      <c r="AC19" s="68">
        <v>0</v>
      </c>
    </row>
    <row r="20" spans="1:29" x14ac:dyDescent="0.55000000000000004">
      <c r="A20" s="49" t="s">
        <v>178</v>
      </c>
      <c r="B20" s="49" t="s">
        <v>179</v>
      </c>
      <c r="C20" s="49" t="s">
        <v>175</v>
      </c>
      <c r="D20" s="49" t="s">
        <v>147</v>
      </c>
      <c r="E20" s="68">
        <v>3885.23</v>
      </c>
      <c r="F20" s="68">
        <v>3366.94</v>
      </c>
      <c r="G20" s="68">
        <v>3508.03</v>
      </c>
      <c r="H20" s="68">
        <v>3152.21</v>
      </c>
      <c r="I20" s="68">
        <v>3717.21</v>
      </c>
      <c r="J20" s="68">
        <v>1626.55</v>
      </c>
      <c r="K20" s="68">
        <v>2308.7800000000002</v>
      </c>
      <c r="L20" s="68">
        <v>5137.16</v>
      </c>
      <c r="M20" s="68">
        <v>2275.9299999999998</v>
      </c>
      <c r="N20" s="68">
        <v>3935.14</v>
      </c>
      <c r="O20" s="68">
        <v>2260.89</v>
      </c>
      <c r="P20" s="96">
        <v>2511.7800000000002</v>
      </c>
      <c r="Q20" s="68">
        <v>2647.04</v>
      </c>
      <c r="R20" s="68">
        <v>963.03</v>
      </c>
      <c r="S20" s="68">
        <v>2331.17</v>
      </c>
      <c r="T20" s="68">
        <v>1390.93</v>
      </c>
      <c r="U20" s="68">
        <v>2499.1799999999998</v>
      </c>
      <c r="V20" s="68">
        <v>1430.73</v>
      </c>
      <c r="W20" s="68">
        <v>2154.4699999999998</v>
      </c>
      <c r="X20" s="68">
        <v>3711.25</v>
      </c>
      <c r="Y20" s="68">
        <v>2723.45</v>
      </c>
      <c r="Z20" s="68">
        <v>2047</v>
      </c>
      <c r="AA20" s="68">
        <v>2272.75</v>
      </c>
      <c r="AB20" s="68">
        <v>10149.34</v>
      </c>
      <c r="AC20" s="68">
        <v>0</v>
      </c>
    </row>
    <row r="21" spans="1:29" x14ac:dyDescent="0.55000000000000004">
      <c r="A21" s="49" t="s">
        <v>180</v>
      </c>
      <c r="B21" s="49" t="s">
        <v>181</v>
      </c>
      <c r="C21" s="49" t="s">
        <v>175</v>
      </c>
      <c r="D21" s="49" t="s">
        <v>147</v>
      </c>
      <c r="E21" s="68">
        <v>6916.84</v>
      </c>
      <c r="F21" s="68">
        <v>6276.15</v>
      </c>
      <c r="G21" s="68">
        <v>8561.9599999999991</v>
      </c>
      <c r="H21" s="68">
        <v>5273.91</v>
      </c>
      <c r="I21" s="68">
        <v>6287.23</v>
      </c>
      <c r="J21" s="68">
        <v>4091.87</v>
      </c>
      <c r="K21" s="68">
        <v>4701.1899999999996</v>
      </c>
      <c r="L21" s="68">
        <v>9448.0400000000009</v>
      </c>
      <c r="M21" s="68">
        <v>4239.41</v>
      </c>
      <c r="N21" s="68">
        <v>6426.6</v>
      </c>
      <c r="O21" s="68">
        <v>3894.06</v>
      </c>
      <c r="P21" s="96">
        <v>5370.73</v>
      </c>
      <c r="Q21" s="68">
        <v>5189.58</v>
      </c>
      <c r="R21" s="68">
        <v>3475.41</v>
      </c>
      <c r="S21" s="68">
        <v>6461.2</v>
      </c>
      <c r="T21" s="68">
        <v>3419.51</v>
      </c>
      <c r="U21" s="68">
        <v>4725.59</v>
      </c>
      <c r="V21" s="68">
        <v>4260.4799999999996</v>
      </c>
      <c r="W21" s="68">
        <v>6674.61</v>
      </c>
      <c r="X21" s="68">
        <v>7578.75</v>
      </c>
      <c r="Y21" s="68">
        <v>8000.16</v>
      </c>
      <c r="Z21" s="68">
        <v>8053.75</v>
      </c>
      <c r="AA21" s="68">
        <v>7804</v>
      </c>
      <c r="AB21" s="68">
        <v>9190.66</v>
      </c>
      <c r="AC21" s="68">
        <v>0</v>
      </c>
    </row>
    <row r="22" spans="1:29" x14ac:dyDescent="0.55000000000000004">
      <c r="A22" s="49" t="s">
        <v>182</v>
      </c>
      <c r="B22" s="49" t="s">
        <v>183</v>
      </c>
      <c r="C22" s="49" t="s">
        <v>184</v>
      </c>
      <c r="D22" s="49" t="s">
        <v>147</v>
      </c>
      <c r="E22" s="68">
        <v>0</v>
      </c>
      <c r="F22" s="68">
        <v>0</v>
      </c>
      <c r="G22" s="68">
        <v>35.5</v>
      </c>
      <c r="H22" s="68">
        <v>0</v>
      </c>
      <c r="I22" s="68">
        <v>0</v>
      </c>
      <c r="J22" s="68">
        <v>0</v>
      </c>
      <c r="K22" s="68">
        <v>0</v>
      </c>
      <c r="L22" s="68">
        <v>103.5</v>
      </c>
      <c r="M22" s="68">
        <v>0</v>
      </c>
      <c r="N22" s="68">
        <v>0</v>
      </c>
      <c r="O22" s="68">
        <v>0</v>
      </c>
      <c r="P22" s="96">
        <v>0</v>
      </c>
      <c r="Q22" s="68">
        <v>34</v>
      </c>
      <c r="R22" s="68">
        <v>0</v>
      </c>
      <c r="S22" s="68">
        <v>0</v>
      </c>
      <c r="T22" s="68">
        <v>0</v>
      </c>
      <c r="U22" s="68">
        <v>0</v>
      </c>
      <c r="V22" s="68">
        <v>0</v>
      </c>
      <c r="W22" s="68">
        <v>80</v>
      </c>
      <c r="X22" s="68">
        <v>0</v>
      </c>
      <c r="Y22" s="68">
        <v>35.5</v>
      </c>
      <c r="Z22" s="68">
        <v>0</v>
      </c>
      <c r="AA22" s="68">
        <v>0</v>
      </c>
      <c r="AB22" s="68">
        <v>-61</v>
      </c>
      <c r="AC22" s="68">
        <v>0</v>
      </c>
    </row>
    <row r="23" spans="1:29" x14ac:dyDescent="0.55000000000000004">
      <c r="A23" s="49" t="s">
        <v>185</v>
      </c>
      <c r="B23" s="49" t="s">
        <v>186</v>
      </c>
      <c r="C23" s="49" t="s">
        <v>184</v>
      </c>
      <c r="D23" s="49" t="s">
        <v>147</v>
      </c>
      <c r="E23" s="68">
        <v>0</v>
      </c>
      <c r="F23" s="68">
        <v>0</v>
      </c>
      <c r="G23" s="68">
        <v>236.29</v>
      </c>
      <c r="H23" s="68">
        <v>0</v>
      </c>
      <c r="I23" s="68">
        <v>0</v>
      </c>
      <c r="J23" s="68">
        <v>0</v>
      </c>
      <c r="K23" s="68">
        <v>0</v>
      </c>
      <c r="L23" s="68">
        <v>625.24</v>
      </c>
      <c r="M23" s="68">
        <v>0</v>
      </c>
      <c r="N23" s="68">
        <v>0</v>
      </c>
      <c r="O23" s="68">
        <v>0</v>
      </c>
      <c r="P23" s="96">
        <v>0</v>
      </c>
      <c r="Q23" s="68">
        <v>188.45</v>
      </c>
      <c r="R23" s="68">
        <v>0</v>
      </c>
      <c r="S23" s="68">
        <v>0</v>
      </c>
      <c r="T23" s="68">
        <v>0</v>
      </c>
      <c r="U23" s="68">
        <v>0</v>
      </c>
      <c r="V23" s="68">
        <v>0</v>
      </c>
      <c r="W23" s="68">
        <v>143</v>
      </c>
      <c r="X23" s="68">
        <v>0</v>
      </c>
      <c r="Y23" s="68">
        <v>0</v>
      </c>
      <c r="Z23" s="68">
        <v>0</v>
      </c>
      <c r="AA23" s="68">
        <v>0</v>
      </c>
      <c r="AB23" s="68">
        <v>-56</v>
      </c>
      <c r="AC23" s="68">
        <v>0</v>
      </c>
    </row>
    <row r="24" spans="1:29" x14ac:dyDescent="0.55000000000000004">
      <c r="A24" s="49" t="s">
        <v>187</v>
      </c>
      <c r="B24" s="49" t="s">
        <v>188</v>
      </c>
      <c r="C24" s="49" t="s">
        <v>184</v>
      </c>
      <c r="D24" s="49" t="s">
        <v>147</v>
      </c>
      <c r="E24" s="68">
        <v>0</v>
      </c>
      <c r="F24" s="68">
        <v>0</v>
      </c>
      <c r="G24" s="68">
        <v>458.3</v>
      </c>
      <c r="H24" s="68">
        <v>131.5</v>
      </c>
      <c r="I24" s="68">
        <v>87.9</v>
      </c>
      <c r="J24" s="68">
        <v>0</v>
      </c>
      <c r="K24" s="68">
        <v>1009.5</v>
      </c>
      <c r="L24" s="68">
        <v>582.20000000000005</v>
      </c>
      <c r="M24" s="68">
        <v>0</v>
      </c>
      <c r="N24" s="68">
        <v>219.5</v>
      </c>
      <c r="O24" s="68">
        <v>0</v>
      </c>
      <c r="P24" s="96">
        <v>0</v>
      </c>
      <c r="Q24" s="68">
        <v>1734.5</v>
      </c>
      <c r="R24" s="68">
        <v>0</v>
      </c>
      <c r="S24" s="68">
        <v>629.5</v>
      </c>
      <c r="T24" s="68">
        <v>0</v>
      </c>
      <c r="U24" s="68">
        <v>0</v>
      </c>
      <c r="V24" s="68">
        <v>0</v>
      </c>
      <c r="W24" s="68">
        <v>77.17</v>
      </c>
      <c r="X24" s="68">
        <v>0</v>
      </c>
      <c r="Y24" s="68">
        <v>0</v>
      </c>
      <c r="Z24" s="68">
        <v>0</v>
      </c>
      <c r="AA24" s="68">
        <v>0</v>
      </c>
      <c r="AB24" s="68">
        <v>-419.58</v>
      </c>
      <c r="AC24" s="68">
        <v>0</v>
      </c>
    </row>
    <row r="25" spans="1:29" x14ac:dyDescent="0.55000000000000004">
      <c r="A25" s="49" t="s">
        <v>189</v>
      </c>
      <c r="B25" s="49" t="s">
        <v>190</v>
      </c>
      <c r="C25" s="49" t="s">
        <v>191</v>
      </c>
      <c r="D25" s="49" t="s">
        <v>147</v>
      </c>
      <c r="E25" s="68">
        <v>141.34</v>
      </c>
      <c r="F25" s="68">
        <v>173.34</v>
      </c>
      <c r="G25" s="68">
        <v>0</v>
      </c>
      <c r="H25" s="68">
        <v>165.34</v>
      </c>
      <c r="I25" s="68">
        <v>122.34</v>
      </c>
      <c r="J25" s="68">
        <v>165.34</v>
      </c>
      <c r="K25" s="68">
        <v>193</v>
      </c>
      <c r="L25" s="68">
        <v>179.12</v>
      </c>
      <c r="M25" s="68">
        <v>173.34</v>
      </c>
      <c r="N25" s="68">
        <v>173.34</v>
      </c>
      <c r="O25" s="68">
        <v>173.34</v>
      </c>
      <c r="P25" s="96">
        <v>136.66999999999999</v>
      </c>
      <c r="Q25" s="68">
        <v>177.16</v>
      </c>
      <c r="R25" s="68">
        <v>165.34</v>
      </c>
      <c r="S25" s="68">
        <v>173.34</v>
      </c>
      <c r="T25" s="68">
        <v>173.34</v>
      </c>
      <c r="U25" s="68">
        <v>173.34</v>
      </c>
      <c r="V25" s="68">
        <v>173.34</v>
      </c>
      <c r="W25" s="68">
        <v>173.89</v>
      </c>
      <c r="X25" s="68">
        <v>169</v>
      </c>
      <c r="Y25" s="68">
        <v>0</v>
      </c>
      <c r="Z25" s="68">
        <v>153.5</v>
      </c>
      <c r="AA25" s="68">
        <v>173.34</v>
      </c>
      <c r="AB25" s="68">
        <v>0</v>
      </c>
      <c r="AC25" s="68">
        <v>0</v>
      </c>
    </row>
    <row r="26" spans="1:29" x14ac:dyDescent="0.55000000000000004">
      <c r="A26" s="49" t="s">
        <v>192</v>
      </c>
      <c r="B26" s="49" t="s">
        <v>193</v>
      </c>
      <c r="C26" s="49" t="s">
        <v>191</v>
      </c>
      <c r="D26" s="49" t="s">
        <v>147</v>
      </c>
      <c r="E26" s="68">
        <v>349.61</v>
      </c>
      <c r="F26" s="68">
        <v>156.69999999999999</v>
      </c>
      <c r="G26" s="68">
        <v>331.25</v>
      </c>
      <c r="H26" s="68">
        <v>143.05000000000001</v>
      </c>
      <c r="I26" s="68">
        <v>322.27999999999997</v>
      </c>
      <c r="J26" s="68">
        <v>344.21</v>
      </c>
      <c r="K26" s="68">
        <v>323.06</v>
      </c>
      <c r="L26" s="68">
        <v>337.78</v>
      </c>
      <c r="M26" s="68">
        <v>138.18</v>
      </c>
      <c r="N26" s="68">
        <v>381.54</v>
      </c>
      <c r="O26" s="68">
        <v>0</v>
      </c>
      <c r="P26" s="96">
        <v>196.03</v>
      </c>
      <c r="Q26" s="68">
        <v>104.5</v>
      </c>
      <c r="R26" s="68">
        <v>0</v>
      </c>
      <c r="S26" s="68">
        <v>184.68</v>
      </c>
      <c r="T26" s="68">
        <v>181.78</v>
      </c>
      <c r="U26" s="68">
        <v>157.94999999999999</v>
      </c>
      <c r="V26" s="68">
        <v>155.76</v>
      </c>
      <c r="W26" s="68">
        <v>184.67</v>
      </c>
      <c r="X26" s="68">
        <v>291.25</v>
      </c>
      <c r="Y26" s="68">
        <v>193.82</v>
      </c>
      <c r="Z26" s="68">
        <v>208.5</v>
      </c>
      <c r="AA26" s="68">
        <v>350</v>
      </c>
      <c r="AB26" s="68">
        <v>957.73</v>
      </c>
      <c r="AC26" s="68">
        <v>0</v>
      </c>
    </row>
    <row r="27" spans="1:29" x14ac:dyDescent="0.55000000000000004">
      <c r="A27" s="49" t="s">
        <v>194</v>
      </c>
      <c r="B27" s="49" t="s">
        <v>195</v>
      </c>
      <c r="C27" s="49" t="s">
        <v>191</v>
      </c>
      <c r="D27" s="49" t="s">
        <v>147</v>
      </c>
      <c r="E27" s="68">
        <v>1119</v>
      </c>
      <c r="F27" s="68">
        <v>1053.3800000000001</v>
      </c>
      <c r="G27" s="68">
        <v>1349.04</v>
      </c>
      <c r="H27" s="68">
        <v>463.34</v>
      </c>
      <c r="I27" s="68">
        <v>1022.98</v>
      </c>
      <c r="J27" s="68">
        <v>497.34</v>
      </c>
      <c r="K27" s="68">
        <v>531.38</v>
      </c>
      <c r="L27" s="68">
        <v>982.11</v>
      </c>
      <c r="M27" s="68">
        <v>463.55</v>
      </c>
      <c r="N27" s="68">
        <v>793.64</v>
      </c>
      <c r="O27" s="68">
        <v>461.04</v>
      </c>
      <c r="P27" s="96">
        <v>678.28</v>
      </c>
      <c r="Q27" s="68">
        <v>516.12</v>
      </c>
      <c r="R27" s="68">
        <v>490.19</v>
      </c>
      <c r="S27" s="68">
        <v>736.52</v>
      </c>
      <c r="T27" s="68">
        <v>460.06</v>
      </c>
      <c r="U27" s="68">
        <v>784.26</v>
      </c>
      <c r="V27" s="68">
        <v>702.68</v>
      </c>
      <c r="W27" s="68">
        <v>661.83</v>
      </c>
      <c r="X27" s="68">
        <v>1184.5</v>
      </c>
      <c r="Y27" s="68">
        <v>971.09</v>
      </c>
      <c r="Z27" s="68">
        <v>1038.75</v>
      </c>
      <c r="AA27" s="68">
        <v>1517.25</v>
      </c>
      <c r="AB27" s="68">
        <v>1086.53</v>
      </c>
      <c r="AC27" s="68">
        <v>0</v>
      </c>
    </row>
    <row r="28" spans="1:29" x14ac:dyDescent="0.55000000000000004">
      <c r="A28" s="49" t="s">
        <v>196</v>
      </c>
      <c r="B28" s="49" t="s">
        <v>197</v>
      </c>
      <c r="C28" s="49" t="s">
        <v>191</v>
      </c>
      <c r="D28" s="49" t="s">
        <v>147</v>
      </c>
      <c r="E28" s="68">
        <v>0</v>
      </c>
      <c r="F28" s="68">
        <v>0</v>
      </c>
      <c r="G28" s="68">
        <v>0</v>
      </c>
      <c r="H28" s="68">
        <v>0</v>
      </c>
      <c r="I28" s="68">
        <v>0</v>
      </c>
      <c r="J28" s="68">
        <v>0</v>
      </c>
      <c r="K28" s="68">
        <v>0</v>
      </c>
      <c r="L28" s="68">
        <v>0</v>
      </c>
      <c r="M28" s="68">
        <v>0</v>
      </c>
      <c r="N28" s="68">
        <v>0</v>
      </c>
      <c r="O28" s="68">
        <v>0</v>
      </c>
      <c r="P28" s="96">
        <v>0</v>
      </c>
      <c r="Q28" s="68">
        <v>185.65</v>
      </c>
      <c r="R28" s="68">
        <v>0</v>
      </c>
      <c r="S28" s="68">
        <v>0</v>
      </c>
      <c r="T28" s="68">
        <v>0</v>
      </c>
      <c r="U28" s="68">
        <v>0</v>
      </c>
      <c r="V28" s="68">
        <v>0</v>
      </c>
      <c r="W28" s="68">
        <v>0</v>
      </c>
      <c r="X28" s="68">
        <v>0</v>
      </c>
      <c r="Y28" s="68">
        <v>0</v>
      </c>
      <c r="Z28" s="68">
        <v>0</v>
      </c>
      <c r="AA28" s="68">
        <v>0</v>
      </c>
      <c r="AB28" s="68">
        <v>0</v>
      </c>
      <c r="AC28" s="68">
        <v>0</v>
      </c>
    </row>
    <row r="29" spans="1:29" x14ac:dyDescent="0.55000000000000004">
      <c r="A29" s="49" t="s">
        <v>198</v>
      </c>
      <c r="B29" s="49" t="s">
        <v>199</v>
      </c>
      <c r="C29" s="49" t="s">
        <v>191</v>
      </c>
      <c r="D29" s="49" t="s">
        <v>147</v>
      </c>
      <c r="E29" s="68">
        <v>0</v>
      </c>
      <c r="F29" s="68">
        <v>590.14</v>
      </c>
      <c r="G29" s="68">
        <v>458.36</v>
      </c>
      <c r="H29" s="68">
        <v>844.91</v>
      </c>
      <c r="I29" s="68">
        <v>623.95000000000005</v>
      </c>
      <c r="J29" s="68">
        <v>385.99</v>
      </c>
      <c r="K29" s="68">
        <v>479.05</v>
      </c>
      <c r="L29" s="68">
        <v>759.16</v>
      </c>
      <c r="M29" s="68">
        <v>417.62</v>
      </c>
      <c r="N29" s="68">
        <v>243.15</v>
      </c>
      <c r="O29" s="68">
        <v>285.37</v>
      </c>
      <c r="P29" s="96">
        <v>267.75</v>
      </c>
      <c r="Q29" s="68">
        <v>619.02</v>
      </c>
      <c r="R29" s="68">
        <v>169.48</v>
      </c>
      <c r="S29" s="68">
        <v>622.63</v>
      </c>
      <c r="T29" s="68">
        <v>0</v>
      </c>
      <c r="U29" s="68">
        <v>407.99</v>
      </c>
      <c r="V29" s="68">
        <v>401.84</v>
      </c>
      <c r="W29" s="68">
        <v>610.67999999999995</v>
      </c>
      <c r="X29" s="68">
        <v>673.25</v>
      </c>
      <c r="Y29" s="68">
        <v>343.04</v>
      </c>
      <c r="Z29" s="68">
        <v>701.75</v>
      </c>
      <c r="AA29" s="68">
        <v>0</v>
      </c>
      <c r="AB29" s="68">
        <v>717.43</v>
      </c>
      <c r="AC29" s="68">
        <v>0</v>
      </c>
    </row>
    <row r="30" spans="1:29" x14ac:dyDescent="0.55000000000000004">
      <c r="A30" s="49" t="s">
        <v>200</v>
      </c>
      <c r="B30" s="49" t="s">
        <v>201</v>
      </c>
      <c r="C30" s="49" t="s">
        <v>191</v>
      </c>
      <c r="D30" s="49" t="s">
        <v>147</v>
      </c>
      <c r="E30" s="68">
        <v>173.34</v>
      </c>
      <c r="F30" s="68">
        <v>173.34</v>
      </c>
      <c r="G30" s="68">
        <v>142.66999999999999</v>
      </c>
      <c r="H30" s="68">
        <v>165.34</v>
      </c>
      <c r="I30" s="68">
        <v>173.34</v>
      </c>
      <c r="J30" s="68">
        <v>49.5</v>
      </c>
      <c r="K30" s="68">
        <v>133.34</v>
      </c>
      <c r="L30" s="68">
        <v>173.34</v>
      </c>
      <c r="M30" s="68">
        <v>176.17</v>
      </c>
      <c r="N30" s="68">
        <v>165.34</v>
      </c>
      <c r="O30" s="68">
        <v>173.34</v>
      </c>
      <c r="P30" s="96">
        <v>173.34</v>
      </c>
      <c r="Q30" s="68">
        <v>173.34</v>
      </c>
      <c r="R30" s="68">
        <v>173.34</v>
      </c>
      <c r="S30" s="68">
        <v>173.34</v>
      </c>
      <c r="T30" s="68">
        <v>147.15</v>
      </c>
      <c r="U30" s="68">
        <v>277.08999999999997</v>
      </c>
      <c r="V30" s="68">
        <v>173.34</v>
      </c>
      <c r="W30" s="68">
        <v>173.34</v>
      </c>
      <c r="X30" s="68">
        <v>200.75</v>
      </c>
      <c r="Y30" s="68">
        <v>0</v>
      </c>
      <c r="Z30" s="68">
        <v>378.84</v>
      </c>
      <c r="AA30" s="68">
        <v>153.25</v>
      </c>
      <c r="AB30" s="68">
        <v>222.05</v>
      </c>
      <c r="AC30" s="68">
        <v>0</v>
      </c>
    </row>
    <row r="31" spans="1:29" x14ac:dyDescent="0.55000000000000004">
      <c r="A31" s="49" t="s">
        <v>202</v>
      </c>
      <c r="B31" s="49" t="s">
        <v>203</v>
      </c>
      <c r="C31" s="49" t="s">
        <v>191</v>
      </c>
      <c r="D31" s="49" t="s">
        <v>147</v>
      </c>
      <c r="E31" s="68">
        <v>1923</v>
      </c>
      <c r="F31" s="68">
        <v>1524.08</v>
      </c>
      <c r="G31" s="68">
        <v>1990.92</v>
      </c>
      <c r="H31" s="68">
        <v>1459.54</v>
      </c>
      <c r="I31" s="68">
        <v>1330.7</v>
      </c>
      <c r="J31" s="68">
        <v>1374.02</v>
      </c>
      <c r="K31" s="68">
        <v>1004.63</v>
      </c>
      <c r="L31" s="68">
        <v>2368.44</v>
      </c>
      <c r="M31" s="68">
        <v>988.8</v>
      </c>
      <c r="N31" s="68">
        <v>1698.16</v>
      </c>
      <c r="O31" s="68">
        <v>1085.1199999999999</v>
      </c>
      <c r="P31" s="96">
        <v>1048.45</v>
      </c>
      <c r="Q31" s="68">
        <v>1286.78</v>
      </c>
      <c r="R31" s="68">
        <v>996.74</v>
      </c>
      <c r="S31" s="68">
        <v>1551.11</v>
      </c>
      <c r="T31" s="68">
        <v>1038.6600000000001</v>
      </c>
      <c r="U31" s="68">
        <v>1473.39</v>
      </c>
      <c r="V31" s="68">
        <v>1068.8900000000001</v>
      </c>
      <c r="W31" s="68">
        <v>1255.02</v>
      </c>
      <c r="X31" s="68">
        <v>1600.25</v>
      </c>
      <c r="Y31" s="68">
        <v>1670.99</v>
      </c>
      <c r="Z31" s="68">
        <v>1330</v>
      </c>
      <c r="AA31" s="68">
        <v>1729.75</v>
      </c>
      <c r="AB31" s="68">
        <v>2010.86</v>
      </c>
      <c r="AC31" s="68">
        <v>0</v>
      </c>
    </row>
    <row r="32" spans="1:29" x14ac:dyDescent="0.55000000000000004">
      <c r="A32" s="49" t="s">
        <v>204</v>
      </c>
      <c r="B32" s="49" t="s">
        <v>205</v>
      </c>
      <c r="C32" s="49" t="s">
        <v>191</v>
      </c>
      <c r="D32" s="49" t="s">
        <v>147</v>
      </c>
      <c r="E32" s="68">
        <v>0</v>
      </c>
      <c r="F32" s="68">
        <v>169.42</v>
      </c>
      <c r="G32" s="68">
        <v>167.62</v>
      </c>
      <c r="H32" s="68">
        <v>173.34</v>
      </c>
      <c r="I32" s="68">
        <v>157.34</v>
      </c>
      <c r="J32" s="68">
        <v>133.34</v>
      </c>
      <c r="K32" s="68">
        <v>0</v>
      </c>
      <c r="L32" s="68">
        <v>0</v>
      </c>
      <c r="M32" s="68">
        <v>0</v>
      </c>
      <c r="N32" s="68">
        <v>163.34</v>
      </c>
      <c r="O32" s="68">
        <v>133.75</v>
      </c>
      <c r="P32" s="96">
        <v>173.34</v>
      </c>
      <c r="Q32" s="68">
        <v>185.32</v>
      </c>
      <c r="R32" s="68">
        <v>0</v>
      </c>
      <c r="S32" s="68">
        <v>0</v>
      </c>
      <c r="T32" s="68">
        <v>0</v>
      </c>
      <c r="U32" s="68">
        <v>0</v>
      </c>
      <c r="V32" s="68">
        <v>157.34</v>
      </c>
      <c r="W32" s="68">
        <v>173.34</v>
      </c>
      <c r="X32" s="68">
        <v>158.25</v>
      </c>
      <c r="Y32" s="68">
        <v>33.25</v>
      </c>
      <c r="Z32" s="68">
        <v>0</v>
      </c>
      <c r="AA32" s="68">
        <v>173.34</v>
      </c>
      <c r="AB32" s="68">
        <v>0</v>
      </c>
      <c r="AC32" s="68">
        <v>0</v>
      </c>
    </row>
    <row r="33" spans="1:29" x14ac:dyDescent="0.55000000000000004">
      <c r="A33" s="49" t="s">
        <v>206</v>
      </c>
      <c r="B33" s="49" t="s">
        <v>207</v>
      </c>
      <c r="C33" s="49" t="s">
        <v>191</v>
      </c>
      <c r="D33" s="49" t="s">
        <v>147</v>
      </c>
      <c r="E33" s="68">
        <v>323.13</v>
      </c>
      <c r="F33" s="68">
        <v>99.25</v>
      </c>
      <c r="G33" s="68">
        <v>153.72999999999999</v>
      </c>
      <c r="H33" s="68">
        <v>0</v>
      </c>
      <c r="I33" s="68">
        <v>177.68</v>
      </c>
      <c r="J33" s="68">
        <v>168.81</v>
      </c>
      <c r="K33" s="68">
        <v>176.31</v>
      </c>
      <c r="L33" s="68">
        <v>248.37</v>
      </c>
      <c r="M33" s="68">
        <v>347.62</v>
      </c>
      <c r="N33" s="68">
        <v>151.86000000000001</v>
      </c>
      <c r="O33" s="68">
        <v>0</v>
      </c>
      <c r="P33" s="96">
        <v>0</v>
      </c>
      <c r="Q33" s="68">
        <v>127.3</v>
      </c>
      <c r="R33" s="68">
        <v>173.34</v>
      </c>
      <c r="S33" s="68">
        <v>346.68</v>
      </c>
      <c r="T33" s="68">
        <v>0</v>
      </c>
      <c r="U33" s="68">
        <v>501.73</v>
      </c>
      <c r="V33" s="68">
        <v>0</v>
      </c>
      <c r="W33" s="68">
        <v>0</v>
      </c>
      <c r="X33" s="68">
        <v>110.25</v>
      </c>
      <c r="Y33" s="68">
        <v>270.35000000000002</v>
      </c>
      <c r="Z33" s="68">
        <v>460</v>
      </c>
      <c r="AA33" s="68">
        <v>154.25</v>
      </c>
      <c r="AB33" s="68">
        <v>202.35</v>
      </c>
      <c r="AC33" s="68">
        <v>0</v>
      </c>
    </row>
    <row r="34" spans="1:29" x14ac:dyDescent="0.55000000000000004">
      <c r="A34" s="49" t="s">
        <v>208</v>
      </c>
      <c r="B34" s="49" t="s">
        <v>209</v>
      </c>
      <c r="C34" s="49" t="s">
        <v>191</v>
      </c>
      <c r="D34" s="49" t="s">
        <v>147</v>
      </c>
      <c r="E34" s="68">
        <v>165.34</v>
      </c>
      <c r="F34" s="68">
        <v>173.34</v>
      </c>
      <c r="G34" s="68">
        <v>165.34</v>
      </c>
      <c r="H34" s="68">
        <v>173.34</v>
      </c>
      <c r="I34" s="68">
        <v>133.34</v>
      </c>
      <c r="J34" s="68">
        <v>133.44999999999999</v>
      </c>
      <c r="K34" s="68">
        <v>201.79</v>
      </c>
      <c r="L34" s="68">
        <v>173.34</v>
      </c>
      <c r="M34" s="68">
        <v>160.72999999999999</v>
      </c>
      <c r="N34" s="68">
        <v>173.34</v>
      </c>
      <c r="O34" s="68">
        <v>0</v>
      </c>
      <c r="P34" s="96">
        <v>173.34</v>
      </c>
      <c r="Q34" s="68">
        <v>165.34</v>
      </c>
      <c r="R34" s="68">
        <v>130.22</v>
      </c>
      <c r="S34" s="68">
        <v>173.34</v>
      </c>
      <c r="T34" s="68">
        <v>160.37</v>
      </c>
      <c r="U34" s="68">
        <v>70.67</v>
      </c>
      <c r="V34" s="68">
        <v>119.76</v>
      </c>
      <c r="W34" s="68">
        <v>200.75</v>
      </c>
      <c r="X34" s="68">
        <v>169.75</v>
      </c>
      <c r="Y34" s="68">
        <v>159.5</v>
      </c>
      <c r="Z34" s="68">
        <v>170</v>
      </c>
      <c r="AA34" s="68">
        <v>173.5</v>
      </c>
      <c r="AB34" s="68">
        <v>206.77</v>
      </c>
      <c r="AC34" s="68">
        <v>0</v>
      </c>
    </row>
    <row r="35" spans="1:29" x14ac:dyDescent="0.55000000000000004">
      <c r="A35" s="49" t="s">
        <v>210</v>
      </c>
      <c r="B35" s="49" t="s">
        <v>211</v>
      </c>
      <c r="C35" s="49" t="s">
        <v>191</v>
      </c>
      <c r="D35" s="49" t="s">
        <v>147</v>
      </c>
      <c r="E35" s="68">
        <v>327.66000000000003</v>
      </c>
      <c r="F35" s="68">
        <v>485.6</v>
      </c>
      <c r="G35" s="68">
        <v>438</v>
      </c>
      <c r="H35" s="68">
        <v>224.26</v>
      </c>
      <c r="I35" s="68">
        <v>494.59</v>
      </c>
      <c r="J35" s="68">
        <v>199.46</v>
      </c>
      <c r="K35" s="68">
        <v>55.83</v>
      </c>
      <c r="L35" s="68">
        <v>1141.79</v>
      </c>
      <c r="M35" s="68">
        <v>87.76</v>
      </c>
      <c r="N35" s="68">
        <v>241.81</v>
      </c>
      <c r="O35" s="68">
        <v>402.82</v>
      </c>
      <c r="P35" s="96">
        <v>304.38</v>
      </c>
      <c r="Q35" s="68">
        <v>266.73</v>
      </c>
      <c r="R35" s="68">
        <v>89.6</v>
      </c>
      <c r="S35" s="68">
        <v>511.1</v>
      </c>
      <c r="T35" s="68">
        <v>220.47</v>
      </c>
      <c r="U35" s="68">
        <v>479.18</v>
      </c>
      <c r="V35" s="68">
        <v>173.34</v>
      </c>
      <c r="W35" s="68">
        <v>231.21</v>
      </c>
      <c r="X35" s="68">
        <v>398.75</v>
      </c>
      <c r="Y35" s="68">
        <v>307.75</v>
      </c>
      <c r="Z35" s="68">
        <v>405.75</v>
      </c>
      <c r="AA35" s="68">
        <v>424.75</v>
      </c>
      <c r="AB35" s="68">
        <v>747.35</v>
      </c>
      <c r="AC35" s="68">
        <v>0</v>
      </c>
    </row>
    <row r="36" spans="1:29" x14ac:dyDescent="0.55000000000000004">
      <c r="A36" s="49" t="s">
        <v>212</v>
      </c>
      <c r="B36" s="49" t="s">
        <v>213</v>
      </c>
      <c r="C36" s="49" t="s">
        <v>191</v>
      </c>
      <c r="D36" s="49" t="s">
        <v>147</v>
      </c>
      <c r="E36" s="68">
        <v>173.34</v>
      </c>
      <c r="F36" s="68">
        <v>173.34</v>
      </c>
      <c r="G36" s="68">
        <v>165.34</v>
      </c>
      <c r="H36" s="68">
        <v>101.34</v>
      </c>
      <c r="I36" s="68">
        <v>165.34</v>
      </c>
      <c r="J36" s="68">
        <v>201.41</v>
      </c>
      <c r="K36" s="68">
        <v>173.34</v>
      </c>
      <c r="L36" s="68">
        <v>0</v>
      </c>
      <c r="M36" s="68">
        <v>173.34</v>
      </c>
      <c r="N36" s="68">
        <v>173.34</v>
      </c>
      <c r="O36" s="68">
        <v>173.34</v>
      </c>
      <c r="P36" s="96">
        <v>0</v>
      </c>
      <c r="Q36" s="68">
        <v>94.67</v>
      </c>
      <c r="R36" s="68">
        <v>0</v>
      </c>
      <c r="S36" s="68">
        <v>173.34</v>
      </c>
      <c r="T36" s="68">
        <v>156.22</v>
      </c>
      <c r="U36" s="68">
        <v>165.34</v>
      </c>
      <c r="V36" s="68">
        <v>77.34</v>
      </c>
      <c r="W36" s="68">
        <v>173.34</v>
      </c>
      <c r="X36" s="68">
        <v>0</v>
      </c>
      <c r="Y36" s="68">
        <v>183</v>
      </c>
      <c r="Z36" s="68">
        <v>173.34</v>
      </c>
      <c r="AA36" s="68">
        <v>161.5</v>
      </c>
      <c r="AB36" s="68">
        <v>173.34</v>
      </c>
      <c r="AC36" s="68">
        <v>0</v>
      </c>
    </row>
    <row r="37" spans="1:29" x14ac:dyDescent="0.55000000000000004">
      <c r="A37" s="49" t="s">
        <v>214</v>
      </c>
      <c r="B37" s="49" t="s">
        <v>215</v>
      </c>
      <c r="C37" s="49" t="s">
        <v>191</v>
      </c>
      <c r="D37" s="49" t="s">
        <v>147</v>
      </c>
      <c r="E37" s="68">
        <v>709.17</v>
      </c>
      <c r="F37" s="68">
        <v>680.76</v>
      </c>
      <c r="G37" s="68">
        <v>481.86</v>
      </c>
      <c r="H37" s="68">
        <v>367.24</v>
      </c>
      <c r="I37" s="68">
        <v>462.14</v>
      </c>
      <c r="J37" s="68">
        <v>473.35</v>
      </c>
      <c r="K37" s="68">
        <v>373.91</v>
      </c>
      <c r="L37" s="68">
        <v>625.75</v>
      </c>
      <c r="M37" s="68">
        <v>249.59</v>
      </c>
      <c r="N37" s="68">
        <v>523.94000000000005</v>
      </c>
      <c r="O37" s="68">
        <v>178.58</v>
      </c>
      <c r="P37" s="96">
        <v>540.30999999999995</v>
      </c>
      <c r="Q37" s="68">
        <v>368.28</v>
      </c>
      <c r="R37" s="68">
        <v>80</v>
      </c>
      <c r="S37" s="68">
        <v>887.64</v>
      </c>
      <c r="T37" s="68">
        <v>454.47</v>
      </c>
      <c r="U37" s="68">
        <v>732.86</v>
      </c>
      <c r="V37" s="68">
        <v>518.29</v>
      </c>
      <c r="W37" s="68">
        <v>348.58</v>
      </c>
      <c r="X37" s="68">
        <v>416.5</v>
      </c>
      <c r="Y37" s="68">
        <v>553.5</v>
      </c>
      <c r="Z37" s="68">
        <v>359</v>
      </c>
      <c r="AA37" s="68">
        <v>693.75</v>
      </c>
      <c r="AB37" s="68">
        <v>984.88</v>
      </c>
      <c r="AC37" s="68">
        <v>0</v>
      </c>
    </row>
    <row r="38" spans="1:29" x14ac:dyDescent="0.55000000000000004">
      <c r="A38" s="49" t="s">
        <v>216</v>
      </c>
      <c r="B38" s="49" t="s">
        <v>217</v>
      </c>
      <c r="C38" s="49" t="s">
        <v>191</v>
      </c>
      <c r="D38" s="49" t="s">
        <v>147</v>
      </c>
      <c r="E38" s="68">
        <v>173.34</v>
      </c>
      <c r="F38" s="68">
        <v>173.34</v>
      </c>
      <c r="G38" s="68">
        <v>173.34</v>
      </c>
      <c r="H38" s="68">
        <v>173.34</v>
      </c>
      <c r="I38" s="68">
        <v>284.01</v>
      </c>
      <c r="J38" s="68">
        <v>133.34</v>
      </c>
      <c r="K38" s="68">
        <v>173.34</v>
      </c>
      <c r="L38" s="68">
        <v>173.34</v>
      </c>
      <c r="M38" s="68">
        <v>173.34</v>
      </c>
      <c r="N38" s="68">
        <v>165.34</v>
      </c>
      <c r="O38" s="68">
        <v>173.34</v>
      </c>
      <c r="P38" s="96">
        <v>173.34</v>
      </c>
      <c r="Q38" s="68">
        <v>173.34</v>
      </c>
      <c r="R38" s="68">
        <v>173.34</v>
      </c>
      <c r="S38" s="68">
        <v>133.34</v>
      </c>
      <c r="T38" s="68">
        <v>173.34</v>
      </c>
      <c r="U38" s="68">
        <v>173.34</v>
      </c>
      <c r="V38" s="68">
        <v>0</v>
      </c>
      <c r="W38" s="68">
        <v>0</v>
      </c>
      <c r="X38" s="68">
        <v>133.34</v>
      </c>
      <c r="Y38" s="68">
        <v>173.34</v>
      </c>
      <c r="Z38" s="68">
        <v>173.34</v>
      </c>
      <c r="AA38" s="68">
        <v>173.34</v>
      </c>
      <c r="AB38" s="68">
        <v>173.34</v>
      </c>
      <c r="AC38" s="68">
        <v>0</v>
      </c>
    </row>
    <row r="39" spans="1:29" x14ac:dyDescent="0.55000000000000004">
      <c r="A39" s="49" t="s">
        <v>218</v>
      </c>
      <c r="B39" s="49" t="s">
        <v>219</v>
      </c>
      <c r="C39" s="49" t="s">
        <v>191</v>
      </c>
      <c r="D39" s="49" t="s">
        <v>147</v>
      </c>
      <c r="E39" s="68">
        <v>2277.39</v>
      </c>
      <c r="F39" s="68">
        <v>883.52</v>
      </c>
      <c r="G39" s="68">
        <v>1756.09</v>
      </c>
      <c r="H39" s="68">
        <v>1447.33</v>
      </c>
      <c r="I39" s="68">
        <v>1175.1600000000001</v>
      </c>
      <c r="J39" s="68">
        <v>890.09</v>
      </c>
      <c r="K39" s="68">
        <v>1115.23</v>
      </c>
      <c r="L39" s="68">
        <v>1322.81</v>
      </c>
      <c r="M39" s="68">
        <v>986.8</v>
      </c>
      <c r="N39" s="68">
        <v>1574.26</v>
      </c>
      <c r="O39" s="68">
        <v>878.6</v>
      </c>
      <c r="P39" s="96">
        <v>1311.66</v>
      </c>
      <c r="Q39" s="68">
        <v>908.5</v>
      </c>
      <c r="R39" s="68">
        <v>683.63</v>
      </c>
      <c r="S39" s="68">
        <v>1025.51</v>
      </c>
      <c r="T39" s="68">
        <v>1249.3</v>
      </c>
      <c r="U39" s="68">
        <v>2377.25</v>
      </c>
      <c r="V39" s="68">
        <v>742.72</v>
      </c>
      <c r="W39" s="68">
        <v>512.02</v>
      </c>
      <c r="X39" s="68">
        <v>919.92</v>
      </c>
      <c r="Y39" s="68">
        <v>781.39</v>
      </c>
      <c r="Z39" s="68">
        <v>1038</v>
      </c>
      <c r="AA39" s="68">
        <v>713.25</v>
      </c>
      <c r="AB39" s="68">
        <v>1691.78</v>
      </c>
      <c r="AC39" s="68">
        <v>0</v>
      </c>
    </row>
    <row r="40" spans="1:29" x14ac:dyDescent="0.55000000000000004">
      <c r="A40" s="49" t="s">
        <v>220</v>
      </c>
      <c r="B40" s="49" t="s">
        <v>221</v>
      </c>
      <c r="C40" s="49" t="s">
        <v>191</v>
      </c>
      <c r="D40" s="49" t="s">
        <v>147</v>
      </c>
      <c r="E40" s="68">
        <v>1768.48</v>
      </c>
      <c r="F40" s="68">
        <v>787.98</v>
      </c>
      <c r="G40" s="68">
        <v>1580.75</v>
      </c>
      <c r="H40" s="68">
        <v>810.5</v>
      </c>
      <c r="I40" s="68">
        <v>841.39</v>
      </c>
      <c r="J40" s="68">
        <v>1413.38</v>
      </c>
      <c r="K40" s="68">
        <v>1193.47</v>
      </c>
      <c r="L40" s="68">
        <v>1095.7</v>
      </c>
      <c r="M40" s="68">
        <v>1171.96</v>
      </c>
      <c r="N40" s="68">
        <v>1192.94</v>
      </c>
      <c r="O40" s="68">
        <v>697.32</v>
      </c>
      <c r="P40" s="96">
        <v>1434.66</v>
      </c>
      <c r="Q40" s="68">
        <v>474.64</v>
      </c>
      <c r="R40" s="68">
        <v>916.06</v>
      </c>
      <c r="S40" s="68">
        <v>887.62</v>
      </c>
      <c r="T40" s="68">
        <v>1023.14</v>
      </c>
      <c r="U40" s="68">
        <v>1400.88</v>
      </c>
      <c r="V40" s="68">
        <v>1065.05</v>
      </c>
      <c r="W40" s="68">
        <v>1186.72</v>
      </c>
      <c r="X40" s="68">
        <v>0</v>
      </c>
      <c r="Y40" s="68">
        <v>0</v>
      </c>
      <c r="Z40" s="68">
        <v>1460</v>
      </c>
      <c r="AA40" s="68">
        <v>0</v>
      </c>
      <c r="AB40" s="68">
        <v>2031.05</v>
      </c>
      <c r="AC40" s="68">
        <v>0</v>
      </c>
    </row>
    <row r="41" spans="1:29" x14ac:dyDescent="0.55000000000000004">
      <c r="A41" s="49" t="s">
        <v>222</v>
      </c>
      <c r="B41" s="49" t="s">
        <v>223</v>
      </c>
      <c r="C41" s="49" t="s">
        <v>191</v>
      </c>
      <c r="D41" s="49" t="s">
        <v>147</v>
      </c>
      <c r="E41" s="68">
        <v>1122.3599999999999</v>
      </c>
      <c r="F41" s="68">
        <v>1085.9000000000001</v>
      </c>
      <c r="G41" s="68">
        <v>1027.93</v>
      </c>
      <c r="H41" s="68">
        <v>689.06</v>
      </c>
      <c r="I41" s="68">
        <v>804.67</v>
      </c>
      <c r="J41" s="68">
        <v>1125.43</v>
      </c>
      <c r="K41" s="68">
        <v>972.04</v>
      </c>
      <c r="L41" s="68">
        <v>1022.87</v>
      </c>
      <c r="M41" s="68">
        <v>1015.53</v>
      </c>
      <c r="N41" s="68">
        <v>982.74</v>
      </c>
      <c r="O41" s="68">
        <v>879.92</v>
      </c>
      <c r="P41" s="96">
        <v>1766.47</v>
      </c>
      <c r="Q41" s="68">
        <v>427.13</v>
      </c>
      <c r="R41" s="68">
        <v>583.62</v>
      </c>
      <c r="S41" s="68">
        <v>601.28</v>
      </c>
      <c r="T41" s="68">
        <v>648.02</v>
      </c>
      <c r="U41" s="68">
        <v>1397.85</v>
      </c>
      <c r="V41" s="68">
        <v>927.94</v>
      </c>
      <c r="W41" s="68">
        <v>327.74</v>
      </c>
      <c r="X41" s="68">
        <v>0</v>
      </c>
      <c r="Y41" s="68">
        <v>0</v>
      </c>
      <c r="Z41" s="68">
        <v>962.34</v>
      </c>
      <c r="AA41" s="68">
        <v>0</v>
      </c>
      <c r="AB41" s="68">
        <v>948.59</v>
      </c>
      <c r="AC41" s="68">
        <v>0</v>
      </c>
    </row>
    <row r="42" spans="1:29" x14ac:dyDescent="0.55000000000000004">
      <c r="A42" s="49" t="s">
        <v>224</v>
      </c>
      <c r="B42" s="49" t="s">
        <v>225</v>
      </c>
      <c r="C42" s="49" t="s">
        <v>191</v>
      </c>
      <c r="D42" s="49" t="s">
        <v>147</v>
      </c>
      <c r="E42" s="68">
        <v>253.57</v>
      </c>
      <c r="F42" s="68">
        <v>150.47</v>
      </c>
      <c r="G42" s="68">
        <v>145</v>
      </c>
      <c r="H42" s="68">
        <v>65.23</v>
      </c>
      <c r="I42" s="68">
        <v>0</v>
      </c>
      <c r="J42" s="68">
        <v>138.91999999999999</v>
      </c>
      <c r="K42" s="68">
        <v>127.05</v>
      </c>
      <c r="L42" s="68">
        <v>0</v>
      </c>
      <c r="M42" s="68">
        <v>147.72</v>
      </c>
      <c r="N42" s="68">
        <v>176.34</v>
      </c>
      <c r="O42" s="68">
        <v>51.37</v>
      </c>
      <c r="P42" s="96">
        <v>178.83</v>
      </c>
      <c r="Q42" s="68">
        <v>175.18</v>
      </c>
      <c r="R42" s="68">
        <v>144.34</v>
      </c>
      <c r="S42" s="68">
        <v>138.66</v>
      </c>
      <c r="T42" s="68">
        <v>124.17</v>
      </c>
      <c r="U42" s="68">
        <v>243.45</v>
      </c>
      <c r="V42" s="68">
        <v>131.32</v>
      </c>
      <c r="W42" s="68">
        <v>178.11</v>
      </c>
      <c r="X42" s="68">
        <v>0</v>
      </c>
      <c r="Y42" s="68">
        <v>0</v>
      </c>
      <c r="Z42" s="68">
        <v>169</v>
      </c>
      <c r="AA42" s="68">
        <v>0</v>
      </c>
      <c r="AB42" s="68">
        <v>35.33</v>
      </c>
      <c r="AC42" s="68">
        <v>0</v>
      </c>
    </row>
    <row r="43" spans="1:29" x14ac:dyDescent="0.55000000000000004">
      <c r="A43" s="49" t="s">
        <v>226</v>
      </c>
      <c r="B43" s="49" t="s">
        <v>225</v>
      </c>
      <c r="C43" s="49" t="s">
        <v>191</v>
      </c>
      <c r="D43" s="49" t="s">
        <v>147</v>
      </c>
      <c r="E43" s="68">
        <v>253.57</v>
      </c>
      <c r="F43" s="68">
        <v>150.47</v>
      </c>
      <c r="G43" s="68">
        <v>145</v>
      </c>
      <c r="H43" s="68">
        <v>65.23</v>
      </c>
      <c r="I43" s="68">
        <v>0</v>
      </c>
      <c r="J43" s="68">
        <v>138.91999999999999</v>
      </c>
      <c r="K43" s="68">
        <v>127.05</v>
      </c>
      <c r="L43" s="68">
        <v>0</v>
      </c>
      <c r="M43" s="68">
        <v>147.72</v>
      </c>
      <c r="N43" s="68">
        <v>176.34</v>
      </c>
      <c r="O43" s="68">
        <v>51.37</v>
      </c>
      <c r="P43" s="96">
        <v>178.83</v>
      </c>
      <c r="Q43" s="68">
        <v>175.18</v>
      </c>
      <c r="R43" s="68">
        <v>144.34</v>
      </c>
      <c r="S43" s="68">
        <v>138.66</v>
      </c>
      <c r="T43" s="68">
        <v>124.17</v>
      </c>
      <c r="U43" s="68">
        <v>243.45</v>
      </c>
      <c r="V43" s="68">
        <v>131.32</v>
      </c>
      <c r="W43" s="68">
        <v>178.11</v>
      </c>
      <c r="X43" s="68">
        <v>0</v>
      </c>
      <c r="Y43" s="68">
        <v>0</v>
      </c>
      <c r="Z43" s="68">
        <v>169</v>
      </c>
      <c r="AA43" s="68">
        <v>0</v>
      </c>
      <c r="AB43" s="68">
        <v>35.33</v>
      </c>
      <c r="AC43" s="68">
        <v>0</v>
      </c>
    </row>
    <row r="44" spans="1:29" x14ac:dyDescent="0.55000000000000004">
      <c r="A44" s="49" t="s">
        <v>227</v>
      </c>
      <c r="B44" s="49" t="s">
        <v>228</v>
      </c>
      <c r="C44" s="49" t="s">
        <v>229</v>
      </c>
      <c r="D44" s="49" t="s">
        <v>147</v>
      </c>
      <c r="E44" s="68">
        <v>-118135</v>
      </c>
      <c r="F44" s="68">
        <v>-13640</v>
      </c>
      <c r="G44" s="68">
        <v>-19435.75</v>
      </c>
      <c r="H44" s="68">
        <v>-25490</v>
      </c>
      <c r="I44" s="68">
        <v>-30845</v>
      </c>
      <c r="J44" s="68">
        <v>-79469.759999999995</v>
      </c>
      <c r="K44" s="68">
        <v>-20000</v>
      </c>
      <c r="L44" s="68">
        <v>-11890</v>
      </c>
      <c r="M44" s="68">
        <v>-46750</v>
      </c>
      <c r="N44" s="68">
        <v>-34800</v>
      </c>
      <c r="O44" s="68">
        <v>-16831.36</v>
      </c>
      <c r="P44" s="96">
        <v>-1710</v>
      </c>
      <c r="Q44" s="68">
        <v>-21223.919999999998</v>
      </c>
      <c r="R44" s="68">
        <v>-13490</v>
      </c>
      <c r="S44" s="68">
        <v>-35844.080000000002</v>
      </c>
      <c r="T44" s="68">
        <v>30792.84</v>
      </c>
      <c r="U44" s="68">
        <v>-98677.58</v>
      </c>
      <c r="V44" s="68">
        <v>-2100</v>
      </c>
      <c r="W44" s="68">
        <v>8341.2999999999993</v>
      </c>
      <c r="X44" s="68">
        <v>16979.580000000002</v>
      </c>
      <c r="Y44" s="68">
        <v>-44323.16</v>
      </c>
      <c r="Z44" s="68">
        <v>-56450</v>
      </c>
      <c r="AA44" s="68">
        <v>-61518.559999999998</v>
      </c>
      <c r="AB44" s="68">
        <v>-66420</v>
      </c>
      <c r="AC44" s="68">
        <v>0</v>
      </c>
    </row>
    <row r="45" spans="1:29" x14ac:dyDescent="0.55000000000000004">
      <c r="A45" s="49" t="s">
        <v>230</v>
      </c>
      <c r="B45" s="49" t="s">
        <v>231</v>
      </c>
      <c r="C45" s="49" t="s">
        <v>232</v>
      </c>
      <c r="D45" s="49" t="s">
        <v>147</v>
      </c>
      <c r="E45" s="68">
        <v>-76745</v>
      </c>
      <c r="F45" s="68">
        <v>-72270</v>
      </c>
      <c r="G45" s="68">
        <v>-93400</v>
      </c>
      <c r="H45" s="68">
        <v>-19890</v>
      </c>
      <c r="I45" s="68">
        <v>-770</v>
      </c>
      <c r="J45" s="68">
        <v>-44450</v>
      </c>
      <c r="K45" s="68">
        <v>-9600</v>
      </c>
      <c r="L45" s="68">
        <v>-51455</v>
      </c>
      <c r="M45" s="68">
        <v>-154422.32999999999</v>
      </c>
      <c r="N45" s="68">
        <v>-145772.5</v>
      </c>
      <c r="O45" s="68">
        <v>-177300</v>
      </c>
      <c r="P45" s="96">
        <v>-164945</v>
      </c>
      <c r="Q45" s="68">
        <v>-64575</v>
      </c>
      <c r="R45" s="68">
        <v>-81000</v>
      </c>
      <c r="S45" s="68">
        <v>-55900</v>
      </c>
      <c r="T45" s="68">
        <v>-39550</v>
      </c>
      <c r="U45" s="68">
        <v>-455896</v>
      </c>
      <c r="V45" s="68">
        <v>-130200</v>
      </c>
      <c r="W45" s="68">
        <v>-56925</v>
      </c>
      <c r="X45" s="68">
        <v>-64060</v>
      </c>
      <c r="Y45" s="68">
        <v>-57115</v>
      </c>
      <c r="Z45" s="68">
        <v>-40625</v>
      </c>
      <c r="AA45" s="68">
        <v>-23840</v>
      </c>
      <c r="AB45" s="68">
        <v>-598860</v>
      </c>
      <c r="AC45" s="68">
        <v>0</v>
      </c>
    </row>
    <row r="46" spans="1:29" x14ac:dyDescent="0.55000000000000004">
      <c r="A46" s="49" t="s">
        <v>233</v>
      </c>
      <c r="B46" s="49" t="s">
        <v>234</v>
      </c>
      <c r="C46" s="49" t="s">
        <v>235</v>
      </c>
      <c r="D46" s="49" t="s">
        <v>147</v>
      </c>
      <c r="E46" s="68">
        <v>0</v>
      </c>
      <c r="F46" s="68">
        <v>0</v>
      </c>
      <c r="G46" s="68">
        <v>0</v>
      </c>
      <c r="H46" s="68">
        <v>0</v>
      </c>
      <c r="I46" s="68">
        <v>0</v>
      </c>
      <c r="J46" s="68">
        <v>0</v>
      </c>
      <c r="K46" s="68">
        <v>0</v>
      </c>
      <c r="L46" s="68">
        <v>0</v>
      </c>
      <c r="M46" s="68">
        <v>0</v>
      </c>
      <c r="N46" s="68">
        <v>0</v>
      </c>
      <c r="O46" s="68">
        <v>0</v>
      </c>
      <c r="P46" s="96">
        <v>0</v>
      </c>
      <c r="Q46" s="68">
        <v>-149679.32999999999</v>
      </c>
      <c r="R46" s="68">
        <v>0</v>
      </c>
      <c r="S46" s="68">
        <v>-99500</v>
      </c>
      <c r="T46" s="68">
        <v>0</v>
      </c>
      <c r="U46" s="68">
        <v>0</v>
      </c>
      <c r="V46" s="68">
        <v>0</v>
      </c>
      <c r="W46" s="68">
        <v>0</v>
      </c>
      <c r="X46" s="68">
        <v>-23250</v>
      </c>
      <c r="Y46" s="68">
        <v>0</v>
      </c>
      <c r="Z46" s="68">
        <v>0</v>
      </c>
      <c r="AA46" s="68">
        <v>-29600</v>
      </c>
      <c r="AB46" s="68">
        <v>0</v>
      </c>
      <c r="AC46" s="68">
        <v>0</v>
      </c>
    </row>
    <row r="47" spans="1:29" x14ac:dyDescent="0.55000000000000004">
      <c r="A47" s="49" t="s">
        <v>236</v>
      </c>
      <c r="B47" s="49" t="s">
        <v>237</v>
      </c>
      <c r="C47" s="49" t="s">
        <v>238</v>
      </c>
      <c r="D47" s="49" t="s">
        <v>147</v>
      </c>
      <c r="E47" s="68">
        <v>-415170</v>
      </c>
      <c r="F47" s="68">
        <v>-165460</v>
      </c>
      <c r="G47" s="68">
        <v>-270950</v>
      </c>
      <c r="H47" s="68">
        <v>-163912.5</v>
      </c>
      <c r="I47" s="68">
        <v>-244270</v>
      </c>
      <c r="J47" s="68">
        <v>-620050</v>
      </c>
      <c r="K47" s="68">
        <v>-327900</v>
      </c>
      <c r="L47" s="68">
        <v>-162955</v>
      </c>
      <c r="M47" s="68">
        <v>-235550</v>
      </c>
      <c r="N47" s="68">
        <v>-243300</v>
      </c>
      <c r="O47" s="68">
        <v>-148800</v>
      </c>
      <c r="P47" s="96">
        <v>-330880</v>
      </c>
      <c r="Q47" s="68">
        <v>-52400</v>
      </c>
      <c r="R47" s="68">
        <v>-216450</v>
      </c>
      <c r="S47" s="68">
        <v>-163000</v>
      </c>
      <c r="T47" s="68">
        <v>-206200</v>
      </c>
      <c r="U47" s="68">
        <v>-495110</v>
      </c>
      <c r="V47" s="68">
        <v>-232732</v>
      </c>
      <c r="W47" s="68">
        <v>-160875</v>
      </c>
      <c r="X47" s="68">
        <v>-212045</v>
      </c>
      <c r="Y47" s="68">
        <v>-307025</v>
      </c>
      <c r="Z47" s="68">
        <v>-392100</v>
      </c>
      <c r="AA47" s="68">
        <v>-205600</v>
      </c>
      <c r="AB47" s="68">
        <v>-154980</v>
      </c>
      <c r="AC47" s="68">
        <v>0</v>
      </c>
    </row>
    <row r="48" spans="1:29" x14ac:dyDescent="0.55000000000000004">
      <c r="A48" s="49" t="s">
        <v>239</v>
      </c>
      <c r="B48" s="49" t="s">
        <v>240</v>
      </c>
      <c r="C48" s="49" t="s">
        <v>241</v>
      </c>
      <c r="D48" s="49" t="s">
        <v>147</v>
      </c>
      <c r="E48" s="68">
        <v>-53865</v>
      </c>
      <c r="F48" s="68">
        <v>-46420.02</v>
      </c>
      <c r="G48" s="68">
        <v>-591144.43000000005</v>
      </c>
      <c r="H48" s="68">
        <v>-89542.5</v>
      </c>
      <c r="I48" s="68">
        <v>-26805</v>
      </c>
      <c r="J48" s="68">
        <v>0</v>
      </c>
      <c r="K48" s="68">
        <v>-52200</v>
      </c>
      <c r="L48" s="68">
        <v>-40500</v>
      </c>
      <c r="M48" s="68">
        <v>-100550</v>
      </c>
      <c r="N48" s="68">
        <v>-388200</v>
      </c>
      <c r="O48" s="68">
        <v>-32550</v>
      </c>
      <c r="P48" s="96">
        <v>-11605</v>
      </c>
      <c r="Q48" s="68">
        <v>-542424.9</v>
      </c>
      <c r="R48" s="68">
        <v>-332542.08000000002</v>
      </c>
      <c r="S48" s="68">
        <v>-18355.919999999998</v>
      </c>
      <c r="T48" s="68">
        <v>-148800.76</v>
      </c>
      <c r="U48" s="68">
        <v>-19350</v>
      </c>
      <c r="V48" s="68">
        <v>-222950</v>
      </c>
      <c r="W48" s="68">
        <v>-89910.15</v>
      </c>
      <c r="X48" s="68">
        <v>-611580.93999999994</v>
      </c>
      <c r="Y48" s="68">
        <v>-737045.06</v>
      </c>
      <c r="Z48" s="68">
        <v>-597075</v>
      </c>
      <c r="AA48" s="68">
        <v>-706063.3</v>
      </c>
      <c r="AB48" s="68">
        <v>-555660</v>
      </c>
      <c r="AC48" s="68">
        <v>0</v>
      </c>
    </row>
    <row r="49" spans="1:29" x14ac:dyDescent="0.55000000000000004">
      <c r="A49" s="49" t="s">
        <v>242</v>
      </c>
      <c r="B49" s="49" t="s">
        <v>243</v>
      </c>
      <c r="C49" s="49" t="s">
        <v>244</v>
      </c>
      <c r="D49" s="49" t="s">
        <v>147</v>
      </c>
      <c r="E49" s="68">
        <v>-37050</v>
      </c>
      <c r="F49" s="68">
        <v>-13410</v>
      </c>
      <c r="G49" s="68">
        <v>-29450</v>
      </c>
      <c r="H49" s="68">
        <v>0</v>
      </c>
      <c r="I49" s="68">
        <v>-16480</v>
      </c>
      <c r="J49" s="68">
        <v>0</v>
      </c>
      <c r="K49" s="68">
        <v>-26700</v>
      </c>
      <c r="L49" s="68">
        <v>-42075</v>
      </c>
      <c r="M49" s="68">
        <v>-558.26</v>
      </c>
      <c r="N49" s="68">
        <v>18600</v>
      </c>
      <c r="O49" s="68">
        <v>-495.04</v>
      </c>
      <c r="P49" s="96">
        <v>0</v>
      </c>
      <c r="Q49" s="68">
        <v>-57300</v>
      </c>
      <c r="R49" s="68">
        <v>0</v>
      </c>
      <c r="S49" s="68">
        <v>-66900</v>
      </c>
      <c r="T49" s="68">
        <v>-69692.479999999996</v>
      </c>
      <c r="U49" s="68">
        <v>0</v>
      </c>
      <c r="V49" s="68">
        <v>0</v>
      </c>
      <c r="W49" s="68">
        <v>0</v>
      </c>
      <c r="X49" s="68">
        <v>-11825</v>
      </c>
      <c r="Y49" s="68">
        <v>-34790</v>
      </c>
      <c r="Z49" s="68">
        <v>-9450</v>
      </c>
      <c r="AA49" s="68">
        <v>-8680</v>
      </c>
      <c r="AB49" s="68">
        <v>0</v>
      </c>
      <c r="AC49" s="68">
        <v>0</v>
      </c>
    </row>
    <row r="50" spans="1:29" x14ac:dyDescent="0.55000000000000004">
      <c r="A50" s="49" t="s">
        <v>245</v>
      </c>
      <c r="B50" s="49" t="s">
        <v>246</v>
      </c>
      <c r="C50" s="49" t="s">
        <v>241</v>
      </c>
      <c r="D50" s="49" t="s">
        <v>147</v>
      </c>
      <c r="E50" s="68">
        <v>-174705</v>
      </c>
      <c r="F50" s="68">
        <v>-308670.15999999997</v>
      </c>
      <c r="G50" s="68">
        <v>0</v>
      </c>
      <c r="H50" s="68">
        <v>-290047.17</v>
      </c>
      <c r="I50" s="68">
        <v>-362858.47</v>
      </c>
      <c r="J50" s="68">
        <v>0</v>
      </c>
      <c r="K50" s="68">
        <v>-157200</v>
      </c>
      <c r="L50" s="68">
        <v>-538435.28</v>
      </c>
      <c r="M50" s="68">
        <v>0</v>
      </c>
      <c r="N50" s="68">
        <v>0</v>
      </c>
      <c r="O50" s="68">
        <v>-152775</v>
      </c>
      <c r="P50" s="96">
        <v>-105010</v>
      </c>
      <c r="Q50" s="68">
        <v>0</v>
      </c>
      <c r="R50" s="68">
        <v>0</v>
      </c>
      <c r="S50" s="68">
        <v>-445345</v>
      </c>
      <c r="T50" s="68">
        <v>0</v>
      </c>
      <c r="U50" s="68">
        <v>0</v>
      </c>
      <c r="V50" s="68">
        <v>0</v>
      </c>
      <c r="W50" s="68">
        <v>-410463.89</v>
      </c>
      <c r="X50" s="68">
        <v>0</v>
      </c>
      <c r="Y50" s="68">
        <v>-355</v>
      </c>
      <c r="Z50" s="68">
        <v>0</v>
      </c>
      <c r="AA50" s="68">
        <v>0</v>
      </c>
      <c r="AB50" s="68">
        <v>0</v>
      </c>
      <c r="AC50" s="68">
        <v>0</v>
      </c>
    </row>
    <row r="51" spans="1:29" x14ac:dyDescent="0.55000000000000004">
      <c r="A51" s="49" t="s">
        <v>247</v>
      </c>
      <c r="B51" s="49" t="s">
        <v>248</v>
      </c>
      <c r="C51" s="49" t="s">
        <v>241</v>
      </c>
      <c r="D51" s="49" t="s">
        <v>147</v>
      </c>
      <c r="E51" s="68">
        <v>0</v>
      </c>
      <c r="F51" s="68">
        <v>0</v>
      </c>
      <c r="G51" s="68">
        <v>0</v>
      </c>
      <c r="H51" s="68">
        <v>0</v>
      </c>
      <c r="I51" s="68">
        <v>0</v>
      </c>
      <c r="J51" s="68">
        <v>0</v>
      </c>
      <c r="K51" s="68">
        <v>0</v>
      </c>
      <c r="L51" s="68">
        <v>0</v>
      </c>
      <c r="M51" s="68">
        <v>0</v>
      </c>
      <c r="N51" s="68">
        <v>0</v>
      </c>
      <c r="O51" s="68">
        <v>0</v>
      </c>
      <c r="P51" s="96">
        <v>0</v>
      </c>
      <c r="Q51" s="68">
        <v>0</v>
      </c>
      <c r="R51" s="68">
        <v>0</v>
      </c>
      <c r="S51" s="68">
        <v>0</v>
      </c>
      <c r="T51" s="68">
        <v>0</v>
      </c>
      <c r="U51" s="68">
        <v>0</v>
      </c>
      <c r="V51" s="68">
        <v>0</v>
      </c>
      <c r="W51" s="68">
        <v>0</v>
      </c>
      <c r="X51" s="68">
        <v>0</v>
      </c>
      <c r="Y51" s="68">
        <v>0</v>
      </c>
      <c r="Z51" s="68">
        <v>0</v>
      </c>
      <c r="AA51" s="68">
        <v>0</v>
      </c>
      <c r="AB51" s="68">
        <v>-740880</v>
      </c>
      <c r="AC51" s="68">
        <v>0</v>
      </c>
    </row>
    <row r="52" spans="1:29" x14ac:dyDescent="0.55000000000000004">
      <c r="A52" s="49" t="s">
        <v>249</v>
      </c>
      <c r="B52" s="49" t="s">
        <v>250</v>
      </c>
      <c r="C52" s="49" t="s">
        <v>229</v>
      </c>
      <c r="D52" s="49" t="s">
        <v>147</v>
      </c>
      <c r="E52" s="68">
        <v>-3990</v>
      </c>
      <c r="F52" s="68">
        <v>-570</v>
      </c>
      <c r="G52" s="68">
        <v>0</v>
      </c>
      <c r="H52" s="68">
        <v>0</v>
      </c>
      <c r="I52" s="68">
        <v>0</v>
      </c>
      <c r="J52" s="68">
        <v>0</v>
      </c>
      <c r="K52" s="68">
        <v>-600</v>
      </c>
      <c r="L52" s="68">
        <v>0</v>
      </c>
      <c r="M52" s="68">
        <v>0</v>
      </c>
      <c r="N52" s="68">
        <v>0</v>
      </c>
      <c r="O52" s="68">
        <v>-300</v>
      </c>
      <c r="P52" s="96">
        <v>-305</v>
      </c>
      <c r="Q52" s="68">
        <v>0</v>
      </c>
      <c r="R52" s="68">
        <v>0</v>
      </c>
      <c r="S52" s="68">
        <v>0</v>
      </c>
      <c r="T52" s="68">
        <v>-700</v>
      </c>
      <c r="U52" s="68">
        <v>0</v>
      </c>
      <c r="V52" s="68">
        <v>0</v>
      </c>
      <c r="W52" s="68">
        <v>-2475</v>
      </c>
      <c r="X52" s="68">
        <v>0</v>
      </c>
      <c r="Y52" s="68">
        <v>0</v>
      </c>
      <c r="Z52" s="68">
        <v>0</v>
      </c>
      <c r="AA52" s="68">
        <v>0</v>
      </c>
      <c r="AB52" s="68">
        <v>0</v>
      </c>
      <c r="AC52" s="68">
        <v>0</v>
      </c>
    </row>
    <row r="53" spans="1:29" x14ac:dyDescent="0.55000000000000004">
      <c r="A53" s="49" t="s">
        <v>932</v>
      </c>
      <c r="B53" s="49" t="s">
        <v>933</v>
      </c>
      <c r="C53" s="49" t="s">
        <v>244</v>
      </c>
      <c r="D53" s="49" t="s">
        <v>147</v>
      </c>
      <c r="E53" s="68">
        <v>0</v>
      </c>
      <c r="F53" s="68">
        <v>0</v>
      </c>
      <c r="G53" s="68">
        <v>0</v>
      </c>
      <c r="H53" s="68">
        <v>0</v>
      </c>
      <c r="I53" s="68">
        <v>0</v>
      </c>
      <c r="J53" s="68">
        <v>0</v>
      </c>
      <c r="K53" s="68">
        <v>0</v>
      </c>
      <c r="L53" s="68">
        <v>0</v>
      </c>
      <c r="M53" s="68">
        <v>0</v>
      </c>
      <c r="N53" s="68">
        <v>0</v>
      </c>
      <c r="O53" s="68">
        <v>0</v>
      </c>
      <c r="P53" s="96">
        <v>0</v>
      </c>
      <c r="Q53" s="68">
        <v>-499.53</v>
      </c>
      <c r="R53" s="68">
        <v>0</v>
      </c>
      <c r="S53" s="68">
        <v>-2100</v>
      </c>
      <c r="T53" s="68">
        <v>0</v>
      </c>
      <c r="U53" s="68">
        <v>0</v>
      </c>
      <c r="V53" s="68">
        <v>0</v>
      </c>
      <c r="W53" s="68">
        <v>0</v>
      </c>
      <c r="X53" s="68">
        <v>0</v>
      </c>
      <c r="Y53" s="68">
        <v>0</v>
      </c>
      <c r="Z53" s="68">
        <v>0</v>
      </c>
      <c r="AA53" s="68">
        <v>0</v>
      </c>
      <c r="AB53" s="68">
        <v>0</v>
      </c>
      <c r="AC53" s="68">
        <v>0</v>
      </c>
    </row>
    <row r="54" spans="1:29" x14ac:dyDescent="0.55000000000000004">
      <c r="A54" s="49" t="s">
        <v>251</v>
      </c>
      <c r="B54" s="49" t="s">
        <v>252</v>
      </c>
      <c r="C54" s="49" t="s">
        <v>241</v>
      </c>
      <c r="D54" s="49" t="s">
        <v>147</v>
      </c>
      <c r="E54" s="68">
        <v>0</v>
      </c>
      <c r="F54" s="68">
        <v>-945</v>
      </c>
      <c r="G54" s="68">
        <v>-15550</v>
      </c>
      <c r="H54" s="68">
        <v>-3140</v>
      </c>
      <c r="I54" s="68">
        <v>-1750</v>
      </c>
      <c r="J54" s="68">
        <v>-15150</v>
      </c>
      <c r="K54" s="68">
        <v>300</v>
      </c>
      <c r="L54" s="68">
        <v>-3445</v>
      </c>
      <c r="M54" s="68">
        <v>-7150</v>
      </c>
      <c r="N54" s="68">
        <v>-1500</v>
      </c>
      <c r="O54" s="68">
        <v>-3150</v>
      </c>
      <c r="P54" s="96">
        <v>0</v>
      </c>
      <c r="Q54" s="68">
        <v>-4850</v>
      </c>
      <c r="R54" s="68">
        <v>0</v>
      </c>
      <c r="S54" s="68">
        <v>0</v>
      </c>
      <c r="T54" s="68">
        <v>0</v>
      </c>
      <c r="U54" s="68">
        <v>0</v>
      </c>
      <c r="V54" s="68">
        <v>-2800</v>
      </c>
      <c r="W54" s="68">
        <v>-4400</v>
      </c>
      <c r="X54" s="68">
        <v>0</v>
      </c>
      <c r="Y54" s="68">
        <v>0</v>
      </c>
      <c r="Z54" s="68">
        <v>0</v>
      </c>
      <c r="AA54" s="68">
        <v>0</v>
      </c>
      <c r="AB54" s="68">
        <v>0</v>
      </c>
      <c r="AC54" s="68">
        <v>0</v>
      </c>
    </row>
    <row r="55" spans="1:29" x14ac:dyDescent="0.55000000000000004">
      <c r="A55" s="49" t="s">
        <v>955</v>
      </c>
      <c r="B55" s="49" t="s">
        <v>956</v>
      </c>
      <c r="C55" s="49" t="s">
        <v>241</v>
      </c>
      <c r="D55" s="49" t="s">
        <v>147</v>
      </c>
      <c r="E55" s="68">
        <v>0</v>
      </c>
      <c r="F55" s="68">
        <v>0</v>
      </c>
      <c r="G55" s="68">
        <v>0</v>
      </c>
      <c r="H55" s="68">
        <v>0</v>
      </c>
      <c r="I55" s="68">
        <v>0</v>
      </c>
      <c r="J55" s="68">
        <v>0</v>
      </c>
      <c r="K55" s="68">
        <v>0</v>
      </c>
      <c r="L55" s="68">
        <v>0</v>
      </c>
      <c r="M55" s="68">
        <v>-700</v>
      </c>
      <c r="N55" s="68">
        <v>0</v>
      </c>
      <c r="O55" s="68">
        <v>0</v>
      </c>
      <c r="P55" s="96">
        <v>0</v>
      </c>
      <c r="Q55" s="68">
        <v>0</v>
      </c>
      <c r="R55" s="68">
        <v>-8100</v>
      </c>
      <c r="S55" s="68">
        <v>0</v>
      </c>
      <c r="T55" s="68">
        <v>0</v>
      </c>
      <c r="U55" s="68">
        <v>0</v>
      </c>
      <c r="V55" s="68">
        <v>0</v>
      </c>
      <c r="W55" s="68">
        <v>0</v>
      </c>
      <c r="X55" s="68">
        <v>0</v>
      </c>
      <c r="Y55" s="68">
        <v>0</v>
      </c>
      <c r="Z55" s="68">
        <v>0</v>
      </c>
      <c r="AA55" s="68">
        <v>0</v>
      </c>
      <c r="AB55" s="68">
        <v>0</v>
      </c>
      <c r="AC55" s="68">
        <v>0</v>
      </c>
    </row>
    <row r="56" spans="1:29" x14ac:dyDescent="0.55000000000000004">
      <c r="A56" s="49" t="s">
        <v>253</v>
      </c>
      <c r="B56" s="49" t="s">
        <v>254</v>
      </c>
      <c r="C56" s="49" t="s">
        <v>241</v>
      </c>
      <c r="D56" s="49" t="s">
        <v>147</v>
      </c>
      <c r="E56" s="68">
        <v>-2565</v>
      </c>
      <c r="F56" s="68">
        <v>-8040</v>
      </c>
      <c r="G56" s="68">
        <v>0</v>
      </c>
      <c r="H56" s="68">
        <v>-5870</v>
      </c>
      <c r="I56" s="68">
        <v>-13705</v>
      </c>
      <c r="J56" s="68">
        <v>0</v>
      </c>
      <c r="K56" s="68">
        <v>-3000</v>
      </c>
      <c r="L56" s="68">
        <v>-19475</v>
      </c>
      <c r="M56" s="68">
        <v>0</v>
      </c>
      <c r="N56" s="68">
        <v>0</v>
      </c>
      <c r="O56" s="68">
        <v>-9450</v>
      </c>
      <c r="P56" s="96">
        <v>0</v>
      </c>
      <c r="Q56" s="68">
        <v>0</v>
      </c>
      <c r="R56" s="68">
        <v>0</v>
      </c>
      <c r="S56" s="68">
        <v>-11700</v>
      </c>
      <c r="T56" s="68">
        <v>0</v>
      </c>
      <c r="U56" s="68">
        <v>0</v>
      </c>
      <c r="V56" s="68">
        <v>0</v>
      </c>
      <c r="W56" s="68">
        <v>-3575</v>
      </c>
      <c r="X56" s="68">
        <v>0</v>
      </c>
      <c r="Y56" s="68">
        <v>0</v>
      </c>
      <c r="Z56" s="68">
        <v>0</v>
      </c>
      <c r="AA56" s="68">
        <v>0</v>
      </c>
      <c r="AB56" s="68">
        <v>0</v>
      </c>
      <c r="AC56" s="68">
        <v>0</v>
      </c>
    </row>
    <row r="57" spans="1:29" x14ac:dyDescent="0.55000000000000004">
      <c r="A57" s="49" t="s">
        <v>255</v>
      </c>
      <c r="B57" s="49" t="s">
        <v>256</v>
      </c>
      <c r="C57" s="49" t="s">
        <v>229</v>
      </c>
      <c r="D57" s="49" t="s">
        <v>257</v>
      </c>
      <c r="E57" s="68">
        <v>428.1</v>
      </c>
      <c r="F57" s="68">
        <v>344.32</v>
      </c>
      <c r="G57" s="68">
        <v>-106.52</v>
      </c>
      <c r="H57" s="68">
        <v>-868.5</v>
      </c>
      <c r="I57" s="68">
        <v>0</v>
      </c>
      <c r="J57" s="68">
        <v>0</v>
      </c>
      <c r="K57" s="68">
        <v>0</v>
      </c>
      <c r="L57" s="68">
        <v>0</v>
      </c>
      <c r="M57" s="68">
        <v>0</v>
      </c>
      <c r="N57" s="68">
        <v>-493.8</v>
      </c>
      <c r="O57" s="68">
        <v>0</v>
      </c>
      <c r="P57" s="96">
        <v>0</v>
      </c>
      <c r="Q57" s="68">
        <v>-901.64</v>
      </c>
      <c r="R57" s="68">
        <v>-160</v>
      </c>
      <c r="S57" s="68">
        <v>-1.8</v>
      </c>
      <c r="T57" s="68">
        <v>0</v>
      </c>
      <c r="U57" s="68">
        <v>-2058.8000000000002</v>
      </c>
      <c r="V57" s="68">
        <v>0</v>
      </c>
      <c r="W57" s="68">
        <v>-3110.84</v>
      </c>
      <c r="X57" s="68">
        <v>0</v>
      </c>
      <c r="Y57" s="68">
        <v>-240.32</v>
      </c>
      <c r="Z57" s="68">
        <v>-125.98</v>
      </c>
      <c r="AA57" s="68">
        <v>-1683.81</v>
      </c>
      <c r="AB57" s="68">
        <v>-51357.68</v>
      </c>
      <c r="AC57" s="68">
        <v>0</v>
      </c>
    </row>
    <row r="58" spans="1:29" x14ac:dyDescent="0.55000000000000004">
      <c r="A58" s="49" t="s">
        <v>258</v>
      </c>
      <c r="B58" s="49" t="s">
        <v>259</v>
      </c>
      <c r="C58" s="49" t="s">
        <v>232</v>
      </c>
      <c r="D58" s="49" t="s">
        <v>257</v>
      </c>
      <c r="E58" s="68">
        <v>-2252.6799999999998</v>
      </c>
      <c r="F58" s="68">
        <v>-33140.559999999998</v>
      </c>
      <c r="G58" s="68">
        <v>-482.9</v>
      </c>
      <c r="H58" s="68">
        <v>-224.4</v>
      </c>
      <c r="I58" s="68">
        <v>0</v>
      </c>
      <c r="J58" s="68">
        <v>4482.8</v>
      </c>
      <c r="K58" s="68">
        <v>-84.1</v>
      </c>
      <c r="L58" s="68">
        <v>-20506.38</v>
      </c>
      <c r="M58" s="68">
        <v>-1136.44</v>
      </c>
      <c r="N58" s="68">
        <v>-5576.94</v>
      </c>
      <c r="O58" s="68">
        <v>-2437</v>
      </c>
      <c r="P58" s="96">
        <v>-2343.8200000000002</v>
      </c>
      <c r="Q58" s="68">
        <v>-3494.42</v>
      </c>
      <c r="R58" s="68">
        <v>0</v>
      </c>
      <c r="S58" s="68">
        <v>-10260.14</v>
      </c>
      <c r="T58" s="68">
        <v>-2361.64</v>
      </c>
      <c r="U58" s="68">
        <v>-24514.86</v>
      </c>
      <c r="V58" s="68">
        <v>-291.64</v>
      </c>
      <c r="W58" s="68">
        <v>-3084.8</v>
      </c>
      <c r="X58" s="68">
        <v>0</v>
      </c>
      <c r="Y58" s="68">
        <v>-1351.23</v>
      </c>
      <c r="Z58" s="68">
        <v>-1275.52</v>
      </c>
      <c r="AA58" s="68">
        <v>934.88</v>
      </c>
      <c r="AB58" s="68">
        <v>-7810.57</v>
      </c>
      <c r="AC58" s="68">
        <v>0</v>
      </c>
    </row>
    <row r="59" spans="1:29" x14ac:dyDescent="0.55000000000000004">
      <c r="A59" s="49" t="s">
        <v>260</v>
      </c>
      <c r="B59" s="49" t="s">
        <v>261</v>
      </c>
      <c r="C59" s="49" t="s">
        <v>235</v>
      </c>
      <c r="D59" s="49" t="s">
        <v>257</v>
      </c>
      <c r="E59" s="68">
        <v>0</v>
      </c>
      <c r="F59" s="68">
        <v>0</v>
      </c>
      <c r="G59" s="68">
        <v>0</v>
      </c>
      <c r="H59" s="68">
        <v>0</v>
      </c>
      <c r="I59" s="68">
        <v>0</v>
      </c>
      <c r="J59" s="68">
        <v>0</v>
      </c>
      <c r="K59" s="68">
        <v>0</v>
      </c>
      <c r="L59" s="68">
        <v>0</v>
      </c>
      <c r="M59" s="68">
        <v>0</v>
      </c>
      <c r="N59" s="68">
        <v>0</v>
      </c>
      <c r="O59" s="68">
        <v>0</v>
      </c>
      <c r="P59" s="96">
        <v>0</v>
      </c>
      <c r="Q59" s="68">
        <v>-6806.64</v>
      </c>
      <c r="R59" s="68">
        <v>0</v>
      </c>
      <c r="S59" s="68">
        <v>-1617.46</v>
      </c>
      <c r="T59" s="68">
        <v>0</v>
      </c>
      <c r="U59" s="68">
        <v>0</v>
      </c>
      <c r="V59" s="68">
        <v>0</v>
      </c>
      <c r="W59" s="68">
        <v>0</v>
      </c>
      <c r="X59" s="68">
        <v>-90.88</v>
      </c>
      <c r="Y59" s="68">
        <v>0</v>
      </c>
      <c r="Z59" s="68">
        <v>0</v>
      </c>
      <c r="AA59" s="68">
        <v>-77.36</v>
      </c>
      <c r="AB59" s="68">
        <v>0</v>
      </c>
      <c r="AC59" s="68">
        <v>0</v>
      </c>
    </row>
    <row r="60" spans="1:29" x14ac:dyDescent="0.55000000000000004">
      <c r="A60" s="49" t="s">
        <v>262</v>
      </c>
      <c r="B60" s="49" t="s">
        <v>263</v>
      </c>
      <c r="C60" s="49" t="s">
        <v>238</v>
      </c>
      <c r="D60" s="49" t="s">
        <v>257</v>
      </c>
      <c r="E60" s="68">
        <v>-5831.46</v>
      </c>
      <c r="F60" s="68">
        <v>-11713.4</v>
      </c>
      <c r="G60" s="68">
        <v>-2630.9</v>
      </c>
      <c r="H60" s="68">
        <v>-3605.84</v>
      </c>
      <c r="I60" s="68">
        <v>-21495.66</v>
      </c>
      <c r="J60" s="68">
        <v>-32753.7</v>
      </c>
      <c r="K60" s="68">
        <v>-8053.26</v>
      </c>
      <c r="L60" s="68">
        <v>-33597.32</v>
      </c>
      <c r="M60" s="68">
        <v>-1598.62</v>
      </c>
      <c r="N60" s="68">
        <v>-1840.76</v>
      </c>
      <c r="O60" s="68">
        <v>-10914.5</v>
      </c>
      <c r="P60" s="96">
        <v>-6241.62</v>
      </c>
      <c r="Q60" s="68">
        <v>-2306.04</v>
      </c>
      <c r="R60" s="68">
        <v>-60</v>
      </c>
      <c r="S60" s="68">
        <v>-8038.64</v>
      </c>
      <c r="T60" s="68">
        <v>-3278.09</v>
      </c>
      <c r="U60" s="68">
        <v>-55616.4</v>
      </c>
      <c r="V60" s="68">
        <v>-2023.68</v>
      </c>
      <c r="W60" s="68">
        <v>-18064.87</v>
      </c>
      <c r="X60" s="68">
        <v>-214.26</v>
      </c>
      <c r="Y60" s="68">
        <v>-10819.2</v>
      </c>
      <c r="Z60" s="68">
        <v>-2335.42</v>
      </c>
      <c r="AA60" s="68">
        <v>-4257.6000000000004</v>
      </c>
      <c r="AB60" s="68">
        <v>36951.089999999997</v>
      </c>
      <c r="AC60" s="68">
        <v>0</v>
      </c>
    </row>
    <row r="61" spans="1:29" x14ac:dyDescent="0.55000000000000004">
      <c r="A61" s="49" t="s">
        <v>264</v>
      </c>
      <c r="B61" s="49" t="s">
        <v>265</v>
      </c>
      <c r="C61" s="49" t="s">
        <v>241</v>
      </c>
      <c r="D61" s="49" t="s">
        <v>257</v>
      </c>
      <c r="E61" s="68">
        <v>-1544.96</v>
      </c>
      <c r="F61" s="68">
        <v>-2298.08</v>
      </c>
      <c r="G61" s="68">
        <v>-3247.75</v>
      </c>
      <c r="H61" s="68">
        <v>-170.9</v>
      </c>
      <c r="I61" s="68">
        <v>-80</v>
      </c>
      <c r="J61" s="68">
        <v>0</v>
      </c>
      <c r="K61" s="68">
        <v>-164.6</v>
      </c>
      <c r="L61" s="68">
        <v>321.36</v>
      </c>
      <c r="M61" s="68">
        <v>0</v>
      </c>
      <c r="N61" s="68">
        <v>0</v>
      </c>
      <c r="O61" s="68">
        <v>0</v>
      </c>
      <c r="P61" s="96">
        <v>-54</v>
      </c>
      <c r="Q61" s="68">
        <v>-8335.93</v>
      </c>
      <c r="R61" s="68">
        <v>0</v>
      </c>
      <c r="S61" s="68">
        <v>-175.5</v>
      </c>
      <c r="T61" s="68">
        <v>-266.60000000000002</v>
      </c>
      <c r="U61" s="68">
        <v>158.4</v>
      </c>
      <c r="V61" s="68">
        <v>-729.14</v>
      </c>
      <c r="W61" s="68">
        <v>-6149.74</v>
      </c>
      <c r="X61" s="68">
        <v>-1423.02</v>
      </c>
      <c r="Y61" s="68">
        <v>-1246.48</v>
      </c>
      <c r="Z61" s="68">
        <v>-233.94</v>
      </c>
      <c r="AA61" s="68">
        <v>-602.26</v>
      </c>
      <c r="AB61" s="68">
        <v>0</v>
      </c>
      <c r="AC61" s="68">
        <v>0</v>
      </c>
    </row>
    <row r="62" spans="1:29" x14ac:dyDescent="0.55000000000000004">
      <c r="A62" s="49" t="s">
        <v>266</v>
      </c>
      <c r="B62" s="49" t="s">
        <v>267</v>
      </c>
      <c r="C62" s="49" t="s">
        <v>244</v>
      </c>
      <c r="D62" s="49" t="s">
        <v>257</v>
      </c>
      <c r="E62" s="68">
        <v>0</v>
      </c>
      <c r="F62" s="68">
        <v>0</v>
      </c>
      <c r="G62" s="68">
        <v>0</v>
      </c>
      <c r="H62" s="68">
        <v>0</v>
      </c>
      <c r="I62" s="68">
        <v>0</v>
      </c>
      <c r="J62" s="68">
        <v>0</v>
      </c>
      <c r="K62" s="68">
        <v>0</v>
      </c>
      <c r="L62" s="68">
        <v>-32890.18</v>
      </c>
      <c r="M62" s="68">
        <v>0</v>
      </c>
      <c r="N62" s="68">
        <v>0</v>
      </c>
      <c r="O62" s="68">
        <v>0</v>
      </c>
      <c r="P62" s="96">
        <v>0</v>
      </c>
      <c r="Q62" s="68">
        <v>0</v>
      </c>
      <c r="R62" s="68">
        <v>0</v>
      </c>
      <c r="S62" s="68">
        <v>-81.72</v>
      </c>
      <c r="T62" s="68">
        <v>0</v>
      </c>
      <c r="U62" s="68">
        <v>0</v>
      </c>
      <c r="V62" s="68">
        <v>0</v>
      </c>
      <c r="W62" s="68">
        <v>0</v>
      </c>
      <c r="X62" s="68">
        <v>0</v>
      </c>
      <c r="Y62" s="68">
        <v>-118.03</v>
      </c>
      <c r="Z62" s="68">
        <v>0</v>
      </c>
      <c r="AA62" s="68">
        <v>-78.39</v>
      </c>
      <c r="AB62" s="68">
        <v>0</v>
      </c>
      <c r="AC62" s="68">
        <v>0</v>
      </c>
    </row>
    <row r="63" spans="1:29" x14ac:dyDescent="0.55000000000000004">
      <c r="A63" s="49" t="s">
        <v>268</v>
      </c>
      <c r="B63" s="49" t="s">
        <v>269</v>
      </c>
      <c r="C63" s="49" t="s">
        <v>238</v>
      </c>
      <c r="D63" s="49" t="s">
        <v>257</v>
      </c>
      <c r="E63" s="68">
        <v>-2843.32</v>
      </c>
      <c r="F63" s="68">
        <v>-12518.48</v>
      </c>
      <c r="G63" s="68">
        <v>0</v>
      </c>
      <c r="H63" s="68">
        <v>-2145.46</v>
      </c>
      <c r="I63" s="68">
        <v>-1841.68</v>
      </c>
      <c r="J63" s="68">
        <v>0</v>
      </c>
      <c r="K63" s="68">
        <v>0</v>
      </c>
      <c r="L63" s="68">
        <v>-2856.14</v>
      </c>
      <c r="M63" s="68">
        <v>0</v>
      </c>
      <c r="N63" s="68">
        <v>0</v>
      </c>
      <c r="O63" s="68">
        <v>-540.79999999999995</v>
      </c>
      <c r="P63" s="96">
        <v>-158</v>
      </c>
      <c r="Q63" s="68">
        <v>0</v>
      </c>
      <c r="R63" s="68">
        <v>0</v>
      </c>
      <c r="S63" s="68">
        <v>-811.8</v>
      </c>
      <c r="T63" s="68">
        <v>0</v>
      </c>
      <c r="U63" s="68">
        <v>0</v>
      </c>
      <c r="V63" s="68">
        <v>0</v>
      </c>
      <c r="W63" s="68">
        <v>-7196.06</v>
      </c>
      <c r="X63" s="68">
        <v>0</v>
      </c>
      <c r="Y63" s="68">
        <v>0</v>
      </c>
      <c r="Z63" s="68">
        <v>0</v>
      </c>
      <c r="AA63" s="68">
        <v>0</v>
      </c>
      <c r="AB63" s="68">
        <v>0</v>
      </c>
      <c r="AC63" s="68">
        <v>0</v>
      </c>
    </row>
    <row r="64" spans="1:29" x14ac:dyDescent="0.55000000000000004">
      <c r="A64" s="49" t="s">
        <v>270</v>
      </c>
      <c r="B64" s="49" t="s">
        <v>271</v>
      </c>
      <c r="C64" s="49" t="s">
        <v>232</v>
      </c>
      <c r="D64" s="49" t="s">
        <v>257</v>
      </c>
      <c r="E64" s="68">
        <v>0</v>
      </c>
      <c r="F64" s="68">
        <v>0</v>
      </c>
      <c r="G64" s="68">
        <v>0</v>
      </c>
      <c r="H64" s="68">
        <v>0</v>
      </c>
      <c r="I64" s="68">
        <v>0</v>
      </c>
      <c r="J64" s="68">
        <v>0</v>
      </c>
      <c r="K64" s="68">
        <v>0</v>
      </c>
      <c r="L64" s="68">
        <v>0</v>
      </c>
      <c r="M64" s="68">
        <v>0</v>
      </c>
      <c r="N64" s="68">
        <v>0</v>
      </c>
      <c r="O64" s="68">
        <v>0</v>
      </c>
      <c r="P64" s="96">
        <v>0</v>
      </c>
      <c r="Q64" s="68">
        <v>0</v>
      </c>
      <c r="R64" s="68">
        <v>0</v>
      </c>
      <c r="S64" s="68">
        <v>0</v>
      </c>
      <c r="T64" s="68">
        <v>0</v>
      </c>
      <c r="U64" s="68">
        <v>0</v>
      </c>
      <c r="V64" s="68">
        <v>0</v>
      </c>
      <c r="W64" s="68">
        <v>0</v>
      </c>
      <c r="X64" s="68">
        <v>0</v>
      </c>
      <c r="Y64" s="68">
        <v>-393.88</v>
      </c>
      <c r="Z64" s="68">
        <v>-1114.4000000000001</v>
      </c>
      <c r="AA64" s="68">
        <v>-5207.76</v>
      </c>
      <c r="AB64" s="68">
        <v>0</v>
      </c>
      <c r="AC64" s="68">
        <v>0</v>
      </c>
    </row>
    <row r="65" spans="1:29" x14ac:dyDescent="0.55000000000000004">
      <c r="A65" s="49" t="s">
        <v>272</v>
      </c>
      <c r="B65" s="49" t="s">
        <v>273</v>
      </c>
      <c r="C65" s="49" t="s">
        <v>274</v>
      </c>
      <c r="D65" s="49" t="s">
        <v>257</v>
      </c>
      <c r="E65" s="68">
        <v>0</v>
      </c>
      <c r="F65" s="68">
        <v>1568.88</v>
      </c>
      <c r="G65" s="68">
        <v>-3096.12</v>
      </c>
      <c r="H65" s="68">
        <v>0</v>
      </c>
      <c r="I65" s="68">
        <v>-13913.92</v>
      </c>
      <c r="J65" s="68">
        <v>-286.02</v>
      </c>
      <c r="K65" s="68">
        <v>-254.72</v>
      </c>
      <c r="L65" s="68">
        <v>-1236.44</v>
      </c>
      <c r="M65" s="68">
        <v>0</v>
      </c>
      <c r="N65" s="68">
        <v>0</v>
      </c>
      <c r="O65" s="68">
        <v>0</v>
      </c>
      <c r="P65" s="96">
        <v>0</v>
      </c>
      <c r="Q65" s="68">
        <v>6058.36</v>
      </c>
      <c r="R65" s="68">
        <v>0</v>
      </c>
      <c r="S65" s="68">
        <v>-6492.46</v>
      </c>
      <c r="T65" s="68">
        <v>0</v>
      </c>
      <c r="U65" s="68">
        <v>0</v>
      </c>
      <c r="V65" s="68">
        <v>0</v>
      </c>
      <c r="W65" s="68">
        <v>-13417.54</v>
      </c>
      <c r="X65" s="68">
        <v>0</v>
      </c>
      <c r="Y65" s="68">
        <v>-5360.6</v>
      </c>
      <c r="Z65" s="68">
        <v>-4699.78</v>
      </c>
      <c r="AA65" s="68">
        <v>-3029.38</v>
      </c>
      <c r="AB65" s="68">
        <v>0</v>
      </c>
      <c r="AC65" s="68">
        <v>0</v>
      </c>
    </row>
    <row r="66" spans="1:29" x14ac:dyDescent="0.55000000000000004">
      <c r="A66" s="49" t="s">
        <v>934</v>
      </c>
      <c r="B66" s="49" t="s">
        <v>935</v>
      </c>
      <c r="C66" s="49" t="s">
        <v>274</v>
      </c>
      <c r="D66" s="49" t="s">
        <v>257</v>
      </c>
      <c r="E66" s="68">
        <v>0</v>
      </c>
      <c r="F66" s="68">
        <v>0</v>
      </c>
      <c r="G66" s="68">
        <v>0</v>
      </c>
      <c r="H66" s="68">
        <v>0</v>
      </c>
      <c r="I66" s="68">
        <v>0</v>
      </c>
      <c r="J66" s="68">
        <v>0</v>
      </c>
      <c r="K66" s="68">
        <v>0</v>
      </c>
      <c r="L66" s="68">
        <v>0</v>
      </c>
      <c r="M66" s="68">
        <v>0</v>
      </c>
      <c r="N66" s="68">
        <v>0</v>
      </c>
      <c r="O66" s="68">
        <v>0</v>
      </c>
      <c r="P66" s="96">
        <v>0</v>
      </c>
      <c r="Q66" s="68">
        <v>0</v>
      </c>
      <c r="R66" s="68">
        <v>0</v>
      </c>
      <c r="S66" s="68">
        <v>0</v>
      </c>
      <c r="T66" s="68">
        <v>0</v>
      </c>
      <c r="U66" s="68">
        <v>0</v>
      </c>
      <c r="V66" s="68">
        <v>0</v>
      </c>
      <c r="W66" s="68">
        <v>0</v>
      </c>
      <c r="X66" s="68">
        <v>0</v>
      </c>
      <c r="Y66" s="68">
        <v>-1998.86</v>
      </c>
      <c r="Z66" s="68">
        <v>0</v>
      </c>
      <c r="AA66" s="68">
        <v>0</v>
      </c>
      <c r="AB66" s="68">
        <v>0</v>
      </c>
      <c r="AC66" s="68">
        <v>0</v>
      </c>
    </row>
    <row r="67" spans="1:29" x14ac:dyDescent="0.55000000000000004">
      <c r="A67" s="49" t="s">
        <v>275</v>
      </c>
      <c r="B67" s="49" t="s">
        <v>276</v>
      </c>
      <c r="C67" s="49" t="s">
        <v>241</v>
      </c>
      <c r="D67" s="49" t="s">
        <v>257</v>
      </c>
      <c r="E67" s="68">
        <v>0</v>
      </c>
      <c r="F67" s="68">
        <v>0</v>
      </c>
      <c r="G67" s="68">
        <v>0</v>
      </c>
      <c r="H67" s="68">
        <v>0</v>
      </c>
      <c r="I67" s="68">
        <v>0</v>
      </c>
      <c r="J67" s="68">
        <v>0</v>
      </c>
      <c r="K67" s="68">
        <v>0</v>
      </c>
      <c r="L67" s="68">
        <v>0</v>
      </c>
      <c r="M67" s="68">
        <v>0</v>
      </c>
      <c r="N67" s="68">
        <v>0</v>
      </c>
      <c r="O67" s="68">
        <v>0</v>
      </c>
      <c r="P67" s="96">
        <v>0</v>
      </c>
      <c r="Q67" s="68">
        <v>0</v>
      </c>
      <c r="R67" s="68">
        <v>0</v>
      </c>
      <c r="S67" s="68">
        <v>0</v>
      </c>
      <c r="T67" s="68">
        <v>0</v>
      </c>
      <c r="U67" s="68">
        <v>0</v>
      </c>
      <c r="V67" s="68">
        <v>0</v>
      </c>
      <c r="W67" s="68">
        <v>0</v>
      </c>
      <c r="X67" s="68">
        <v>0</v>
      </c>
      <c r="Y67" s="68">
        <v>0</v>
      </c>
      <c r="Z67" s="68">
        <v>0</v>
      </c>
      <c r="AA67" s="68">
        <v>0</v>
      </c>
      <c r="AB67" s="68">
        <v>-95644.91</v>
      </c>
      <c r="AC67" s="68">
        <v>0</v>
      </c>
    </row>
    <row r="68" spans="1:29" x14ac:dyDescent="0.55000000000000004">
      <c r="A68" s="49" t="s">
        <v>277</v>
      </c>
      <c r="B68" s="49" t="s">
        <v>278</v>
      </c>
      <c r="C68" s="49" t="s">
        <v>229</v>
      </c>
      <c r="D68" s="49" t="s">
        <v>257</v>
      </c>
      <c r="E68" s="68">
        <v>3600</v>
      </c>
      <c r="F68" s="68">
        <v>0</v>
      </c>
      <c r="G68" s="68">
        <v>-2783.5</v>
      </c>
      <c r="H68" s="68">
        <v>0</v>
      </c>
      <c r="I68" s="68">
        <v>-5</v>
      </c>
      <c r="J68" s="68">
        <v>0</v>
      </c>
      <c r="K68" s="68">
        <v>0</v>
      </c>
      <c r="L68" s="68">
        <v>0</v>
      </c>
      <c r="M68" s="68">
        <v>0</v>
      </c>
      <c r="N68" s="68">
        <v>-190</v>
      </c>
      <c r="O68" s="68">
        <v>-259.60000000000002</v>
      </c>
      <c r="P68" s="96">
        <v>0</v>
      </c>
      <c r="Q68" s="68">
        <v>0</v>
      </c>
      <c r="R68" s="68">
        <v>0</v>
      </c>
      <c r="S68" s="68">
        <v>-726.15</v>
      </c>
      <c r="T68" s="68">
        <v>0</v>
      </c>
      <c r="U68" s="68">
        <v>0</v>
      </c>
      <c r="V68" s="68">
        <v>0</v>
      </c>
      <c r="W68" s="68">
        <v>1128.5999999999999</v>
      </c>
      <c r="X68" s="68">
        <v>-1694</v>
      </c>
      <c r="Y68" s="68">
        <v>0</v>
      </c>
      <c r="Z68" s="68">
        <v>-1840</v>
      </c>
      <c r="AA68" s="68">
        <v>-686.1</v>
      </c>
      <c r="AB68" s="68">
        <v>-1742.71</v>
      </c>
      <c r="AC68" s="68">
        <v>0</v>
      </c>
    </row>
    <row r="69" spans="1:29" x14ac:dyDescent="0.55000000000000004">
      <c r="A69" s="49" t="s">
        <v>279</v>
      </c>
      <c r="B69" s="49" t="s">
        <v>280</v>
      </c>
      <c r="C69" s="49" t="s">
        <v>232</v>
      </c>
      <c r="D69" s="49" t="s">
        <v>257</v>
      </c>
      <c r="E69" s="68">
        <v>0</v>
      </c>
      <c r="F69" s="68">
        <v>-1286.2</v>
      </c>
      <c r="G69" s="68">
        <v>-5414.54</v>
      </c>
      <c r="H69" s="68">
        <v>0</v>
      </c>
      <c r="I69" s="68">
        <v>-12.5</v>
      </c>
      <c r="J69" s="68">
        <v>0</v>
      </c>
      <c r="K69" s="68">
        <v>0</v>
      </c>
      <c r="L69" s="68">
        <v>-1240.8</v>
      </c>
      <c r="M69" s="68">
        <v>-1399.92</v>
      </c>
      <c r="N69" s="68">
        <v>-674</v>
      </c>
      <c r="O69" s="68">
        <v>-4270.66</v>
      </c>
      <c r="P69" s="96">
        <v>-5315.82</v>
      </c>
      <c r="Q69" s="68">
        <v>-1283.06</v>
      </c>
      <c r="R69" s="68">
        <v>-650</v>
      </c>
      <c r="S69" s="68">
        <v>-522.41999999999996</v>
      </c>
      <c r="T69" s="68">
        <v>0</v>
      </c>
      <c r="U69" s="68">
        <v>-4469.18</v>
      </c>
      <c r="V69" s="68">
        <v>0</v>
      </c>
      <c r="W69" s="68">
        <v>0</v>
      </c>
      <c r="X69" s="68">
        <v>-110.44</v>
      </c>
      <c r="Y69" s="68">
        <v>0</v>
      </c>
      <c r="Z69" s="68">
        <v>-2480</v>
      </c>
      <c r="AA69" s="68">
        <v>339.26</v>
      </c>
      <c r="AB69" s="68">
        <v>-1300.6500000000001</v>
      </c>
      <c r="AC69" s="68">
        <v>0</v>
      </c>
    </row>
    <row r="70" spans="1:29" x14ac:dyDescent="0.55000000000000004">
      <c r="A70" s="49" t="s">
        <v>281</v>
      </c>
      <c r="B70" s="49" t="s">
        <v>282</v>
      </c>
      <c r="C70" s="49" t="s">
        <v>235</v>
      </c>
      <c r="D70" s="49" t="s">
        <v>257</v>
      </c>
      <c r="E70" s="68">
        <v>0</v>
      </c>
      <c r="F70" s="68">
        <v>0</v>
      </c>
      <c r="G70" s="68">
        <v>0</v>
      </c>
      <c r="H70" s="68">
        <v>0</v>
      </c>
      <c r="I70" s="68">
        <v>0</v>
      </c>
      <c r="J70" s="68">
        <v>0</v>
      </c>
      <c r="K70" s="68">
        <v>0</v>
      </c>
      <c r="L70" s="68">
        <v>0</v>
      </c>
      <c r="M70" s="68">
        <v>0</v>
      </c>
      <c r="N70" s="68">
        <v>0</v>
      </c>
      <c r="O70" s="68">
        <v>0</v>
      </c>
      <c r="P70" s="96">
        <v>0</v>
      </c>
      <c r="Q70" s="68">
        <v>0</v>
      </c>
      <c r="R70" s="68">
        <v>0</v>
      </c>
      <c r="S70" s="68">
        <v>-2774.56</v>
      </c>
      <c r="T70" s="68">
        <v>0</v>
      </c>
      <c r="U70" s="68">
        <v>0</v>
      </c>
      <c r="V70" s="68">
        <v>0</v>
      </c>
      <c r="W70" s="68">
        <v>0</v>
      </c>
      <c r="X70" s="68">
        <v>-205.52</v>
      </c>
      <c r="Y70" s="68">
        <v>0</v>
      </c>
      <c r="Z70" s="68">
        <v>0</v>
      </c>
      <c r="AA70" s="68">
        <v>0</v>
      </c>
      <c r="AB70" s="68">
        <v>0</v>
      </c>
      <c r="AC70" s="68">
        <v>0</v>
      </c>
    </row>
    <row r="71" spans="1:29" x14ac:dyDescent="0.55000000000000004">
      <c r="A71" s="49" t="s">
        <v>891</v>
      </c>
      <c r="B71" s="49" t="s">
        <v>892</v>
      </c>
      <c r="C71" s="49" t="s">
        <v>232</v>
      </c>
      <c r="D71" s="49" t="s">
        <v>257</v>
      </c>
      <c r="E71" s="68">
        <v>0</v>
      </c>
      <c r="F71" s="68">
        <v>0</v>
      </c>
      <c r="G71" s="68">
        <v>0</v>
      </c>
      <c r="H71" s="68">
        <v>0</v>
      </c>
      <c r="I71" s="68">
        <v>0</v>
      </c>
      <c r="J71" s="68">
        <v>0</v>
      </c>
      <c r="K71" s="68">
        <v>0</v>
      </c>
      <c r="L71" s="68">
        <v>0</v>
      </c>
      <c r="M71" s="68">
        <v>0</v>
      </c>
      <c r="N71" s="68">
        <v>0</v>
      </c>
      <c r="O71" s="68">
        <v>0</v>
      </c>
      <c r="P71" s="96">
        <v>0</v>
      </c>
      <c r="Q71" s="68">
        <v>0</v>
      </c>
      <c r="R71" s="68">
        <v>3760</v>
      </c>
      <c r="S71" s="68">
        <v>0</v>
      </c>
      <c r="T71" s="68">
        <v>0</v>
      </c>
      <c r="U71" s="68">
        <v>0</v>
      </c>
      <c r="V71" s="68">
        <v>0</v>
      </c>
      <c r="W71" s="68">
        <v>0</v>
      </c>
      <c r="X71" s="68">
        <v>0</v>
      </c>
      <c r="Y71" s="68">
        <v>0</v>
      </c>
      <c r="Z71" s="68">
        <v>0</v>
      </c>
      <c r="AA71" s="68">
        <v>0</v>
      </c>
      <c r="AB71" s="68">
        <v>0</v>
      </c>
      <c r="AC71" s="68">
        <v>0</v>
      </c>
    </row>
    <row r="72" spans="1:29" x14ac:dyDescent="0.55000000000000004">
      <c r="A72" s="49" t="s">
        <v>283</v>
      </c>
      <c r="B72" s="49" t="s">
        <v>284</v>
      </c>
      <c r="C72" s="49" t="s">
        <v>238</v>
      </c>
      <c r="D72" s="49" t="s">
        <v>257</v>
      </c>
      <c r="E72" s="68">
        <v>-2410</v>
      </c>
      <c r="F72" s="68">
        <v>-3178.6</v>
      </c>
      <c r="G72" s="68">
        <v>-10080.620000000001</v>
      </c>
      <c r="H72" s="68">
        <v>-5010.8999999999996</v>
      </c>
      <c r="I72" s="68">
        <v>-5750</v>
      </c>
      <c r="J72" s="68">
        <v>0</v>
      </c>
      <c r="K72" s="68">
        <v>-2610</v>
      </c>
      <c r="L72" s="68">
        <v>-6224.58</v>
      </c>
      <c r="M72" s="68">
        <v>-4633.68</v>
      </c>
      <c r="N72" s="68">
        <v>-1176</v>
      </c>
      <c r="O72" s="68">
        <v>-1542.2</v>
      </c>
      <c r="P72" s="96">
        <v>-9697.32</v>
      </c>
      <c r="Q72" s="68">
        <v>-4065.14</v>
      </c>
      <c r="R72" s="68">
        <v>-824.46</v>
      </c>
      <c r="S72" s="68">
        <v>-357.22</v>
      </c>
      <c r="T72" s="68">
        <v>-5189.38</v>
      </c>
      <c r="U72" s="68">
        <v>-4714.62</v>
      </c>
      <c r="V72" s="68">
        <v>-1986</v>
      </c>
      <c r="W72" s="68">
        <v>-3665.52</v>
      </c>
      <c r="X72" s="68">
        <v>-457.84</v>
      </c>
      <c r="Y72" s="68">
        <v>-3257.36</v>
      </c>
      <c r="Z72" s="68">
        <v>-1618.56</v>
      </c>
      <c r="AA72" s="68">
        <v>-8566.86</v>
      </c>
      <c r="AB72" s="68">
        <v>-621.82000000000005</v>
      </c>
      <c r="AC72" s="68">
        <v>0</v>
      </c>
    </row>
    <row r="73" spans="1:29" x14ac:dyDescent="0.55000000000000004">
      <c r="A73" s="49" t="s">
        <v>285</v>
      </c>
      <c r="B73" s="49" t="s">
        <v>286</v>
      </c>
      <c r="C73" s="49" t="s">
        <v>241</v>
      </c>
      <c r="D73" s="49" t="s">
        <v>257</v>
      </c>
      <c r="E73" s="68">
        <v>-3600</v>
      </c>
      <c r="F73" s="68">
        <v>-731.6</v>
      </c>
      <c r="G73" s="68">
        <v>-712.85</v>
      </c>
      <c r="H73" s="68">
        <v>-341</v>
      </c>
      <c r="I73" s="68">
        <v>-28.75</v>
      </c>
      <c r="J73" s="68">
        <v>0</v>
      </c>
      <c r="K73" s="68">
        <v>0</v>
      </c>
      <c r="L73" s="68">
        <v>-495.6</v>
      </c>
      <c r="M73" s="68">
        <v>-1217.5999999999999</v>
      </c>
      <c r="N73" s="68">
        <v>-1602</v>
      </c>
      <c r="O73" s="68">
        <v>-365.8</v>
      </c>
      <c r="P73" s="96">
        <v>-35.4</v>
      </c>
      <c r="Q73" s="68">
        <v>-1862.2</v>
      </c>
      <c r="R73" s="68">
        <v>-421.38</v>
      </c>
      <c r="S73" s="68">
        <v>-113.8</v>
      </c>
      <c r="T73" s="68">
        <v>0</v>
      </c>
      <c r="U73" s="68">
        <v>0</v>
      </c>
      <c r="V73" s="68">
        <v>0</v>
      </c>
      <c r="W73" s="68">
        <v>-2275.56</v>
      </c>
      <c r="X73" s="68">
        <v>-694.52</v>
      </c>
      <c r="Y73" s="68">
        <v>-2128.5</v>
      </c>
      <c r="Z73" s="68">
        <v>-1135.8399999999999</v>
      </c>
      <c r="AA73" s="68">
        <v>-7032.84</v>
      </c>
      <c r="AB73" s="68">
        <v>0</v>
      </c>
      <c r="AC73" s="68">
        <v>0</v>
      </c>
    </row>
    <row r="74" spans="1:29" x14ac:dyDescent="0.55000000000000004">
      <c r="A74" s="49" t="s">
        <v>287</v>
      </c>
      <c r="B74" s="49" t="s">
        <v>288</v>
      </c>
      <c r="C74" s="49" t="s">
        <v>244</v>
      </c>
      <c r="D74" s="49" t="s">
        <v>257</v>
      </c>
      <c r="E74" s="68">
        <v>0</v>
      </c>
      <c r="F74" s="68">
        <v>0</v>
      </c>
      <c r="G74" s="68">
        <v>0</v>
      </c>
      <c r="H74" s="68">
        <v>0</v>
      </c>
      <c r="I74" s="68">
        <v>-77.5</v>
      </c>
      <c r="J74" s="68">
        <v>0</v>
      </c>
      <c r="K74" s="68">
        <v>0</v>
      </c>
      <c r="L74" s="68">
        <v>0</v>
      </c>
      <c r="M74" s="68">
        <v>0</v>
      </c>
      <c r="N74" s="68">
        <v>0</v>
      </c>
      <c r="O74" s="68">
        <v>0</v>
      </c>
      <c r="P74" s="96">
        <v>0</v>
      </c>
      <c r="Q74" s="68">
        <v>0</v>
      </c>
      <c r="R74" s="68">
        <v>0</v>
      </c>
      <c r="S74" s="68">
        <v>-201.59</v>
      </c>
      <c r="T74" s="68">
        <v>0</v>
      </c>
      <c r="U74" s="68">
        <v>0</v>
      </c>
      <c r="V74" s="68">
        <v>0</v>
      </c>
      <c r="W74" s="68">
        <v>0</v>
      </c>
      <c r="X74" s="68">
        <v>0</v>
      </c>
      <c r="Y74" s="68">
        <v>-300.94</v>
      </c>
      <c r="Z74" s="68">
        <v>0</v>
      </c>
      <c r="AA74" s="68">
        <v>-140</v>
      </c>
      <c r="AB74" s="68">
        <v>0</v>
      </c>
      <c r="AC74" s="68">
        <v>0</v>
      </c>
    </row>
    <row r="75" spans="1:29" x14ac:dyDescent="0.55000000000000004">
      <c r="A75" s="49" t="s">
        <v>289</v>
      </c>
      <c r="B75" s="49" t="s">
        <v>290</v>
      </c>
      <c r="C75" s="49" t="s">
        <v>232</v>
      </c>
      <c r="D75" s="49" t="s">
        <v>257</v>
      </c>
      <c r="E75" s="68">
        <v>0</v>
      </c>
      <c r="F75" s="68">
        <v>-2596</v>
      </c>
      <c r="G75" s="68">
        <v>0</v>
      </c>
      <c r="H75" s="68">
        <v>-1210</v>
      </c>
      <c r="I75" s="68">
        <v>-1399</v>
      </c>
      <c r="J75" s="68">
        <v>0</v>
      </c>
      <c r="K75" s="68">
        <v>-558</v>
      </c>
      <c r="L75" s="68">
        <v>-2471</v>
      </c>
      <c r="M75" s="68">
        <v>0</v>
      </c>
      <c r="N75" s="68">
        <v>0</v>
      </c>
      <c r="O75" s="68">
        <v>-854.54</v>
      </c>
      <c r="P75" s="96">
        <v>-200.6</v>
      </c>
      <c r="Q75" s="68">
        <v>0</v>
      </c>
      <c r="R75" s="68">
        <v>0</v>
      </c>
      <c r="S75" s="68">
        <v>-4119.72</v>
      </c>
      <c r="T75" s="68">
        <v>0</v>
      </c>
      <c r="U75" s="68">
        <v>0</v>
      </c>
      <c r="V75" s="68">
        <v>0</v>
      </c>
      <c r="W75" s="68">
        <v>-6367.44</v>
      </c>
      <c r="X75" s="68">
        <v>0</v>
      </c>
      <c r="Y75" s="68">
        <v>0</v>
      </c>
      <c r="Z75" s="68">
        <v>0</v>
      </c>
      <c r="AA75" s="68">
        <v>0</v>
      </c>
      <c r="AB75" s="68">
        <v>0</v>
      </c>
      <c r="AC75" s="68">
        <v>0</v>
      </c>
    </row>
    <row r="76" spans="1:29" x14ac:dyDescent="0.55000000000000004">
      <c r="A76" s="49" t="s">
        <v>291</v>
      </c>
      <c r="B76" s="49" t="s">
        <v>292</v>
      </c>
      <c r="C76" s="49" t="s">
        <v>241</v>
      </c>
      <c r="D76" s="49" t="s">
        <v>257</v>
      </c>
      <c r="E76" s="68">
        <v>0</v>
      </c>
      <c r="F76" s="68">
        <v>0</v>
      </c>
      <c r="G76" s="68">
        <v>0</v>
      </c>
      <c r="H76" s="68">
        <v>0</v>
      </c>
      <c r="I76" s="68">
        <v>0</v>
      </c>
      <c r="J76" s="68">
        <v>0</v>
      </c>
      <c r="K76" s="68">
        <v>0</v>
      </c>
      <c r="L76" s="68">
        <v>0</v>
      </c>
      <c r="M76" s="68">
        <v>0</v>
      </c>
      <c r="N76" s="68">
        <v>0</v>
      </c>
      <c r="O76" s="68">
        <v>0</v>
      </c>
      <c r="P76" s="96">
        <v>0</v>
      </c>
      <c r="Q76" s="68">
        <v>0</v>
      </c>
      <c r="R76" s="68">
        <v>0</v>
      </c>
      <c r="S76" s="68">
        <v>0</v>
      </c>
      <c r="T76" s="68">
        <v>0</v>
      </c>
      <c r="U76" s="68">
        <v>0</v>
      </c>
      <c r="V76" s="68">
        <v>0</v>
      </c>
      <c r="W76" s="68">
        <v>0</v>
      </c>
      <c r="X76" s="68">
        <v>0</v>
      </c>
      <c r="Y76" s="68">
        <v>0</v>
      </c>
      <c r="Z76" s="68">
        <v>0</v>
      </c>
      <c r="AA76" s="68">
        <v>0</v>
      </c>
      <c r="AB76" s="68">
        <v>-26986.35</v>
      </c>
      <c r="AC76" s="68">
        <v>0</v>
      </c>
    </row>
    <row r="77" spans="1:29" x14ac:dyDescent="0.55000000000000004">
      <c r="A77" s="49" t="s">
        <v>293</v>
      </c>
      <c r="B77" s="49" t="s">
        <v>294</v>
      </c>
      <c r="C77" s="49" t="s">
        <v>229</v>
      </c>
      <c r="D77" s="49" t="s">
        <v>257</v>
      </c>
      <c r="E77" s="68">
        <v>-330</v>
      </c>
      <c r="F77" s="68">
        <v>0</v>
      </c>
      <c r="G77" s="68">
        <v>0</v>
      </c>
      <c r="H77" s="68">
        <v>-60</v>
      </c>
      <c r="I77" s="68">
        <v>-2460</v>
      </c>
      <c r="J77" s="68">
        <v>-2550</v>
      </c>
      <c r="K77" s="68">
        <v>60</v>
      </c>
      <c r="L77" s="68">
        <v>240</v>
      </c>
      <c r="M77" s="68">
        <v>-330</v>
      </c>
      <c r="N77" s="68">
        <v>0</v>
      </c>
      <c r="O77" s="68">
        <v>0</v>
      </c>
      <c r="P77" s="96">
        <v>0</v>
      </c>
      <c r="Q77" s="68">
        <v>0</v>
      </c>
      <c r="R77" s="68">
        <v>0</v>
      </c>
      <c r="S77" s="68">
        <v>0</v>
      </c>
      <c r="T77" s="68">
        <v>-90</v>
      </c>
      <c r="U77" s="68">
        <v>-990</v>
      </c>
      <c r="V77" s="68">
        <v>0</v>
      </c>
      <c r="W77" s="68">
        <v>0</v>
      </c>
      <c r="X77" s="68">
        <v>-240</v>
      </c>
      <c r="Y77" s="68">
        <v>-1785.58</v>
      </c>
      <c r="Z77" s="68">
        <v>0</v>
      </c>
      <c r="AA77" s="68">
        <v>-330</v>
      </c>
      <c r="AB77" s="68">
        <v>-6584.02</v>
      </c>
      <c r="AC77" s="68">
        <v>0</v>
      </c>
    </row>
    <row r="78" spans="1:29" x14ac:dyDescent="0.55000000000000004">
      <c r="A78" s="49" t="s">
        <v>295</v>
      </c>
      <c r="B78" s="49" t="s">
        <v>296</v>
      </c>
      <c r="C78" s="49" t="s">
        <v>232</v>
      </c>
      <c r="D78" s="49" t="s">
        <v>257</v>
      </c>
      <c r="E78" s="68">
        <v>-17219.060000000001</v>
      </c>
      <c r="F78" s="68">
        <v>-16893.48</v>
      </c>
      <c r="G78" s="68">
        <v>-23040</v>
      </c>
      <c r="H78" s="68">
        <v>-6660</v>
      </c>
      <c r="I78" s="68">
        <v>-270</v>
      </c>
      <c r="J78" s="68">
        <v>-13740</v>
      </c>
      <c r="K78" s="68">
        <v>-1860</v>
      </c>
      <c r="L78" s="68">
        <v>-17637.88</v>
      </c>
      <c r="M78" s="68">
        <v>-38909.54</v>
      </c>
      <c r="N78" s="68">
        <v>-19261.8</v>
      </c>
      <c r="O78" s="68">
        <v>-24930</v>
      </c>
      <c r="P78" s="96">
        <v>-47717.1</v>
      </c>
      <c r="Q78" s="68">
        <v>-11126.27</v>
      </c>
      <c r="R78" s="68">
        <v>-16618.72</v>
      </c>
      <c r="S78" s="68">
        <v>-14420.75</v>
      </c>
      <c r="T78" s="68">
        <v>-11628.07</v>
      </c>
      <c r="U78" s="68">
        <v>-59790</v>
      </c>
      <c r="V78" s="68">
        <v>-23580.89</v>
      </c>
      <c r="W78" s="68">
        <v>-13456.17</v>
      </c>
      <c r="X78" s="68">
        <v>-15246.32</v>
      </c>
      <c r="Y78" s="68">
        <v>-14118.27</v>
      </c>
      <c r="Z78" s="68">
        <v>-5970</v>
      </c>
      <c r="AA78" s="68">
        <v>-7650</v>
      </c>
      <c r="AB78" s="68">
        <v>-120175</v>
      </c>
      <c r="AC78" s="68">
        <v>0</v>
      </c>
    </row>
    <row r="79" spans="1:29" x14ac:dyDescent="0.55000000000000004">
      <c r="A79" s="49" t="s">
        <v>297</v>
      </c>
      <c r="B79" s="49" t="s">
        <v>298</v>
      </c>
      <c r="C79" s="49" t="s">
        <v>235</v>
      </c>
      <c r="D79" s="49" t="s">
        <v>257</v>
      </c>
      <c r="E79" s="68">
        <v>0</v>
      </c>
      <c r="F79" s="68">
        <v>0</v>
      </c>
      <c r="G79" s="68">
        <v>0</v>
      </c>
      <c r="H79" s="68">
        <v>0</v>
      </c>
      <c r="I79" s="68">
        <v>0</v>
      </c>
      <c r="J79" s="68">
        <v>0</v>
      </c>
      <c r="K79" s="68">
        <v>0</v>
      </c>
      <c r="L79" s="68">
        <v>0</v>
      </c>
      <c r="M79" s="68">
        <v>0</v>
      </c>
      <c r="N79" s="68">
        <v>0</v>
      </c>
      <c r="O79" s="68">
        <v>0</v>
      </c>
      <c r="P79" s="96">
        <v>0</v>
      </c>
      <c r="Q79" s="68">
        <v>-6199.04</v>
      </c>
      <c r="R79" s="68">
        <v>0</v>
      </c>
      <c r="S79" s="68">
        <v>0</v>
      </c>
      <c r="T79" s="68">
        <v>0</v>
      </c>
      <c r="U79" s="68">
        <v>0</v>
      </c>
      <c r="V79" s="68">
        <v>0</v>
      </c>
      <c r="W79" s="68">
        <v>0</v>
      </c>
      <c r="X79" s="68">
        <v>-2760</v>
      </c>
      <c r="Y79" s="68">
        <v>0</v>
      </c>
      <c r="Z79" s="68">
        <v>0</v>
      </c>
      <c r="AA79" s="68">
        <v>-2610</v>
      </c>
      <c r="AB79" s="68">
        <v>0</v>
      </c>
      <c r="AC79" s="68">
        <v>0</v>
      </c>
    </row>
    <row r="80" spans="1:29" x14ac:dyDescent="0.55000000000000004">
      <c r="A80" s="49" t="s">
        <v>299</v>
      </c>
      <c r="B80" s="49" t="s">
        <v>300</v>
      </c>
      <c r="C80" s="49" t="s">
        <v>238</v>
      </c>
      <c r="D80" s="49" t="s">
        <v>257</v>
      </c>
      <c r="E80" s="68">
        <v>-109582.7</v>
      </c>
      <c r="F80" s="68">
        <v>-53700</v>
      </c>
      <c r="G80" s="68">
        <v>-80160</v>
      </c>
      <c r="H80" s="68">
        <v>-56880</v>
      </c>
      <c r="I80" s="68">
        <v>-76920</v>
      </c>
      <c r="J80" s="68">
        <v>-114450</v>
      </c>
      <c r="K80" s="68">
        <v>-90450</v>
      </c>
      <c r="L80" s="68">
        <v>-66360</v>
      </c>
      <c r="M80" s="68">
        <v>-67320</v>
      </c>
      <c r="N80" s="68">
        <v>-72306.75</v>
      </c>
      <c r="O80" s="68">
        <v>-37860</v>
      </c>
      <c r="P80" s="96">
        <v>-99300</v>
      </c>
      <c r="Q80" s="68">
        <v>-14940</v>
      </c>
      <c r="R80" s="68">
        <v>-36600</v>
      </c>
      <c r="S80" s="68">
        <v>-41940</v>
      </c>
      <c r="T80" s="68">
        <v>-53520</v>
      </c>
      <c r="U80" s="68">
        <v>-48390</v>
      </c>
      <c r="V80" s="68">
        <v>-53400</v>
      </c>
      <c r="W80" s="68">
        <v>-48270</v>
      </c>
      <c r="X80" s="68">
        <v>-58106.79</v>
      </c>
      <c r="Y80" s="68">
        <v>-67980</v>
      </c>
      <c r="Z80" s="68">
        <v>-84330</v>
      </c>
      <c r="AA80" s="68">
        <v>-43440</v>
      </c>
      <c r="AB80" s="68">
        <v>-30420</v>
      </c>
      <c r="AC80" s="68">
        <v>0</v>
      </c>
    </row>
    <row r="81" spans="1:29" x14ac:dyDescent="0.55000000000000004">
      <c r="A81" s="49" t="s">
        <v>301</v>
      </c>
      <c r="B81" s="49" t="s">
        <v>302</v>
      </c>
      <c r="C81" s="49" t="s">
        <v>241</v>
      </c>
      <c r="D81" s="49" t="s">
        <v>257</v>
      </c>
      <c r="E81" s="68">
        <v>0</v>
      </c>
      <c r="F81" s="68">
        <v>0</v>
      </c>
      <c r="G81" s="68">
        <v>-660</v>
      </c>
      <c r="H81" s="68">
        <v>-207.91</v>
      </c>
      <c r="I81" s="68">
        <v>0</v>
      </c>
      <c r="J81" s="68">
        <v>0</v>
      </c>
      <c r="K81" s="68">
        <v>0</v>
      </c>
      <c r="L81" s="68">
        <v>-4057.14</v>
      </c>
      <c r="M81" s="68">
        <v>0</v>
      </c>
      <c r="N81" s="68">
        <v>0</v>
      </c>
      <c r="O81" s="68">
        <v>-1380</v>
      </c>
      <c r="P81" s="96">
        <v>30</v>
      </c>
      <c r="Q81" s="68">
        <v>0</v>
      </c>
      <c r="R81" s="68">
        <v>0</v>
      </c>
      <c r="S81" s="68">
        <v>0</v>
      </c>
      <c r="T81" s="68">
        <v>0</v>
      </c>
      <c r="U81" s="68">
        <v>0</v>
      </c>
      <c r="V81" s="68">
        <v>0</v>
      </c>
      <c r="W81" s="68">
        <v>0</v>
      </c>
      <c r="X81" s="68">
        <v>-2364.08</v>
      </c>
      <c r="Y81" s="68">
        <v>0</v>
      </c>
      <c r="Z81" s="68">
        <v>0</v>
      </c>
      <c r="AA81" s="68">
        <v>-870</v>
      </c>
      <c r="AB81" s="68">
        <v>0</v>
      </c>
      <c r="AC81" s="68">
        <v>0</v>
      </c>
    </row>
    <row r="82" spans="1:29" x14ac:dyDescent="0.55000000000000004">
      <c r="A82" s="49" t="s">
        <v>303</v>
      </c>
      <c r="B82" s="49" t="s">
        <v>304</v>
      </c>
      <c r="C82" s="49" t="s">
        <v>232</v>
      </c>
      <c r="D82" s="49" t="s">
        <v>257</v>
      </c>
      <c r="E82" s="68">
        <v>0</v>
      </c>
      <c r="F82" s="68">
        <v>-1044.7</v>
      </c>
      <c r="G82" s="68">
        <v>0</v>
      </c>
      <c r="H82" s="68">
        <v>-510</v>
      </c>
      <c r="I82" s="68">
        <v>0</v>
      </c>
      <c r="J82" s="68">
        <v>0</v>
      </c>
      <c r="K82" s="68">
        <v>0</v>
      </c>
      <c r="L82" s="68">
        <v>-5918.79</v>
      </c>
      <c r="M82" s="68">
        <v>0</v>
      </c>
      <c r="N82" s="68">
        <v>0</v>
      </c>
      <c r="O82" s="68">
        <v>2034.42</v>
      </c>
      <c r="P82" s="96">
        <v>0</v>
      </c>
      <c r="Q82" s="68">
        <v>0</v>
      </c>
      <c r="R82" s="68">
        <v>0</v>
      </c>
      <c r="S82" s="68">
        <v>0</v>
      </c>
      <c r="T82" s="68">
        <v>0</v>
      </c>
      <c r="U82" s="68">
        <v>0</v>
      </c>
      <c r="V82" s="68">
        <v>0</v>
      </c>
      <c r="W82" s="68">
        <v>0</v>
      </c>
      <c r="X82" s="68">
        <v>0</v>
      </c>
      <c r="Y82" s="68">
        <v>0</v>
      </c>
      <c r="Z82" s="68">
        <v>0</v>
      </c>
      <c r="AA82" s="68">
        <v>0</v>
      </c>
      <c r="AB82" s="68">
        <v>0</v>
      </c>
      <c r="AC82" s="68">
        <v>0</v>
      </c>
    </row>
    <row r="83" spans="1:29" x14ac:dyDescent="0.55000000000000004">
      <c r="A83" s="49" t="s">
        <v>305</v>
      </c>
      <c r="B83" s="49" t="s">
        <v>306</v>
      </c>
      <c r="C83" s="49" t="s">
        <v>274</v>
      </c>
      <c r="D83" s="49" t="s">
        <v>257</v>
      </c>
      <c r="E83" s="68">
        <v>0</v>
      </c>
      <c r="F83" s="68">
        <v>0</v>
      </c>
      <c r="G83" s="68">
        <v>0</v>
      </c>
      <c r="H83" s="68">
        <v>0</v>
      </c>
      <c r="I83" s="68">
        <v>0</v>
      </c>
      <c r="J83" s="68">
        <v>0</v>
      </c>
      <c r="K83" s="68">
        <v>0</v>
      </c>
      <c r="L83" s="68">
        <v>0</v>
      </c>
      <c r="M83" s="68">
        <v>10139.540000000001</v>
      </c>
      <c r="N83" s="68">
        <v>0</v>
      </c>
      <c r="O83" s="68">
        <v>0</v>
      </c>
      <c r="P83" s="96">
        <v>0</v>
      </c>
      <c r="Q83" s="68">
        <v>0</v>
      </c>
      <c r="R83" s="68">
        <v>0</v>
      </c>
      <c r="S83" s="68">
        <v>0</v>
      </c>
      <c r="T83" s="68">
        <v>0</v>
      </c>
      <c r="U83" s="68">
        <v>0</v>
      </c>
      <c r="V83" s="68">
        <v>0</v>
      </c>
      <c r="W83" s="68">
        <v>0</v>
      </c>
      <c r="X83" s="68">
        <v>-7753.68</v>
      </c>
      <c r="Y83" s="68">
        <v>0</v>
      </c>
      <c r="Z83" s="68">
        <v>-915.96</v>
      </c>
      <c r="AA83" s="68">
        <v>-6447.1</v>
      </c>
      <c r="AB83" s="68">
        <v>0</v>
      </c>
      <c r="AC83" s="68">
        <v>0</v>
      </c>
    </row>
    <row r="84" spans="1:29" x14ac:dyDescent="0.55000000000000004">
      <c r="A84" s="49" t="s">
        <v>307</v>
      </c>
      <c r="B84" s="49" t="s">
        <v>308</v>
      </c>
      <c r="C84" s="49" t="s">
        <v>274</v>
      </c>
      <c r="D84" s="49" t="s">
        <v>257</v>
      </c>
      <c r="E84" s="68">
        <v>-21533.7</v>
      </c>
      <c r="F84" s="68">
        <v>-40312.980000000003</v>
      </c>
      <c r="G84" s="68">
        <v>-42248.639999999999</v>
      </c>
      <c r="H84" s="68">
        <v>-11088.53</v>
      </c>
      <c r="I84" s="68">
        <v>-6522.78</v>
      </c>
      <c r="J84" s="68">
        <v>-4379.1000000000004</v>
      </c>
      <c r="K84" s="68">
        <v>-16316.36</v>
      </c>
      <c r="L84" s="68">
        <v>-23333.919999999998</v>
      </c>
      <c r="M84" s="68">
        <v>-6880.74</v>
      </c>
      <c r="N84" s="68">
        <v>-27255.29</v>
      </c>
      <c r="O84" s="68">
        <v>-6191.42</v>
      </c>
      <c r="P84" s="96">
        <v>0</v>
      </c>
      <c r="Q84" s="68">
        <v>-27073.39</v>
      </c>
      <c r="R84" s="68">
        <v>-4201.3</v>
      </c>
      <c r="S84" s="68">
        <v>-10054.799999999999</v>
      </c>
      <c r="T84" s="68">
        <v>-7263.31</v>
      </c>
      <c r="U84" s="68">
        <v>-9831.5400000000009</v>
      </c>
      <c r="V84" s="68">
        <v>-4682.49</v>
      </c>
      <c r="W84" s="68">
        <v>-10191.51</v>
      </c>
      <c r="X84" s="68">
        <v>-11909.2</v>
      </c>
      <c r="Y84" s="68">
        <v>-20997.1</v>
      </c>
      <c r="Z84" s="68">
        <v>-30969.88</v>
      </c>
      <c r="AA84" s="68">
        <v>-11034.65</v>
      </c>
      <c r="AB84" s="68">
        <v>0</v>
      </c>
      <c r="AC84" s="68">
        <v>0</v>
      </c>
    </row>
    <row r="85" spans="1:29" x14ac:dyDescent="0.55000000000000004">
      <c r="A85" s="49" t="s">
        <v>309</v>
      </c>
      <c r="B85" s="49" t="s">
        <v>310</v>
      </c>
      <c r="C85" s="49" t="s">
        <v>241</v>
      </c>
      <c r="D85" s="49" t="s">
        <v>257</v>
      </c>
      <c r="E85" s="68">
        <v>0</v>
      </c>
      <c r="F85" s="68">
        <v>0</v>
      </c>
      <c r="G85" s="68">
        <v>0</v>
      </c>
      <c r="H85" s="68">
        <v>0</v>
      </c>
      <c r="I85" s="68">
        <v>0</v>
      </c>
      <c r="J85" s="68">
        <v>0</v>
      </c>
      <c r="K85" s="68">
        <v>0</v>
      </c>
      <c r="L85" s="68">
        <v>0</v>
      </c>
      <c r="M85" s="68">
        <v>0</v>
      </c>
      <c r="N85" s="68">
        <v>0</v>
      </c>
      <c r="O85" s="68">
        <v>0</v>
      </c>
      <c r="P85" s="96">
        <v>0</v>
      </c>
      <c r="Q85" s="68">
        <v>0</v>
      </c>
      <c r="R85" s="68">
        <v>0</v>
      </c>
      <c r="S85" s="68">
        <v>0</v>
      </c>
      <c r="T85" s="68">
        <v>0</v>
      </c>
      <c r="U85" s="68">
        <v>0</v>
      </c>
      <c r="V85" s="68">
        <v>0</v>
      </c>
      <c r="W85" s="68">
        <v>0</v>
      </c>
      <c r="X85" s="68">
        <v>0</v>
      </c>
      <c r="Y85" s="68">
        <v>0</v>
      </c>
      <c r="Z85" s="68">
        <v>0</v>
      </c>
      <c r="AA85" s="68">
        <v>0</v>
      </c>
      <c r="AB85" s="68">
        <v>-7800</v>
      </c>
      <c r="AC85" s="68">
        <v>0</v>
      </c>
    </row>
    <row r="86" spans="1:29" x14ac:dyDescent="0.55000000000000004">
      <c r="A86" s="49" t="s">
        <v>311</v>
      </c>
      <c r="B86" s="49" t="s">
        <v>312</v>
      </c>
      <c r="C86" s="49" t="s">
        <v>229</v>
      </c>
      <c r="D86" s="49" t="s">
        <v>257</v>
      </c>
      <c r="E86" s="68">
        <v>0</v>
      </c>
      <c r="F86" s="68">
        <v>-534.48</v>
      </c>
      <c r="G86" s="68">
        <v>0</v>
      </c>
      <c r="H86" s="68">
        <v>0</v>
      </c>
      <c r="I86" s="68">
        <v>0</v>
      </c>
      <c r="J86" s="68">
        <v>0</v>
      </c>
      <c r="K86" s="68">
        <v>0</v>
      </c>
      <c r="L86" s="68">
        <v>0</v>
      </c>
      <c r="M86" s="68">
        <v>0</v>
      </c>
      <c r="N86" s="68">
        <v>0</v>
      </c>
      <c r="O86" s="68">
        <v>0</v>
      </c>
      <c r="P86" s="96">
        <v>-84.3</v>
      </c>
      <c r="Q86" s="68">
        <v>0</v>
      </c>
      <c r="R86" s="68">
        <v>0</v>
      </c>
      <c r="S86" s="68">
        <v>0</v>
      </c>
      <c r="T86" s="68">
        <v>0</v>
      </c>
      <c r="U86" s="68">
        <v>0</v>
      </c>
      <c r="V86" s="68">
        <v>0</v>
      </c>
      <c r="W86" s="68">
        <v>0</v>
      </c>
      <c r="X86" s="68">
        <v>0</v>
      </c>
      <c r="Y86" s="68">
        <v>0</v>
      </c>
      <c r="Z86" s="68">
        <v>0</v>
      </c>
      <c r="AA86" s="68">
        <v>0</v>
      </c>
      <c r="AB86" s="68">
        <v>0</v>
      </c>
      <c r="AC86" s="68">
        <v>0</v>
      </c>
    </row>
    <row r="87" spans="1:29" x14ac:dyDescent="0.55000000000000004">
      <c r="A87" s="49" t="s">
        <v>313</v>
      </c>
      <c r="B87" s="49" t="s">
        <v>314</v>
      </c>
      <c r="C87" s="49" t="s">
        <v>274</v>
      </c>
      <c r="D87" s="49" t="s">
        <v>257</v>
      </c>
      <c r="E87" s="68">
        <v>0</v>
      </c>
      <c r="F87" s="68">
        <v>-534.48</v>
      </c>
      <c r="G87" s="68">
        <v>0</v>
      </c>
      <c r="H87" s="68">
        <v>0</v>
      </c>
      <c r="I87" s="68">
        <v>0</v>
      </c>
      <c r="J87" s="68">
        <v>0</v>
      </c>
      <c r="K87" s="68">
        <v>0</v>
      </c>
      <c r="L87" s="68">
        <v>-623.55999999999995</v>
      </c>
      <c r="M87" s="68">
        <v>0</v>
      </c>
      <c r="N87" s="68">
        <v>0</v>
      </c>
      <c r="O87" s="68">
        <v>-168.6</v>
      </c>
      <c r="P87" s="96">
        <v>0</v>
      </c>
      <c r="Q87" s="68">
        <v>0</v>
      </c>
      <c r="R87" s="68">
        <v>0</v>
      </c>
      <c r="S87" s="68">
        <v>0</v>
      </c>
      <c r="T87" s="68">
        <v>0</v>
      </c>
      <c r="U87" s="68">
        <v>0</v>
      </c>
      <c r="V87" s="68">
        <v>0</v>
      </c>
      <c r="W87" s="68">
        <v>0</v>
      </c>
      <c r="X87" s="68">
        <v>59.56</v>
      </c>
      <c r="Y87" s="68">
        <v>0</v>
      </c>
      <c r="Z87" s="68">
        <v>-1221.22</v>
      </c>
      <c r="AA87" s="68">
        <v>-523.38</v>
      </c>
      <c r="AB87" s="68">
        <v>0</v>
      </c>
      <c r="AC87" s="68">
        <v>0</v>
      </c>
    </row>
    <row r="88" spans="1:29" x14ac:dyDescent="0.55000000000000004">
      <c r="A88" s="49" t="s">
        <v>315</v>
      </c>
      <c r="B88" s="49" t="s">
        <v>316</v>
      </c>
      <c r="C88" s="49" t="s">
        <v>241</v>
      </c>
      <c r="D88" s="49" t="s">
        <v>257</v>
      </c>
      <c r="E88" s="68">
        <v>0</v>
      </c>
      <c r="F88" s="68">
        <v>0</v>
      </c>
      <c r="G88" s="68">
        <v>0</v>
      </c>
      <c r="H88" s="68">
        <v>0</v>
      </c>
      <c r="I88" s="68">
        <v>0</v>
      </c>
      <c r="J88" s="68">
        <v>0</v>
      </c>
      <c r="K88" s="68">
        <v>0</v>
      </c>
      <c r="L88" s="68">
        <v>-534.48</v>
      </c>
      <c r="M88" s="68">
        <v>0</v>
      </c>
      <c r="N88" s="68">
        <v>0</v>
      </c>
      <c r="O88" s="68">
        <v>0</v>
      </c>
      <c r="P88" s="96">
        <v>0</v>
      </c>
      <c r="Q88" s="68">
        <v>0</v>
      </c>
      <c r="R88" s="68">
        <v>0</v>
      </c>
      <c r="S88" s="68">
        <v>0</v>
      </c>
      <c r="T88" s="68">
        <v>0</v>
      </c>
      <c r="U88" s="68">
        <v>0</v>
      </c>
      <c r="V88" s="68">
        <v>0</v>
      </c>
      <c r="W88" s="68">
        <v>0</v>
      </c>
      <c r="X88" s="68">
        <v>-87.23</v>
      </c>
      <c r="Y88" s="68">
        <v>0</v>
      </c>
      <c r="Z88" s="68">
        <v>0</v>
      </c>
      <c r="AA88" s="68">
        <v>0</v>
      </c>
      <c r="AB88" s="68">
        <v>0</v>
      </c>
      <c r="AC88" s="68">
        <v>0</v>
      </c>
    </row>
    <row r="89" spans="1:29" x14ac:dyDescent="0.55000000000000004">
      <c r="A89" s="49" t="s">
        <v>936</v>
      </c>
      <c r="B89" s="49" t="s">
        <v>937</v>
      </c>
      <c r="C89" s="49" t="s">
        <v>241</v>
      </c>
      <c r="D89" s="49" t="s">
        <v>257</v>
      </c>
      <c r="E89" s="68">
        <v>0</v>
      </c>
      <c r="F89" s="68">
        <v>0</v>
      </c>
      <c r="G89" s="68">
        <v>0</v>
      </c>
      <c r="H89" s="68">
        <v>0</v>
      </c>
      <c r="I89" s="68">
        <v>0</v>
      </c>
      <c r="J89" s="68">
        <v>0</v>
      </c>
      <c r="K89" s="68">
        <v>0</v>
      </c>
      <c r="L89" s="68">
        <v>-267.24</v>
      </c>
      <c r="M89" s="68">
        <v>0</v>
      </c>
      <c r="N89" s="68">
        <v>0</v>
      </c>
      <c r="O89" s="68">
        <v>84.3</v>
      </c>
      <c r="P89" s="96">
        <v>0</v>
      </c>
      <c r="Q89" s="68">
        <v>0</v>
      </c>
      <c r="R89" s="68">
        <v>0</v>
      </c>
      <c r="S89" s="68">
        <v>0</v>
      </c>
      <c r="T89" s="68">
        <v>0</v>
      </c>
      <c r="U89" s="68">
        <v>0</v>
      </c>
      <c r="V89" s="68">
        <v>0</v>
      </c>
      <c r="W89" s="68">
        <v>0</v>
      </c>
      <c r="X89" s="68">
        <v>0</v>
      </c>
      <c r="Y89" s="68">
        <v>0</v>
      </c>
      <c r="Z89" s="68">
        <v>0</v>
      </c>
      <c r="AA89" s="68">
        <v>0</v>
      </c>
      <c r="AB89" s="68">
        <v>0</v>
      </c>
      <c r="AC89" s="68">
        <v>0</v>
      </c>
    </row>
    <row r="90" spans="1:29" x14ac:dyDescent="0.55000000000000004">
      <c r="A90" s="49" t="s">
        <v>317</v>
      </c>
      <c r="B90" s="49" t="s">
        <v>318</v>
      </c>
      <c r="C90" s="49" t="s">
        <v>229</v>
      </c>
      <c r="D90" s="49" t="s">
        <v>257</v>
      </c>
      <c r="E90" s="68">
        <v>0</v>
      </c>
      <c r="F90" s="68">
        <v>0</v>
      </c>
      <c r="G90" s="68">
        <v>0</v>
      </c>
      <c r="H90" s="68">
        <v>0</v>
      </c>
      <c r="I90" s="68">
        <v>0</v>
      </c>
      <c r="J90" s="68">
        <v>0</v>
      </c>
      <c r="K90" s="68">
        <v>0</v>
      </c>
      <c r="L90" s="68">
        <v>0</v>
      </c>
      <c r="M90" s="68">
        <v>0</v>
      </c>
      <c r="N90" s="68">
        <v>0</v>
      </c>
      <c r="O90" s="68">
        <v>0</v>
      </c>
      <c r="P90" s="96">
        <v>0</v>
      </c>
      <c r="Q90" s="68">
        <v>0</v>
      </c>
      <c r="R90" s="68">
        <v>0</v>
      </c>
      <c r="S90" s="68">
        <v>0</v>
      </c>
      <c r="T90" s="68">
        <v>0</v>
      </c>
      <c r="U90" s="68">
        <v>0</v>
      </c>
      <c r="V90" s="68">
        <v>0</v>
      </c>
      <c r="W90" s="68">
        <v>0</v>
      </c>
      <c r="X90" s="68">
        <v>-174.46</v>
      </c>
      <c r="Y90" s="68">
        <v>0</v>
      </c>
      <c r="Z90" s="68">
        <v>0</v>
      </c>
      <c r="AA90" s="68">
        <v>-348.92</v>
      </c>
      <c r="AB90" s="68">
        <v>0</v>
      </c>
      <c r="AC90" s="68">
        <v>0</v>
      </c>
    </row>
    <row r="91" spans="1:29" x14ac:dyDescent="0.55000000000000004">
      <c r="A91" s="49" t="s">
        <v>319</v>
      </c>
      <c r="B91" s="49" t="s">
        <v>320</v>
      </c>
      <c r="C91" s="49" t="s">
        <v>229</v>
      </c>
      <c r="D91" s="49" t="s">
        <v>257</v>
      </c>
      <c r="E91" s="68">
        <v>0</v>
      </c>
      <c r="F91" s="68">
        <v>0</v>
      </c>
      <c r="G91" s="68">
        <v>-1202.33</v>
      </c>
      <c r="H91" s="68">
        <v>0</v>
      </c>
      <c r="I91" s="68">
        <v>0</v>
      </c>
      <c r="J91" s="68">
        <v>0</v>
      </c>
      <c r="K91" s="68">
        <v>0</v>
      </c>
      <c r="L91" s="68">
        <v>0</v>
      </c>
      <c r="M91" s="68">
        <v>0</v>
      </c>
      <c r="N91" s="68">
        <v>0</v>
      </c>
      <c r="O91" s="68">
        <v>0</v>
      </c>
      <c r="P91" s="96">
        <v>0</v>
      </c>
      <c r="Q91" s="68">
        <v>0</v>
      </c>
      <c r="R91" s="68">
        <v>-907.8</v>
      </c>
      <c r="S91" s="68">
        <v>-1878.86</v>
      </c>
      <c r="T91" s="68">
        <v>0</v>
      </c>
      <c r="U91" s="68">
        <v>0</v>
      </c>
      <c r="V91" s="68">
        <v>-414.66</v>
      </c>
      <c r="W91" s="68">
        <v>0</v>
      </c>
      <c r="X91" s="68">
        <v>-483.9</v>
      </c>
      <c r="Y91" s="68">
        <v>0</v>
      </c>
      <c r="Z91" s="68">
        <v>0</v>
      </c>
      <c r="AA91" s="68">
        <v>-794.26</v>
      </c>
      <c r="AB91" s="68">
        <v>-455</v>
      </c>
      <c r="AC91" s="68">
        <v>0</v>
      </c>
    </row>
    <row r="92" spans="1:29" x14ac:dyDescent="0.55000000000000004">
      <c r="A92" s="49" t="s">
        <v>321</v>
      </c>
      <c r="B92" s="49" t="s">
        <v>322</v>
      </c>
      <c r="C92" s="49" t="s">
        <v>232</v>
      </c>
      <c r="D92" s="49" t="s">
        <v>257</v>
      </c>
      <c r="E92" s="68">
        <v>-10539.86</v>
      </c>
      <c r="F92" s="68">
        <v>-11239.58</v>
      </c>
      <c r="G92" s="68">
        <v>-16153.2</v>
      </c>
      <c r="H92" s="68">
        <v>-6061.72</v>
      </c>
      <c r="I92" s="68">
        <v>-100</v>
      </c>
      <c r="J92" s="68">
        <v>-4477.42</v>
      </c>
      <c r="K92" s="68">
        <v>-1486.08</v>
      </c>
      <c r="L92" s="68">
        <v>-6512.3</v>
      </c>
      <c r="M92" s="68">
        <v>-24844.9</v>
      </c>
      <c r="N92" s="68">
        <v>-30532.29</v>
      </c>
      <c r="O92" s="68">
        <v>-7987.72</v>
      </c>
      <c r="P92" s="96">
        <v>-30940.44</v>
      </c>
      <c r="Q92" s="68">
        <v>-9142.44</v>
      </c>
      <c r="R92" s="68">
        <v>-12160.64</v>
      </c>
      <c r="S92" s="68">
        <v>-5165.92</v>
      </c>
      <c r="T92" s="68">
        <v>-3758.2</v>
      </c>
      <c r="U92" s="68">
        <v>-38832.94</v>
      </c>
      <c r="V92" s="68">
        <v>-15126.8</v>
      </c>
      <c r="W92" s="68">
        <v>-5911.6</v>
      </c>
      <c r="X92" s="68">
        <v>-12266.36</v>
      </c>
      <c r="Y92" s="68">
        <v>-4718.38</v>
      </c>
      <c r="Z92" s="68">
        <v>-2099</v>
      </c>
      <c r="AA92" s="68">
        <v>-12256.32</v>
      </c>
      <c r="AB92" s="68">
        <v>-47579</v>
      </c>
      <c r="AC92" s="68">
        <v>0</v>
      </c>
    </row>
    <row r="93" spans="1:29" x14ac:dyDescent="0.55000000000000004">
      <c r="A93" s="49" t="s">
        <v>323</v>
      </c>
      <c r="B93" s="49" t="s">
        <v>324</v>
      </c>
      <c r="C93" s="49" t="s">
        <v>235</v>
      </c>
      <c r="D93" s="49" t="s">
        <v>257</v>
      </c>
      <c r="E93" s="68">
        <v>0</v>
      </c>
      <c r="F93" s="68">
        <v>0</v>
      </c>
      <c r="G93" s="68">
        <v>0</v>
      </c>
      <c r="H93" s="68">
        <v>0</v>
      </c>
      <c r="I93" s="68">
        <v>0</v>
      </c>
      <c r="J93" s="68">
        <v>0</v>
      </c>
      <c r="K93" s="68">
        <v>0</v>
      </c>
      <c r="L93" s="68">
        <v>0</v>
      </c>
      <c r="M93" s="68">
        <v>0</v>
      </c>
      <c r="N93" s="68">
        <v>0</v>
      </c>
      <c r="O93" s="68">
        <v>0</v>
      </c>
      <c r="P93" s="96">
        <v>0</v>
      </c>
      <c r="Q93" s="68">
        <v>7130.52</v>
      </c>
      <c r="R93" s="68">
        <v>0</v>
      </c>
      <c r="S93" s="68">
        <v>0</v>
      </c>
      <c r="T93" s="68">
        <v>0</v>
      </c>
      <c r="U93" s="68">
        <v>0</v>
      </c>
      <c r="V93" s="68">
        <v>0</v>
      </c>
      <c r="W93" s="68">
        <v>0</v>
      </c>
      <c r="X93" s="68">
        <v>-4187.0600000000004</v>
      </c>
      <c r="Y93" s="68">
        <v>0</v>
      </c>
      <c r="Z93" s="68">
        <v>0</v>
      </c>
      <c r="AA93" s="68">
        <v>-6855.92</v>
      </c>
      <c r="AB93" s="68">
        <v>0</v>
      </c>
      <c r="AC93" s="68">
        <v>0</v>
      </c>
    </row>
    <row r="94" spans="1:29" x14ac:dyDescent="0.55000000000000004">
      <c r="A94" s="49" t="s">
        <v>893</v>
      </c>
      <c r="B94" s="49" t="s">
        <v>894</v>
      </c>
      <c r="C94" s="49" t="s">
        <v>232</v>
      </c>
      <c r="D94" s="49" t="s">
        <v>257</v>
      </c>
      <c r="E94" s="68">
        <v>0</v>
      </c>
      <c r="F94" s="68">
        <v>0</v>
      </c>
      <c r="G94" s="68">
        <v>0</v>
      </c>
      <c r="H94" s="68">
        <v>0</v>
      </c>
      <c r="I94" s="68">
        <v>0</v>
      </c>
      <c r="J94" s="68">
        <v>0</v>
      </c>
      <c r="K94" s="68">
        <v>0</v>
      </c>
      <c r="L94" s="68">
        <v>0</v>
      </c>
      <c r="M94" s="68">
        <v>0</v>
      </c>
      <c r="N94" s="68">
        <v>0</v>
      </c>
      <c r="O94" s="68">
        <v>0</v>
      </c>
      <c r="P94" s="96">
        <v>0</v>
      </c>
      <c r="Q94" s="68">
        <v>0</v>
      </c>
      <c r="R94" s="68">
        <v>3939.74</v>
      </c>
      <c r="S94" s="68">
        <v>0</v>
      </c>
      <c r="T94" s="68">
        <v>0</v>
      </c>
      <c r="U94" s="68">
        <v>0</v>
      </c>
      <c r="V94" s="68">
        <v>0</v>
      </c>
      <c r="W94" s="68">
        <v>0</v>
      </c>
      <c r="X94" s="68">
        <v>0</v>
      </c>
      <c r="Y94" s="68">
        <v>0</v>
      </c>
      <c r="Z94" s="68">
        <v>0</v>
      </c>
      <c r="AA94" s="68">
        <v>0</v>
      </c>
      <c r="AB94" s="68">
        <v>0</v>
      </c>
      <c r="AC94" s="68">
        <v>0</v>
      </c>
    </row>
    <row r="95" spans="1:29" x14ac:dyDescent="0.55000000000000004">
      <c r="A95" s="49" t="s">
        <v>325</v>
      </c>
      <c r="B95" s="49" t="s">
        <v>326</v>
      </c>
      <c r="C95" s="49" t="s">
        <v>238</v>
      </c>
      <c r="D95" s="49" t="s">
        <v>257</v>
      </c>
      <c r="E95" s="68">
        <v>-71392.58</v>
      </c>
      <c r="F95" s="68">
        <v>-46478</v>
      </c>
      <c r="G95" s="68">
        <v>-51523.86</v>
      </c>
      <c r="H95" s="68">
        <v>-20758.96</v>
      </c>
      <c r="I95" s="68">
        <v>-42756.24</v>
      </c>
      <c r="J95" s="68">
        <v>-55610.38</v>
      </c>
      <c r="K95" s="68">
        <v>-51092.7</v>
      </c>
      <c r="L95" s="68">
        <v>-40459.699999999997</v>
      </c>
      <c r="M95" s="68">
        <v>-45487.199999999997</v>
      </c>
      <c r="N95" s="68">
        <v>-47854.46</v>
      </c>
      <c r="O95" s="68">
        <v>-23175.16</v>
      </c>
      <c r="P95" s="96">
        <v>-61243.58</v>
      </c>
      <c r="Q95" s="68">
        <v>-8952.86</v>
      </c>
      <c r="R95" s="68">
        <v>-22311.72</v>
      </c>
      <c r="S95" s="68">
        <v>-29627.68</v>
      </c>
      <c r="T95" s="68">
        <v>-25369.58</v>
      </c>
      <c r="U95" s="68">
        <v>-38735.9</v>
      </c>
      <c r="V95" s="68">
        <v>-26207.3</v>
      </c>
      <c r="W95" s="68">
        <v>-25848.12</v>
      </c>
      <c r="X95" s="68">
        <v>-19736.2</v>
      </c>
      <c r="Y95" s="68">
        <v>-24421.58</v>
      </c>
      <c r="Z95" s="68">
        <v>-34667.300000000003</v>
      </c>
      <c r="AA95" s="68">
        <v>-51448.26</v>
      </c>
      <c r="AB95" s="68">
        <v>-10970.84</v>
      </c>
      <c r="AC95" s="68">
        <v>0</v>
      </c>
    </row>
    <row r="96" spans="1:29" x14ac:dyDescent="0.55000000000000004">
      <c r="A96" s="49" t="s">
        <v>327</v>
      </c>
      <c r="B96" s="49" t="s">
        <v>328</v>
      </c>
      <c r="C96" s="49" t="s">
        <v>241</v>
      </c>
      <c r="D96" s="49" t="s">
        <v>257</v>
      </c>
      <c r="E96" s="68">
        <v>0</v>
      </c>
      <c r="F96" s="68">
        <v>0</v>
      </c>
      <c r="G96" s="68">
        <v>-1489.66</v>
      </c>
      <c r="H96" s="68">
        <v>-824.92</v>
      </c>
      <c r="I96" s="68">
        <v>-41.49</v>
      </c>
      <c r="J96" s="68">
        <v>0</v>
      </c>
      <c r="K96" s="68">
        <v>-244.58</v>
      </c>
      <c r="L96" s="68">
        <v>-0.22</v>
      </c>
      <c r="M96" s="68">
        <v>-454.68</v>
      </c>
      <c r="N96" s="68">
        <v>0</v>
      </c>
      <c r="O96" s="68">
        <v>-8.94</v>
      </c>
      <c r="P96" s="96">
        <v>0</v>
      </c>
      <c r="Q96" s="68">
        <v>-1571.67</v>
      </c>
      <c r="R96" s="68">
        <v>-473.62</v>
      </c>
      <c r="S96" s="68">
        <v>0</v>
      </c>
      <c r="T96" s="68">
        <v>-3248.91</v>
      </c>
      <c r="U96" s="68">
        <v>-494.29</v>
      </c>
      <c r="V96" s="68">
        <v>-6762.86</v>
      </c>
      <c r="W96" s="68">
        <v>0</v>
      </c>
      <c r="X96" s="68">
        <v>-751.3</v>
      </c>
      <c r="Y96" s="68">
        <v>-1130.94</v>
      </c>
      <c r="Z96" s="68">
        <v>-447.64</v>
      </c>
      <c r="AA96" s="68">
        <v>-6662.78</v>
      </c>
      <c r="AB96" s="68">
        <v>0</v>
      </c>
      <c r="AC96" s="68">
        <v>0</v>
      </c>
    </row>
    <row r="97" spans="1:29" x14ac:dyDescent="0.55000000000000004">
      <c r="A97" s="49" t="s">
        <v>329</v>
      </c>
      <c r="B97" s="49" t="s">
        <v>330</v>
      </c>
      <c r="C97" s="49" t="s">
        <v>244</v>
      </c>
      <c r="D97" s="49" t="s">
        <v>257</v>
      </c>
      <c r="E97" s="68">
        <v>0</v>
      </c>
      <c r="F97" s="68">
        <v>0</v>
      </c>
      <c r="G97" s="68">
        <v>0</v>
      </c>
      <c r="H97" s="68">
        <v>0</v>
      </c>
      <c r="I97" s="68">
        <v>0</v>
      </c>
      <c r="J97" s="68">
        <v>0</v>
      </c>
      <c r="K97" s="68">
        <v>0</v>
      </c>
      <c r="L97" s="68">
        <v>0</v>
      </c>
      <c r="M97" s="68">
        <v>0</v>
      </c>
      <c r="N97" s="68">
        <v>0</v>
      </c>
      <c r="O97" s="68">
        <v>0</v>
      </c>
      <c r="P97" s="96">
        <v>0</v>
      </c>
      <c r="Q97" s="68">
        <v>0</v>
      </c>
      <c r="R97" s="68">
        <v>0</v>
      </c>
      <c r="S97" s="68">
        <v>-323</v>
      </c>
      <c r="T97" s="68">
        <v>-42.24</v>
      </c>
      <c r="U97" s="68">
        <v>0</v>
      </c>
      <c r="V97" s="68">
        <v>0</v>
      </c>
      <c r="W97" s="68">
        <v>0</v>
      </c>
      <c r="X97" s="68">
        <v>0</v>
      </c>
      <c r="Y97" s="68">
        <v>0</v>
      </c>
      <c r="Z97" s="68">
        <v>0</v>
      </c>
      <c r="AA97" s="68">
        <v>0</v>
      </c>
      <c r="AB97" s="68">
        <v>0</v>
      </c>
      <c r="AC97" s="68">
        <v>0</v>
      </c>
    </row>
    <row r="98" spans="1:29" x14ac:dyDescent="0.55000000000000004">
      <c r="A98" s="49" t="s">
        <v>331</v>
      </c>
      <c r="B98" s="49" t="s">
        <v>332</v>
      </c>
      <c r="C98" s="49" t="s">
        <v>232</v>
      </c>
      <c r="D98" s="49" t="s">
        <v>257</v>
      </c>
      <c r="E98" s="68">
        <v>0</v>
      </c>
      <c r="F98" s="68">
        <v>-4484.92</v>
      </c>
      <c r="G98" s="68">
        <v>0</v>
      </c>
      <c r="H98" s="68">
        <v>-1155.5</v>
      </c>
      <c r="I98" s="68">
        <v>-976.07</v>
      </c>
      <c r="J98" s="68">
        <v>0</v>
      </c>
      <c r="K98" s="68">
        <v>-44.96</v>
      </c>
      <c r="L98" s="68">
        <v>0</v>
      </c>
      <c r="M98" s="68">
        <v>0</v>
      </c>
      <c r="N98" s="68">
        <v>0</v>
      </c>
      <c r="O98" s="68">
        <v>-301.12</v>
      </c>
      <c r="P98" s="96">
        <v>0</v>
      </c>
      <c r="Q98" s="68">
        <v>0</v>
      </c>
      <c r="R98" s="68">
        <v>0</v>
      </c>
      <c r="S98" s="68">
        <v>-3208.25</v>
      </c>
      <c r="T98" s="68">
        <v>0</v>
      </c>
      <c r="U98" s="68">
        <v>0</v>
      </c>
      <c r="V98" s="68">
        <v>0</v>
      </c>
      <c r="W98" s="68">
        <v>-1388.52</v>
      </c>
      <c r="X98" s="68">
        <v>0</v>
      </c>
      <c r="Y98" s="68">
        <v>-1188.6600000000001</v>
      </c>
      <c r="Z98" s="68">
        <v>0</v>
      </c>
      <c r="AA98" s="68">
        <v>0</v>
      </c>
      <c r="AB98" s="68">
        <v>0</v>
      </c>
      <c r="AC98" s="68">
        <v>0</v>
      </c>
    </row>
    <row r="99" spans="1:29" x14ac:dyDescent="0.55000000000000004">
      <c r="A99" s="49" t="s">
        <v>957</v>
      </c>
      <c r="B99" s="49" t="s">
        <v>958</v>
      </c>
      <c r="C99" s="49" t="s">
        <v>241</v>
      </c>
      <c r="D99" s="49" t="s">
        <v>257</v>
      </c>
      <c r="E99" s="68">
        <v>0</v>
      </c>
      <c r="F99" s="68">
        <v>0</v>
      </c>
      <c r="G99" s="68">
        <v>0</v>
      </c>
      <c r="H99" s="68">
        <v>0</v>
      </c>
      <c r="I99" s="68">
        <v>0</v>
      </c>
      <c r="J99" s="68">
        <v>0</v>
      </c>
      <c r="K99" s="68">
        <v>0</v>
      </c>
      <c r="L99" s="68">
        <v>0</v>
      </c>
      <c r="M99" s="68">
        <v>0</v>
      </c>
      <c r="N99" s="68">
        <v>0</v>
      </c>
      <c r="O99" s="68">
        <v>0</v>
      </c>
      <c r="P99" s="96">
        <v>0</v>
      </c>
      <c r="Q99" s="68">
        <v>0</v>
      </c>
      <c r="R99" s="68">
        <v>0</v>
      </c>
      <c r="S99" s="68">
        <v>0</v>
      </c>
      <c r="T99" s="68">
        <v>0</v>
      </c>
      <c r="U99" s="68">
        <v>0</v>
      </c>
      <c r="V99" s="68">
        <v>0</v>
      </c>
      <c r="W99" s="68">
        <v>0</v>
      </c>
      <c r="X99" s="68">
        <v>0</v>
      </c>
      <c r="Y99" s="68">
        <v>0</v>
      </c>
      <c r="Z99" s="68">
        <v>0</v>
      </c>
      <c r="AA99" s="68">
        <v>0</v>
      </c>
      <c r="AB99" s="68">
        <v>-248.56</v>
      </c>
      <c r="AC99" s="68">
        <v>0</v>
      </c>
    </row>
    <row r="100" spans="1:29" x14ac:dyDescent="0.55000000000000004">
      <c r="A100" s="49" t="s">
        <v>333</v>
      </c>
      <c r="B100" s="49" t="s">
        <v>334</v>
      </c>
      <c r="C100" s="49" t="s">
        <v>229</v>
      </c>
      <c r="D100" s="49" t="s">
        <v>257</v>
      </c>
      <c r="E100" s="68">
        <v>0</v>
      </c>
      <c r="F100" s="68">
        <v>0</v>
      </c>
      <c r="G100" s="68">
        <v>0</v>
      </c>
      <c r="H100" s="68">
        <v>0</v>
      </c>
      <c r="I100" s="68">
        <v>0</v>
      </c>
      <c r="J100" s="68">
        <v>0</v>
      </c>
      <c r="K100" s="68">
        <v>0</v>
      </c>
      <c r="L100" s="68">
        <v>0</v>
      </c>
      <c r="M100" s="68">
        <v>-34.619999999999997</v>
      </c>
      <c r="N100" s="68">
        <v>0</v>
      </c>
      <c r="O100" s="68">
        <v>0</v>
      </c>
      <c r="P100" s="96">
        <v>0</v>
      </c>
      <c r="Q100" s="68">
        <v>0</v>
      </c>
      <c r="R100" s="68">
        <v>-353.96</v>
      </c>
      <c r="S100" s="68">
        <v>-1148.82</v>
      </c>
      <c r="T100" s="68">
        <v>0</v>
      </c>
      <c r="U100" s="68">
        <v>-117.4</v>
      </c>
      <c r="V100" s="68">
        <v>-272</v>
      </c>
      <c r="W100" s="68">
        <v>60</v>
      </c>
      <c r="X100" s="68">
        <v>420.1</v>
      </c>
      <c r="Y100" s="68">
        <v>-39.54</v>
      </c>
      <c r="Z100" s="68">
        <v>0</v>
      </c>
      <c r="AA100" s="68">
        <v>-634.04</v>
      </c>
      <c r="AB100" s="68">
        <v>-536.16</v>
      </c>
      <c r="AC100" s="68">
        <v>0</v>
      </c>
    </row>
    <row r="101" spans="1:29" x14ac:dyDescent="0.55000000000000004">
      <c r="A101" s="49" t="s">
        <v>335</v>
      </c>
      <c r="B101" s="49" t="s">
        <v>336</v>
      </c>
      <c r="C101" s="49" t="s">
        <v>232</v>
      </c>
      <c r="D101" s="49" t="s">
        <v>257</v>
      </c>
      <c r="E101" s="68">
        <v>-1681.4</v>
      </c>
      <c r="F101" s="68">
        <v>-920.22</v>
      </c>
      <c r="G101" s="68">
        <v>-1538.58</v>
      </c>
      <c r="H101" s="68">
        <v>-505.4</v>
      </c>
      <c r="I101" s="68">
        <v>-239.94</v>
      </c>
      <c r="J101" s="68">
        <v>-843.68</v>
      </c>
      <c r="K101" s="68">
        <v>-241.56</v>
      </c>
      <c r="L101" s="68">
        <v>-1250.2</v>
      </c>
      <c r="M101" s="68">
        <v>-4646.8999999999996</v>
      </c>
      <c r="N101" s="68">
        <v>-5853.24</v>
      </c>
      <c r="O101" s="68">
        <v>-3388.86</v>
      </c>
      <c r="P101" s="96">
        <v>-9269.1200000000008</v>
      </c>
      <c r="Q101" s="68">
        <v>-6032.4</v>
      </c>
      <c r="R101" s="68">
        <v>-2306.1</v>
      </c>
      <c r="S101" s="68">
        <v>-1465.42</v>
      </c>
      <c r="T101" s="68">
        <v>-243.7</v>
      </c>
      <c r="U101" s="68">
        <v>-14598.42</v>
      </c>
      <c r="V101" s="68">
        <v>-2625.86</v>
      </c>
      <c r="W101" s="68">
        <v>-4011.78</v>
      </c>
      <c r="X101" s="68">
        <v>-1630.18</v>
      </c>
      <c r="Y101" s="68">
        <v>-603.41999999999996</v>
      </c>
      <c r="Z101" s="68">
        <v>0</v>
      </c>
      <c r="AA101" s="68">
        <v>-542.54</v>
      </c>
      <c r="AB101" s="68">
        <v>-16776.62</v>
      </c>
      <c r="AC101" s="68">
        <v>0</v>
      </c>
    </row>
    <row r="102" spans="1:29" x14ac:dyDescent="0.55000000000000004">
      <c r="A102" s="49" t="s">
        <v>895</v>
      </c>
      <c r="B102" s="49" t="s">
        <v>896</v>
      </c>
      <c r="C102" s="49" t="s">
        <v>232</v>
      </c>
      <c r="D102" s="49" t="s">
        <v>257</v>
      </c>
      <c r="E102" s="68">
        <v>0</v>
      </c>
      <c r="F102" s="68">
        <v>0</v>
      </c>
      <c r="G102" s="68">
        <v>0</v>
      </c>
      <c r="H102" s="68">
        <v>0</v>
      </c>
      <c r="I102" s="68">
        <v>0</v>
      </c>
      <c r="J102" s="68">
        <v>0</v>
      </c>
      <c r="K102" s="68">
        <v>0</v>
      </c>
      <c r="L102" s="68">
        <v>0</v>
      </c>
      <c r="M102" s="68">
        <v>0</v>
      </c>
      <c r="N102" s="68">
        <v>0</v>
      </c>
      <c r="O102" s="68">
        <v>0</v>
      </c>
      <c r="P102" s="96">
        <v>0</v>
      </c>
      <c r="Q102" s="68">
        <v>0</v>
      </c>
      <c r="R102" s="68">
        <v>227.44</v>
      </c>
      <c r="S102" s="68">
        <v>0</v>
      </c>
      <c r="T102" s="68">
        <v>0</v>
      </c>
      <c r="U102" s="68">
        <v>0</v>
      </c>
      <c r="V102" s="68">
        <v>0</v>
      </c>
      <c r="W102" s="68">
        <v>0</v>
      </c>
      <c r="X102" s="68">
        <v>0</v>
      </c>
      <c r="Y102" s="68">
        <v>0</v>
      </c>
      <c r="Z102" s="68">
        <v>0</v>
      </c>
      <c r="AA102" s="68">
        <v>0</v>
      </c>
      <c r="AB102" s="68">
        <v>0</v>
      </c>
      <c r="AC102" s="68">
        <v>0</v>
      </c>
    </row>
    <row r="103" spans="1:29" x14ac:dyDescent="0.55000000000000004">
      <c r="A103" s="49" t="s">
        <v>337</v>
      </c>
      <c r="B103" s="49" t="s">
        <v>338</v>
      </c>
      <c r="C103" s="49" t="s">
        <v>235</v>
      </c>
      <c r="D103" s="49" t="s">
        <v>257</v>
      </c>
      <c r="E103" s="68">
        <v>0</v>
      </c>
      <c r="F103" s="68">
        <v>0</v>
      </c>
      <c r="G103" s="68">
        <v>0</v>
      </c>
      <c r="H103" s="68">
        <v>0</v>
      </c>
      <c r="I103" s="68">
        <v>0</v>
      </c>
      <c r="J103" s="68">
        <v>0</v>
      </c>
      <c r="K103" s="68">
        <v>0</v>
      </c>
      <c r="L103" s="68">
        <v>0</v>
      </c>
      <c r="M103" s="68">
        <v>0</v>
      </c>
      <c r="N103" s="68">
        <v>0</v>
      </c>
      <c r="O103" s="68">
        <v>0</v>
      </c>
      <c r="P103" s="96">
        <v>0</v>
      </c>
      <c r="Q103" s="68">
        <v>60.14</v>
      </c>
      <c r="R103" s="68">
        <v>0</v>
      </c>
      <c r="S103" s="68">
        <v>0</v>
      </c>
      <c r="T103" s="68">
        <v>0</v>
      </c>
      <c r="U103" s="68">
        <v>0</v>
      </c>
      <c r="V103" s="68">
        <v>0</v>
      </c>
      <c r="W103" s="68">
        <v>0</v>
      </c>
      <c r="X103" s="68">
        <v>-325.7</v>
      </c>
      <c r="Y103" s="68">
        <v>0</v>
      </c>
      <c r="Z103" s="68">
        <v>0</v>
      </c>
      <c r="AA103" s="68">
        <v>-1283.6600000000001</v>
      </c>
      <c r="AB103" s="68">
        <v>0</v>
      </c>
      <c r="AC103" s="68">
        <v>0</v>
      </c>
    </row>
    <row r="104" spans="1:29" x14ac:dyDescent="0.55000000000000004">
      <c r="A104" s="49" t="s">
        <v>339</v>
      </c>
      <c r="B104" s="49" t="s">
        <v>340</v>
      </c>
      <c r="C104" s="49" t="s">
        <v>238</v>
      </c>
      <c r="D104" s="49" t="s">
        <v>257</v>
      </c>
      <c r="E104" s="68">
        <v>-8887.4</v>
      </c>
      <c r="F104" s="68">
        <v>-5545.22</v>
      </c>
      <c r="G104" s="68">
        <v>-3533.36</v>
      </c>
      <c r="H104" s="68">
        <v>-4217.32</v>
      </c>
      <c r="I104" s="68">
        <v>-5998.5</v>
      </c>
      <c r="J104" s="68">
        <v>-10691.58</v>
      </c>
      <c r="K104" s="68">
        <v>-5998.44</v>
      </c>
      <c r="L104" s="68">
        <v>-4926</v>
      </c>
      <c r="M104" s="68">
        <v>-7440.56</v>
      </c>
      <c r="N104" s="68">
        <v>-7827.4</v>
      </c>
      <c r="O104" s="68">
        <v>-2677.14</v>
      </c>
      <c r="P104" s="96">
        <v>-9623.52</v>
      </c>
      <c r="Q104" s="68">
        <v>-3040.76</v>
      </c>
      <c r="R104" s="68">
        <v>-4035.16</v>
      </c>
      <c r="S104" s="68">
        <v>-8258</v>
      </c>
      <c r="T104" s="68">
        <v>-9539.3799999999992</v>
      </c>
      <c r="U104" s="68">
        <v>-11212.5</v>
      </c>
      <c r="V104" s="68">
        <v>-7566.52</v>
      </c>
      <c r="W104" s="68">
        <v>-10116.34</v>
      </c>
      <c r="X104" s="68">
        <v>-3441.98</v>
      </c>
      <c r="Y104" s="68">
        <v>-4384.78</v>
      </c>
      <c r="Z104" s="68">
        <v>-5471.6</v>
      </c>
      <c r="AA104" s="68">
        <v>-1714.18</v>
      </c>
      <c r="AB104" s="68">
        <v>-3160.94</v>
      </c>
      <c r="AC104" s="68">
        <v>0</v>
      </c>
    </row>
    <row r="105" spans="1:29" x14ac:dyDescent="0.55000000000000004">
      <c r="A105" s="49" t="s">
        <v>341</v>
      </c>
      <c r="B105" s="49" t="s">
        <v>342</v>
      </c>
      <c r="C105" s="49" t="s">
        <v>241</v>
      </c>
      <c r="D105" s="49" t="s">
        <v>257</v>
      </c>
      <c r="E105" s="68">
        <v>0</v>
      </c>
      <c r="F105" s="68">
        <v>0</v>
      </c>
      <c r="G105" s="68">
        <v>0</v>
      </c>
      <c r="H105" s="68">
        <v>0</v>
      </c>
      <c r="I105" s="68">
        <v>0</v>
      </c>
      <c r="J105" s="68">
        <v>0</v>
      </c>
      <c r="K105" s="68">
        <v>0</v>
      </c>
      <c r="L105" s="68">
        <v>0</v>
      </c>
      <c r="M105" s="68">
        <v>0</v>
      </c>
      <c r="N105" s="68">
        <v>-795.24</v>
      </c>
      <c r="O105" s="68">
        <v>0</v>
      </c>
      <c r="P105" s="96">
        <v>0</v>
      </c>
      <c r="Q105" s="68">
        <v>-415.12</v>
      </c>
      <c r="R105" s="68">
        <v>0</v>
      </c>
      <c r="S105" s="68">
        <v>0</v>
      </c>
      <c r="T105" s="68">
        <v>0</v>
      </c>
      <c r="U105" s="68">
        <v>0</v>
      </c>
      <c r="V105" s="68">
        <v>0</v>
      </c>
      <c r="W105" s="68">
        <v>-168.44</v>
      </c>
      <c r="X105" s="68">
        <v>-9793.1</v>
      </c>
      <c r="Y105" s="68">
        <v>-4820.6400000000003</v>
      </c>
      <c r="Z105" s="68">
        <v>-4290</v>
      </c>
      <c r="AA105" s="68">
        <v>-4486.9799999999996</v>
      </c>
      <c r="AB105" s="68">
        <v>0</v>
      </c>
      <c r="AC105" s="68">
        <v>0</v>
      </c>
    </row>
    <row r="106" spans="1:29" x14ac:dyDescent="0.55000000000000004">
      <c r="A106" s="49" t="s">
        <v>343</v>
      </c>
      <c r="B106" s="49" t="s">
        <v>344</v>
      </c>
      <c r="C106" s="49" t="s">
        <v>244</v>
      </c>
      <c r="D106" s="49" t="s">
        <v>257</v>
      </c>
      <c r="E106" s="68">
        <v>0</v>
      </c>
      <c r="F106" s="68">
        <v>0</v>
      </c>
      <c r="G106" s="68">
        <v>0</v>
      </c>
      <c r="H106" s="68">
        <v>0</v>
      </c>
      <c r="I106" s="68">
        <v>0</v>
      </c>
      <c r="J106" s="68">
        <v>0</v>
      </c>
      <c r="K106" s="68">
        <v>0</v>
      </c>
      <c r="L106" s="68">
        <v>0</v>
      </c>
      <c r="M106" s="68">
        <v>0</v>
      </c>
      <c r="N106" s="68">
        <v>0</v>
      </c>
      <c r="O106" s="68">
        <v>0</v>
      </c>
      <c r="P106" s="96">
        <v>0</v>
      </c>
      <c r="Q106" s="68">
        <v>0</v>
      </c>
      <c r="R106" s="68">
        <v>0</v>
      </c>
      <c r="S106" s="68">
        <v>0</v>
      </c>
      <c r="T106" s="68">
        <v>0</v>
      </c>
      <c r="U106" s="68">
        <v>0</v>
      </c>
      <c r="V106" s="68">
        <v>0</v>
      </c>
      <c r="W106" s="68">
        <v>0</v>
      </c>
      <c r="X106" s="68">
        <v>0</v>
      </c>
      <c r="Y106" s="68">
        <v>-339.02</v>
      </c>
      <c r="Z106" s="68">
        <v>0</v>
      </c>
      <c r="AA106" s="68">
        <v>0</v>
      </c>
      <c r="AB106" s="68">
        <v>0</v>
      </c>
      <c r="AC106" s="68">
        <v>0</v>
      </c>
    </row>
    <row r="107" spans="1:29" x14ac:dyDescent="0.55000000000000004">
      <c r="A107" s="49" t="s">
        <v>345</v>
      </c>
      <c r="B107" s="49" t="s">
        <v>346</v>
      </c>
      <c r="C107" s="49" t="s">
        <v>232</v>
      </c>
      <c r="D107" s="49" t="s">
        <v>257</v>
      </c>
      <c r="E107" s="68">
        <v>0</v>
      </c>
      <c r="F107" s="68">
        <v>0</v>
      </c>
      <c r="G107" s="68">
        <v>0</v>
      </c>
      <c r="H107" s="68">
        <v>0</v>
      </c>
      <c r="I107" s="68">
        <v>-39.78</v>
      </c>
      <c r="J107" s="68">
        <v>0</v>
      </c>
      <c r="K107" s="68">
        <v>0</v>
      </c>
      <c r="L107" s="68">
        <v>0</v>
      </c>
      <c r="M107" s="68">
        <v>0</v>
      </c>
      <c r="N107" s="68">
        <v>0</v>
      </c>
      <c r="O107" s="68">
        <v>0</v>
      </c>
      <c r="P107" s="96">
        <v>0</v>
      </c>
      <c r="Q107" s="68">
        <v>0</v>
      </c>
      <c r="R107" s="68">
        <v>0</v>
      </c>
      <c r="S107" s="68">
        <v>-1335.02</v>
      </c>
      <c r="T107" s="68">
        <v>0</v>
      </c>
      <c r="U107" s="68">
        <v>0</v>
      </c>
      <c r="V107" s="68">
        <v>0</v>
      </c>
      <c r="W107" s="68">
        <v>-467.5</v>
      </c>
      <c r="X107" s="68">
        <v>0</v>
      </c>
      <c r="Y107" s="68">
        <v>-5.0599999999999996</v>
      </c>
      <c r="Z107" s="68">
        <v>0</v>
      </c>
      <c r="AA107" s="68">
        <v>0</v>
      </c>
      <c r="AB107" s="68">
        <v>0</v>
      </c>
      <c r="AC107" s="68">
        <v>0</v>
      </c>
    </row>
    <row r="108" spans="1:29" x14ac:dyDescent="0.55000000000000004">
      <c r="A108" s="49" t="s">
        <v>897</v>
      </c>
      <c r="B108" s="49" t="s">
        <v>898</v>
      </c>
      <c r="C108" s="49" t="s">
        <v>241</v>
      </c>
      <c r="D108" s="49" t="s">
        <v>257</v>
      </c>
      <c r="E108" s="68">
        <v>0</v>
      </c>
      <c r="F108" s="68">
        <v>0</v>
      </c>
      <c r="G108" s="68">
        <v>0</v>
      </c>
      <c r="H108" s="68">
        <v>0</v>
      </c>
      <c r="I108" s="68">
        <v>0</v>
      </c>
      <c r="J108" s="68">
        <v>0</v>
      </c>
      <c r="K108" s="68">
        <v>0</v>
      </c>
      <c r="L108" s="68">
        <v>0</v>
      </c>
      <c r="M108" s="68">
        <v>0</v>
      </c>
      <c r="N108" s="68">
        <v>0</v>
      </c>
      <c r="O108" s="68">
        <v>0</v>
      </c>
      <c r="P108" s="96">
        <v>0</v>
      </c>
      <c r="Q108" s="68">
        <v>0</v>
      </c>
      <c r="R108" s="68">
        <v>0</v>
      </c>
      <c r="S108" s="68">
        <v>0</v>
      </c>
      <c r="T108" s="68">
        <v>0</v>
      </c>
      <c r="U108" s="68">
        <v>0</v>
      </c>
      <c r="V108" s="68">
        <v>0</v>
      </c>
      <c r="W108" s="68">
        <v>0</v>
      </c>
      <c r="X108" s="68">
        <v>0</v>
      </c>
      <c r="Y108" s="68">
        <v>0</v>
      </c>
      <c r="Z108" s="68">
        <v>0</v>
      </c>
      <c r="AA108" s="68">
        <v>0</v>
      </c>
      <c r="AB108" s="68">
        <v>-324.94</v>
      </c>
      <c r="AC108" s="68">
        <v>0</v>
      </c>
    </row>
    <row r="109" spans="1:29" x14ac:dyDescent="0.55000000000000004">
      <c r="A109" s="49" t="s">
        <v>959</v>
      </c>
      <c r="B109" s="49" t="s">
        <v>960</v>
      </c>
      <c r="C109" s="49" t="s">
        <v>229</v>
      </c>
      <c r="D109" s="49" t="s">
        <v>257</v>
      </c>
      <c r="E109" s="68">
        <v>0</v>
      </c>
      <c r="F109" s="68">
        <v>0</v>
      </c>
      <c r="G109" s="68">
        <v>0</v>
      </c>
      <c r="H109" s="68">
        <v>0</v>
      </c>
      <c r="I109" s="68">
        <v>0</v>
      </c>
      <c r="J109" s="68">
        <v>0</v>
      </c>
      <c r="K109" s="68">
        <v>0</v>
      </c>
      <c r="L109" s="68">
        <v>0</v>
      </c>
      <c r="M109" s="68">
        <v>0</v>
      </c>
      <c r="N109" s="68">
        <v>0</v>
      </c>
      <c r="O109" s="68">
        <v>0</v>
      </c>
      <c r="P109" s="96">
        <v>0</v>
      </c>
      <c r="Q109" s="68">
        <v>0</v>
      </c>
      <c r="R109" s="68">
        <v>0</v>
      </c>
      <c r="S109" s="68">
        <v>0</v>
      </c>
      <c r="T109" s="68">
        <v>0</v>
      </c>
      <c r="U109" s="68">
        <v>0</v>
      </c>
      <c r="V109" s="68">
        <v>0</v>
      </c>
      <c r="W109" s="68">
        <v>948</v>
      </c>
      <c r="X109" s="68">
        <v>0</v>
      </c>
      <c r="Y109" s="68">
        <v>0</v>
      </c>
      <c r="Z109" s="68">
        <v>0</v>
      </c>
      <c r="AA109" s="68">
        <v>0</v>
      </c>
      <c r="AB109" s="68">
        <v>0</v>
      </c>
      <c r="AC109" s="68">
        <v>0</v>
      </c>
    </row>
    <row r="110" spans="1:29" x14ac:dyDescent="0.55000000000000004">
      <c r="A110" s="49" t="s">
        <v>347</v>
      </c>
      <c r="B110" s="49" t="s">
        <v>348</v>
      </c>
      <c r="C110" s="49" t="s">
        <v>232</v>
      </c>
      <c r="D110" s="49" t="s">
        <v>257</v>
      </c>
      <c r="E110" s="68">
        <v>-2180.08</v>
      </c>
      <c r="F110" s="68">
        <v>-12499.34</v>
      </c>
      <c r="G110" s="68">
        <v>-4644.9799999999996</v>
      </c>
      <c r="H110" s="68">
        <v>-259.16000000000003</v>
      </c>
      <c r="I110" s="68">
        <v>0</v>
      </c>
      <c r="J110" s="68">
        <v>205.82</v>
      </c>
      <c r="K110" s="68">
        <v>-180</v>
      </c>
      <c r="L110" s="68">
        <v>-3609.9</v>
      </c>
      <c r="M110" s="68">
        <v>-4458.1000000000004</v>
      </c>
      <c r="N110" s="68">
        <v>-21355.759999999998</v>
      </c>
      <c r="O110" s="68">
        <v>-8093.1</v>
      </c>
      <c r="P110" s="96">
        <v>-9141.2800000000007</v>
      </c>
      <c r="Q110" s="68">
        <v>-6778.64</v>
      </c>
      <c r="R110" s="68">
        <v>0</v>
      </c>
      <c r="S110" s="68">
        <v>0</v>
      </c>
      <c r="T110" s="68">
        <v>0</v>
      </c>
      <c r="U110" s="68">
        <v>-22325.200000000001</v>
      </c>
      <c r="V110" s="68">
        <v>0</v>
      </c>
      <c r="W110" s="68">
        <v>0</v>
      </c>
      <c r="X110" s="68">
        <v>-750.32</v>
      </c>
      <c r="Y110" s="68">
        <v>0</v>
      </c>
      <c r="Z110" s="68">
        <v>0</v>
      </c>
      <c r="AA110" s="68">
        <v>0</v>
      </c>
      <c r="AB110" s="68">
        <v>-12271.22</v>
      </c>
      <c r="AC110" s="68">
        <v>0</v>
      </c>
    </row>
    <row r="111" spans="1:29" x14ac:dyDescent="0.55000000000000004">
      <c r="A111" s="49" t="s">
        <v>961</v>
      </c>
      <c r="B111" s="49" t="s">
        <v>962</v>
      </c>
      <c r="C111" s="49" t="s">
        <v>235</v>
      </c>
      <c r="D111" s="49" t="s">
        <v>257</v>
      </c>
      <c r="E111" s="68">
        <v>0</v>
      </c>
      <c r="F111" s="68">
        <v>0</v>
      </c>
      <c r="G111" s="68">
        <v>0</v>
      </c>
      <c r="H111" s="68">
        <v>0</v>
      </c>
      <c r="I111" s="68">
        <v>0</v>
      </c>
      <c r="J111" s="68">
        <v>0</v>
      </c>
      <c r="K111" s="68">
        <v>0</v>
      </c>
      <c r="L111" s="68">
        <v>0</v>
      </c>
      <c r="M111" s="68">
        <v>0</v>
      </c>
      <c r="N111" s="68">
        <v>0</v>
      </c>
      <c r="O111" s="68">
        <v>0</v>
      </c>
      <c r="P111" s="96">
        <v>0</v>
      </c>
      <c r="Q111" s="68">
        <v>-3498.04</v>
      </c>
      <c r="R111" s="68">
        <v>0</v>
      </c>
      <c r="S111" s="68">
        <v>0</v>
      </c>
      <c r="T111" s="68">
        <v>0</v>
      </c>
      <c r="U111" s="68">
        <v>0</v>
      </c>
      <c r="V111" s="68">
        <v>0</v>
      </c>
      <c r="W111" s="68">
        <v>0</v>
      </c>
      <c r="X111" s="68">
        <v>0</v>
      </c>
      <c r="Y111" s="68">
        <v>0</v>
      </c>
      <c r="Z111" s="68">
        <v>0</v>
      </c>
      <c r="AA111" s="68">
        <v>0</v>
      </c>
      <c r="AB111" s="68">
        <v>0</v>
      </c>
      <c r="AC111" s="68">
        <v>0</v>
      </c>
    </row>
    <row r="112" spans="1:29" x14ac:dyDescent="0.55000000000000004">
      <c r="A112" s="49" t="s">
        <v>349</v>
      </c>
      <c r="B112" s="49" t="s">
        <v>350</v>
      </c>
      <c r="C112" s="49" t="s">
        <v>238</v>
      </c>
      <c r="D112" s="49" t="s">
        <v>257</v>
      </c>
      <c r="E112" s="68">
        <v>-2716.38</v>
      </c>
      <c r="F112" s="68">
        <v>-8770.4</v>
      </c>
      <c r="G112" s="68">
        <v>-22473.54</v>
      </c>
      <c r="H112" s="68">
        <v>-1007.96</v>
      </c>
      <c r="I112" s="68">
        <v>-5603.5</v>
      </c>
      <c r="J112" s="68">
        <v>-21326.84</v>
      </c>
      <c r="K112" s="68">
        <v>-3044.14</v>
      </c>
      <c r="L112" s="68">
        <v>-4149.4799999999996</v>
      </c>
      <c r="M112" s="68">
        <v>-8036.86</v>
      </c>
      <c r="N112" s="68">
        <v>-14291.78</v>
      </c>
      <c r="O112" s="68">
        <v>-1332.84</v>
      </c>
      <c r="P112" s="96">
        <v>-17218.419999999998</v>
      </c>
      <c r="Q112" s="68">
        <v>-5552.78</v>
      </c>
      <c r="R112" s="68">
        <v>-3686.92</v>
      </c>
      <c r="S112" s="68">
        <v>-9907.4599999999991</v>
      </c>
      <c r="T112" s="68">
        <v>-2798.96</v>
      </c>
      <c r="U112" s="68">
        <v>-19804.560000000001</v>
      </c>
      <c r="V112" s="68">
        <v>-9747.44</v>
      </c>
      <c r="W112" s="68">
        <v>-126.28</v>
      </c>
      <c r="X112" s="68">
        <v>-3492.52</v>
      </c>
      <c r="Y112" s="68">
        <v>-10552.16</v>
      </c>
      <c r="Z112" s="68">
        <v>-944</v>
      </c>
      <c r="AA112" s="68">
        <v>-4495.16</v>
      </c>
      <c r="AB112" s="68">
        <v>-6457.06</v>
      </c>
      <c r="AC112" s="68">
        <v>0</v>
      </c>
    </row>
    <row r="113" spans="1:29" x14ac:dyDescent="0.55000000000000004">
      <c r="A113" s="49" t="s">
        <v>899</v>
      </c>
      <c r="B113" s="49" t="s">
        <v>900</v>
      </c>
      <c r="C113" s="49" t="s">
        <v>241</v>
      </c>
      <c r="D113" s="49" t="s">
        <v>257</v>
      </c>
      <c r="E113" s="68">
        <v>0</v>
      </c>
      <c r="F113" s="68">
        <v>0</v>
      </c>
      <c r="G113" s="68">
        <v>0</v>
      </c>
      <c r="H113" s="68">
        <v>0</v>
      </c>
      <c r="I113" s="68">
        <v>0</v>
      </c>
      <c r="J113" s="68">
        <v>0</v>
      </c>
      <c r="K113" s="68">
        <v>0</v>
      </c>
      <c r="L113" s="68">
        <v>0</v>
      </c>
      <c r="M113" s="68">
        <v>0</v>
      </c>
      <c r="N113" s="68">
        <v>0</v>
      </c>
      <c r="O113" s="68">
        <v>-248</v>
      </c>
      <c r="P113" s="96">
        <v>0</v>
      </c>
      <c r="Q113" s="68">
        <v>0</v>
      </c>
      <c r="R113" s="68">
        <v>0</v>
      </c>
      <c r="S113" s="68">
        <v>0</v>
      </c>
      <c r="T113" s="68">
        <v>0</v>
      </c>
      <c r="U113" s="68">
        <v>0</v>
      </c>
      <c r="V113" s="68">
        <v>0</v>
      </c>
      <c r="W113" s="68">
        <v>-948</v>
      </c>
      <c r="X113" s="68">
        <v>0</v>
      </c>
      <c r="Y113" s="68">
        <v>-60</v>
      </c>
      <c r="Z113" s="68">
        <v>-550</v>
      </c>
      <c r="AA113" s="68">
        <v>0</v>
      </c>
      <c r="AB113" s="68">
        <v>-23.88</v>
      </c>
      <c r="AC113" s="68">
        <v>0</v>
      </c>
    </row>
    <row r="114" spans="1:29" x14ac:dyDescent="0.55000000000000004">
      <c r="A114" s="49" t="s">
        <v>351</v>
      </c>
      <c r="B114" s="49" t="s">
        <v>352</v>
      </c>
      <c r="C114" s="49" t="s">
        <v>232</v>
      </c>
      <c r="D114" s="49" t="s">
        <v>257</v>
      </c>
      <c r="E114" s="68">
        <v>0</v>
      </c>
      <c r="F114" s="68">
        <v>0</v>
      </c>
      <c r="G114" s="68">
        <v>0</v>
      </c>
      <c r="H114" s="68">
        <v>0</v>
      </c>
      <c r="I114" s="68">
        <v>0</v>
      </c>
      <c r="J114" s="68">
        <v>0</v>
      </c>
      <c r="K114" s="68">
        <v>0</v>
      </c>
      <c r="L114" s="68">
        <v>0</v>
      </c>
      <c r="M114" s="68">
        <v>0</v>
      </c>
      <c r="N114" s="68">
        <v>0</v>
      </c>
      <c r="O114" s="68">
        <v>-224</v>
      </c>
      <c r="P114" s="96">
        <v>0</v>
      </c>
      <c r="Q114" s="68">
        <v>0</v>
      </c>
      <c r="R114" s="68">
        <v>0</v>
      </c>
      <c r="S114" s="68">
        <v>0</v>
      </c>
      <c r="T114" s="68">
        <v>0</v>
      </c>
      <c r="U114" s="68">
        <v>0</v>
      </c>
      <c r="V114" s="68">
        <v>0</v>
      </c>
      <c r="W114" s="68">
        <v>0</v>
      </c>
      <c r="X114" s="68">
        <v>0</v>
      </c>
      <c r="Y114" s="68">
        <v>0</v>
      </c>
      <c r="Z114" s="68">
        <v>0</v>
      </c>
      <c r="AA114" s="68">
        <v>0</v>
      </c>
      <c r="AB114" s="68">
        <v>0</v>
      </c>
      <c r="AC114" s="68">
        <v>0</v>
      </c>
    </row>
    <row r="115" spans="1:29" x14ac:dyDescent="0.55000000000000004">
      <c r="A115" s="49" t="s">
        <v>353</v>
      </c>
      <c r="B115" s="49" t="s">
        <v>354</v>
      </c>
      <c r="C115" s="49" t="s">
        <v>229</v>
      </c>
      <c r="D115" s="49" t="s">
        <v>257</v>
      </c>
      <c r="E115" s="68">
        <v>0</v>
      </c>
      <c r="F115" s="68">
        <v>0</v>
      </c>
      <c r="G115" s="68">
        <v>0</v>
      </c>
      <c r="H115" s="68">
        <v>0</v>
      </c>
      <c r="I115" s="68">
        <v>0</v>
      </c>
      <c r="J115" s="68">
        <v>0</v>
      </c>
      <c r="K115" s="68">
        <v>0</v>
      </c>
      <c r="L115" s="68">
        <v>0</v>
      </c>
      <c r="M115" s="68">
        <v>0</v>
      </c>
      <c r="N115" s="68">
        <v>0</v>
      </c>
      <c r="O115" s="68">
        <v>0</v>
      </c>
      <c r="P115" s="96">
        <v>0</v>
      </c>
      <c r="Q115" s="68">
        <v>0</v>
      </c>
      <c r="R115" s="68">
        <v>-560</v>
      </c>
      <c r="S115" s="68">
        <v>0</v>
      </c>
      <c r="T115" s="68">
        <v>0</v>
      </c>
      <c r="U115" s="68">
        <v>0</v>
      </c>
      <c r="V115" s="68">
        <v>-714.32</v>
      </c>
      <c r="W115" s="68">
        <v>-6864</v>
      </c>
      <c r="X115" s="68">
        <v>0</v>
      </c>
      <c r="Y115" s="68">
        <v>0</v>
      </c>
      <c r="Z115" s="68">
        <v>0</v>
      </c>
      <c r="AA115" s="68">
        <v>0</v>
      </c>
      <c r="AB115" s="68">
        <v>0</v>
      </c>
      <c r="AC115" s="68">
        <v>0</v>
      </c>
    </row>
    <row r="116" spans="1:29" x14ac:dyDescent="0.55000000000000004">
      <c r="A116" s="49" t="s">
        <v>355</v>
      </c>
      <c r="B116" s="49" t="s">
        <v>356</v>
      </c>
      <c r="C116" s="49" t="s">
        <v>229</v>
      </c>
      <c r="D116" s="49" t="s">
        <v>257</v>
      </c>
      <c r="E116" s="68">
        <v>0</v>
      </c>
      <c r="F116" s="68">
        <v>0</v>
      </c>
      <c r="G116" s="68">
        <v>0</v>
      </c>
      <c r="H116" s="68">
        <v>0</v>
      </c>
      <c r="I116" s="68">
        <v>0</v>
      </c>
      <c r="J116" s="68">
        <v>-637.94000000000005</v>
      </c>
      <c r="K116" s="68">
        <v>0</v>
      </c>
      <c r="L116" s="68">
        <v>0</v>
      </c>
      <c r="M116" s="68">
        <v>0</v>
      </c>
      <c r="N116" s="68">
        <v>0</v>
      </c>
      <c r="O116" s="68">
        <v>0</v>
      </c>
      <c r="P116" s="96">
        <v>0</v>
      </c>
      <c r="Q116" s="68">
        <v>0</v>
      </c>
      <c r="R116" s="68">
        <v>0</v>
      </c>
      <c r="S116" s="68">
        <v>-525.55999999999995</v>
      </c>
      <c r="T116" s="68">
        <v>0</v>
      </c>
      <c r="U116" s="68">
        <v>607.38</v>
      </c>
      <c r="V116" s="68">
        <v>0</v>
      </c>
      <c r="W116" s="68">
        <v>0</v>
      </c>
      <c r="X116" s="68">
        <v>0</v>
      </c>
      <c r="Y116" s="68">
        <v>0</v>
      </c>
      <c r="Z116" s="68">
        <v>0</v>
      </c>
      <c r="AA116" s="68">
        <v>-320.22000000000003</v>
      </c>
      <c r="AB116" s="68">
        <v>-802</v>
      </c>
      <c r="AC116" s="68">
        <v>0</v>
      </c>
    </row>
    <row r="117" spans="1:29" x14ac:dyDescent="0.55000000000000004">
      <c r="A117" s="49" t="s">
        <v>357</v>
      </c>
      <c r="B117" s="49" t="s">
        <v>358</v>
      </c>
      <c r="C117" s="49" t="s">
        <v>232</v>
      </c>
      <c r="D117" s="49" t="s">
        <v>257</v>
      </c>
      <c r="E117" s="68">
        <v>-1422.44</v>
      </c>
      <c r="F117" s="68">
        <v>-39.840000000000003</v>
      </c>
      <c r="G117" s="68">
        <v>-2100</v>
      </c>
      <c r="H117" s="68">
        <v>-684.32</v>
      </c>
      <c r="I117" s="68">
        <v>0</v>
      </c>
      <c r="J117" s="68">
        <v>-540.86</v>
      </c>
      <c r="K117" s="68">
        <v>0</v>
      </c>
      <c r="L117" s="68">
        <v>-747.68</v>
      </c>
      <c r="M117" s="68">
        <v>-2688.34</v>
      </c>
      <c r="N117" s="68">
        <v>-5909.06</v>
      </c>
      <c r="O117" s="68">
        <v>-3653.1</v>
      </c>
      <c r="P117" s="96">
        <v>-5069.28</v>
      </c>
      <c r="Q117" s="68">
        <v>-2765.98</v>
      </c>
      <c r="R117" s="68">
        <v>-1171.9100000000001</v>
      </c>
      <c r="S117" s="68">
        <v>-1591.39</v>
      </c>
      <c r="T117" s="68">
        <v>-1445.56</v>
      </c>
      <c r="U117" s="68">
        <v>-13842.3</v>
      </c>
      <c r="V117" s="68">
        <v>-1618.78</v>
      </c>
      <c r="W117" s="68">
        <v>-492.36</v>
      </c>
      <c r="X117" s="68">
        <v>-637.70000000000005</v>
      </c>
      <c r="Y117" s="68">
        <v>-279.18</v>
      </c>
      <c r="Z117" s="68">
        <v>-550</v>
      </c>
      <c r="AA117" s="68">
        <v>-1151.6400000000001</v>
      </c>
      <c r="AB117" s="68">
        <v>-9328</v>
      </c>
      <c r="AC117" s="68">
        <v>0</v>
      </c>
    </row>
    <row r="118" spans="1:29" x14ac:dyDescent="0.55000000000000004">
      <c r="A118" s="49" t="s">
        <v>923</v>
      </c>
      <c r="B118" s="49" t="s">
        <v>924</v>
      </c>
      <c r="C118" s="49" t="s">
        <v>232</v>
      </c>
      <c r="D118" s="49" t="s">
        <v>257</v>
      </c>
      <c r="E118" s="68">
        <v>0</v>
      </c>
      <c r="F118" s="68">
        <v>0</v>
      </c>
      <c r="G118" s="68">
        <v>0</v>
      </c>
      <c r="H118" s="68">
        <v>0</v>
      </c>
      <c r="I118" s="68">
        <v>0</v>
      </c>
      <c r="J118" s="68">
        <v>0</v>
      </c>
      <c r="K118" s="68">
        <v>0</v>
      </c>
      <c r="L118" s="68">
        <v>0</v>
      </c>
      <c r="M118" s="68">
        <v>0</v>
      </c>
      <c r="N118" s="68">
        <v>0</v>
      </c>
      <c r="O118" s="68">
        <v>0</v>
      </c>
      <c r="P118" s="96">
        <v>0</v>
      </c>
      <c r="Q118" s="68">
        <v>0</v>
      </c>
      <c r="R118" s="68">
        <v>131.07</v>
      </c>
      <c r="S118" s="68">
        <v>0</v>
      </c>
      <c r="T118" s="68">
        <v>0</v>
      </c>
      <c r="U118" s="68">
        <v>0</v>
      </c>
      <c r="V118" s="68">
        <v>0</v>
      </c>
      <c r="W118" s="68">
        <v>0</v>
      </c>
      <c r="X118" s="68">
        <v>0</v>
      </c>
      <c r="Y118" s="68">
        <v>0</v>
      </c>
      <c r="Z118" s="68">
        <v>0</v>
      </c>
      <c r="AA118" s="68">
        <v>0</v>
      </c>
      <c r="AB118" s="68">
        <v>0</v>
      </c>
      <c r="AC118" s="68">
        <v>0</v>
      </c>
    </row>
    <row r="119" spans="1:29" x14ac:dyDescent="0.55000000000000004">
      <c r="A119" s="49" t="s">
        <v>359</v>
      </c>
      <c r="B119" s="49" t="s">
        <v>360</v>
      </c>
      <c r="C119" s="49" t="s">
        <v>235</v>
      </c>
      <c r="D119" s="49" t="s">
        <v>257</v>
      </c>
      <c r="E119" s="68">
        <v>0</v>
      </c>
      <c r="F119" s="68">
        <v>0</v>
      </c>
      <c r="G119" s="68">
        <v>0</v>
      </c>
      <c r="H119" s="68">
        <v>0</v>
      </c>
      <c r="I119" s="68">
        <v>0</v>
      </c>
      <c r="J119" s="68">
        <v>0</v>
      </c>
      <c r="K119" s="68">
        <v>0</v>
      </c>
      <c r="L119" s="68">
        <v>0</v>
      </c>
      <c r="M119" s="68">
        <v>0</v>
      </c>
      <c r="N119" s="68">
        <v>0</v>
      </c>
      <c r="O119" s="68">
        <v>0</v>
      </c>
      <c r="P119" s="96">
        <v>0</v>
      </c>
      <c r="Q119" s="68">
        <v>419.98</v>
      </c>
      <c r="R119" s="68">
        <v>0</v>
      </c>
      <c r="S119" s="68">
        <v>0</v>
      </c>
      <c r="T119" s="68">
        <v>0</v>
      </c>
      <c r="U119" s="68">
        <v>0</v>
      </c>
      <c r="V119" s="68">
        <v>0</v>
      </c>
      <c r="W119" s="68">
        <v>0</v>
      </c>
      <c r="X119" s="68">
        <v>0</v>
      </c>
      <c r="Y119" s="68">
        <v>0</v>
      </c>
      <c r="Z119" s="68">
        <v>0</v>
      </c>
      <c r="AA119" s="68">
        <v>-512.36</v>
      </c>
      <c r="AB119" s="68">
        <v>0</v>
      </c>
      <c r="AC119" s="68">
        <v>0</v>
      </c>
    </row>
    <row r="120" spans="1:29" x14ac:dyDescent="0.55000000000000004">
      <c r="A120" s="49" t="s">
        <v>361</v>
      </c>
      <c r="B120" s="49" t="s">
        <v>362</v>
      </c>
      <c r="C120" s="49" t="s">
        <v>238</v>
      </c>
      <c r="D120" s="49" t="s">
        <v>257</v>
      </c>
      <c r="E120" s="68">
        <v>-7807.6</v>
      </c>
      <c r="F120" s="68">
        <v>-3140.16</v>
      </c>
      <c r="G120" s="68">
        <v>-7500</v>
      </c>
      <c r="H120" s="68">
        <v>-3271.4</v>
      </c>
      <c r="I120" s="68">
        <v>-6000</v>
      </c>
      <c r="J120" s="68">
        <v>-12641.46</v>
      </c>
      <c r="K120" s="68">
        <v>-11400</v>
      </c>
      <c r="L120" s="68">
        <v>-6844</v>
      </c>
      <c r="M120" s="68">
        <v>-2871.66</v>
      </c>
      <c r="N120" s="68">
        <v>-10501.82</v>
      </c>
      <c r="O120" s="68">
        <v>-3426.9</v>
      </c>
      <c r="P120" s="96">
        <v>-6790.72</v>
      </c>
      <c r="Q120" s="68">
        <v>-745.66</v>
      </c>
      <c r="R120" s="68">
        <v>-3247.36</v>
      </c>
      <c r="S120" s="68">
        <v>-2744.43</v>
      </c>
      <c r="T120" s="68">
        <v>-3140.2</v>
      </c>
      <c r="U120" s="68">
        <v>-5132.24</v>
      </c>
      <c r="V120" s="68">
        <v>-2673.18</v>
      </c>
      <c r="W120" s="68">
        <v>-609.94000000000005</v>
      </c>
      <c r="X120" s="68">
        <v>-3500.9</v>
      </c>
      <c r="Y120" s="68">
        <v>-4038.4</v>
      </c>
      <c r="Z120" s="68">
        <v>-2103.62</v>
      </c>
      <c r="AA120" s="68">
        <v>-1767.54</v>
      </c>
      <c r="AB120" s="68">
        <v>-2734</v>
      </c>
      <c r="AC120" s="68">
        <v>0</v>
      </c>
    </row>
    <row r="121" spans="1:29" x14ac:dyDescent="0.55000000000000004">
      <c r="A121" s="49" t="s">
        <v>363</v>
      </c>
      <c r="B121" s="49" t="s">
        <v>364</v>
      </c>
      <c r="C121" s="49" t="s">
        <v>241</v>
      </c>
      <c r="D121" s="49" t="s">
        <v>257</v>
      </c>
      <c r="E121" s="68">
        <v>0</v>
      </c>
      <c r="F121" s="68">
        <v>0</v>
      </c>
      <c r="G121" s="68">
        <v>0</v>
      </c>
      <c r="H121" s="68">
        <v>0</v>
      </c>
      <c r="I121" s="68">
        <v>0</v>
      </c>
      <c r="J121" s="68">
        <v>0</v>
      </c>
      <c r="K121" s="68">
        <v>0</v>
      </c>
      <c r="L121" s="68">
        <v>0</v>
      </c>
      <c r="M121" s="68">
        <v>0</v>
      </c>
      <c r="N121" s="68">
        <v>0</v>
      </c>
      <c r="O121" s="68">
        <v>0</v>
      </c>
      <c r="P121" s="96">
        <v>0</v>
      </c>
      <c r="Q121" s="68">
        <v>-954.64</v>
      </c>
      <c r="R121" s="68">
        <v>0</v>
      </c>
      <c r="S121" s="68">
        <v>0</v>
      </c>
      <c r="T121" s="68">
        <v>-100</v>
      </c>
      <c r="U121" s="68">
        <v>-787.38</v>
      </c>
      <c r="V121" s="68">
        <v>-100</v>
      </c>
      <c r="W121" s="68">
        <v>0</v>
      </c>
      <c r="X121" s="68">
        <v>0</v>
      </c>
      <c r="Y121" s="68">
        <v>0</v>
      </c>
      <c r="Z121" s="68">
        <v>0</v>
      </c>
      <c r="AA121" s="68">
        <v>-550</v>
      </c>
      <c r="AB121" s="68">
        <v>-700</v>
      </c>
      <c r="AC121" s="68">
        <v>0</v>
      </c>
    </row>
    <row r="122" spans="1:29" x14ac:dyDescent="0.55000000000000004">
      <c r="A122" s="49" t="s">
        <v>365</v>
      </c>
      <c r="B122" s="49" t="s">
        <v>366</v>
      </c>
      <c r="C122" s="49" t="s">
        <v>232</v>
      </c>
      <c r="D122" s="49" t="s">
        <v>257</v>
      </c>
      <c r="E122" s="68">
        <v>0</v>
      </c>
      <c r="F122" s="68">
        <v>0</v>
      </c>
      <c r="G122" s="68">
        <v>0</v>
      </c>
      <c r="H122" s="68">
        <v>-684.28</v>
      </c>
      <c r="I122" s="68">
        <v>0</v>
      </c>
      <c r="J122" s="68">
        <v>0</v>
      </c>
      <c r="K122" s="68">
        <v>0</v>
      </c>
      <c r="L122" s="68">
        <v>0</v>
      </c>
      <c r="M122" s="68">
        <v>0</v>
      </c>
      <c r="N122" s="68">
        <v>0</v>
      </c>
      <c r="O122" s="68">
        <v>0</v>
      </c>
      <c r="P122" s="96">
        <v>0</v>
      </c>
      <c r="Q122" s="68">
        <v>0</v>
      </c>
      <c r="R122" s="68">
        <v>0</v>
      </c>
      <c r="S122" s="68">
        <v>0</v>
      </c>
      <c r="T122" s="68">
        <v>0</v>
      </c>
      <c r="U122" s="68">
        <v>0</v>
      </c>
      <c r="V122" s="68">
        <v>0</v>
      </c>
      <c r="W122" s="68">
        <v>-100</v>
      </c>
      <c r="X122" s="68">
        <v>0</v>
      </c>
      <c r="Y122" s="68">
        <v>0</v>
      </c>
      <c r="Z122" s="68">
        <v>0</v>
      </c>
      <c r="AA122" s="68">
        <v>0</v>
      </c>
      <c r="AB122" s="68">
        <v>0</v>
      </c>
      <c r="AC122" s="68">
        <v>0</v>
      </c>
    </row>
    <row r="123" spans="1:29" x14ac:dyDescent="0.55000000000000004">
      <c r="A123" s="49" t="s">
        <v>938</v>
      </c>
      <c r="B123" s="49" t="s">
        <v>939</v>
      </c>
      <c r="C123" s="49" t="s">
        <v>241</v>
      </c>
      <c r="D123" s="49" t="s">
        <v>257</v>
      </c>
      <c r="E123" s="68">
        <v>0</v>
      </c>
      <c r="F123" s="68">
        <v>0</v>
      </c>
      <c r="G123" s="68">
        <v>0</v>
      </c>
      <c r="H123" s="68">
        <v>0</v>
      </c>
      <c r="I123" s="68">
        <v>0</v>
      </c>
      <c r="J123" s="68">
        <v>0</v>
      </c>
      <c r="K123" s="68">
        <v>0</v>
      </c>
      <c r="L123" s="68">
        <v>0</v>
      </c>
      <c r="M123" s="68">
        <v>0</v>
      </c>
      <c r="N123" s="68">
        <v>0</v>
      </c>
      <c r="O123" s="68">
        <v>0</v>
      </c>
      <c r="P123" s="96">
        <v>0</v>
      </c>
      <c r="Q123" s="68">
        <v>0</v>
      </c>
      <c r="R123" s="68">
        <v>0</v>
      </c>
      <c r="S123" s="68">
        <v>0</v>
      </c>
      <c r="T123" s="68">
        <v>0</v>
      </c>
      <c r="U123" s="68">
        <v>0</v>
      </c>
      <c r="V123" s="68">
        <v>0</v>
      </c>
      <c r="W123" s="68">
        <v>0</v>
      </c>
      <c r="X123" s="68">
        <v>0</v>
      </c>
      <c r="Y123" s="68">
        <v>0</v>
      </c>
      <c r="Z123" s="68">
        <v>0</v>
      </c>
      <c r="AA123" s="68">
        <v>0</v>
      </c>
      <c r="AB123" s="68">
        <v>-1500</v>
      </c>
      <c r="AC123" s="68">
        <v>0</v>
      </c>
    </row>
    <row r="124" spans="1:29" x14ac:dyDescent="0.55000000000000004">
      <c r="A124" s="49" t="s">
        <v>367</v>
      </c>
      <c r="B124" s="49" t="s">
        <v>368</v>
      </c>
      <c r="C124" s="49" t="s">
        <v>229</v>
      </c>
      <c r="D124" s="49" t="s">
        <v>257</v>
      </c>
      <c r="E124" s="68">
        <v>-1533.4</v>
      </c>
      <c r="F124" s="68">
        <v>0</v>
      </c>
      <c r="G124" s="68">
        <v>0</v>
      </c>
      <c r="H124" s="68">
        <v>-80</v>
      </c>
      <c r="I124" s="68">
        <v>-3200</v>
      </c>
      <c r="J124" s="68">
        <v>-2640</v>
      </c>
      <c r="K124" s="68">
        <v>0</v>
      </c>
      <c r="L124" s="68">
        <v>320</v>
      </c>
      <c r="M124" s="68">
        <v>-440</v>
      </c>
      <c r="N124" s="68">
        <v>0</v>
      </c>
      <c r="O124" s="68">
        <v>0</v>
      </c>
      <c r="P124" s="96">
        <v>0</v>
      </c>
      <c r="Q124" s="68">
        <v>0</v>
      </c>
      <c r="R124" s="68">
        <v>0</v>
      </c>
      <c r="S124" s="68">
        <v>0</v>
      </c>
      <c r="T124" s="68">
        <v>-120</v>
      </c>
      <c r="U124" s="68">
        <v>-520</v>
      </c>
      <c r="V124" s="68">
        <v>0</v>
      </c>
      <c r="W124" s="68">
        <v>0</v>
      </c>
      <c r="X124" s="68">
        <v>-360</v>
      </c>
      <c r="Y124" s="68">
        <v>-1221.69</v>
      </c>
      <c r="Z124" s="68">
        <v>0</v>
      </c>
      <c r="AA124" s="68">
        <v>0</v>
      </c>
      <c r="AB124" s="68">
        <v>-2595.94</v>
      </c>
      <c r="AC124" s="68">
        <v>0</v>
      </c>
    </row>
    <row r="125" spans="1:29" x14ac:dyDescent="0.55000000000000004">
      <c r="A125" s="49" t="s">
        <v>369</v>
      </c>
      <c r="B125" s="49" t="s">
        <v>370</v>
      </c>
      <c r="C125" s="49" t="s">
        <v>232</v>
      </c>
      <c r="D125" s="49" t="s">
        <v>257</v>
      </c>
      <c r="E125" s="68">
        <v>-15804.9</v>
      </c>
      <c r="F125" s="68">
        <v>-21467.82</v>
      </c>
      <c r="G125" s="68">
        <v>-29480</v>
      </c>
      <c r="H125" s="68">
        <v>-8680</v>
      </c>
      <c r="I125" s="68">
        <v>-240</v>
      </c>
      <c r="J125" s="68">
        <v>-16120</v>
      </c>
      <c r="K125" s="68">
        <v>-2720</v>
      </c>
      <c r="L125" s="68">
        <v>-22789.68</v>
      </c>
      <c r="M125" s="68">
        <v>-39591.96</v>
      </c>
      <c r="N125" s="68">
        <v>-23381.759999999998</v>
      </c>
      <c r="O125" s="68">
        <v>-35520</v>
      </c>
      <c r="P125" s="96">
        <v>-61592.52</v>
      </c>
      <c r="Q125" s="68">
        <v>-15077.35</v>
      </c>
      <c r="R125" s="68">
        <v>-19240</v>
      </c>
      <c r="S125" s="68">
        <v>-19112.419999999998</v>
      </c>
      <c r="T125" s="68">
        <v>-12851.52</v>
      </c>
      <c r="U125" s="68">
        <v>-75320</v>
      </c>
      <c r="V125" s="68">
        <v>-27994.69</v>
      </c>
      <c r="W125" s="68">
        <v>-15520</v>
      </c>
      <c r="X125" s="68">
        <v>-17960</v>
      </c>
      <c r="Y125" s="68">
        <v>-12855.82</v>
      </c>
      <c r="Z125" s="68">
        <v>-7640</v>
      </c>
      <c r="AA125" s="68">
        <v>-8440</v>
      </c>
      <c r="AB125" s="68">
        <v>-91914.880000000005</v>
      </c>
      <c r="AC125" s="68">
        <v>0</v>
      </c>
    </row>
    <row r="126" spans="1:29" x14ac:dyDescent="0.55000000000000004">
      <c r="A126" s="49" t="s">
        <v>901</v>
      </c>
      <c r="B126" s="49" t="s">
        <v>902</v>
      </c>
      <c r="C126" s="49" t="s">
        <v>232</v>
      </c>
      <c r="D126" s="49" t="s">
        <v>257</v>
      </c>
      <c r="E126" s="68">
        <v>0</v>
      </c>
      <c r="F126" s="68">
        <v>0</v>
      </c>
      <c r="G126" s="68">
        <v>0</v>
      </c>
      <c r="H126" s="68">
        <v>0</v>
      </c>
      <c r="I126" s="68">
        <v>0</v>
      </c>
      <c r="J126" s="68">
        <v>0</v>
      </c>
      <c r="K126" s="68">
        <v>0</v>
      </c>
      <c r="L126" s="68">
        <v>0</v>
      </c>
      <c r="M126" s="68">
        <v>0</v>
      </c>
      <c r="N126" s="68">
        <v>0</v>
      </c>
      <c r="O126" s="68">
        <v>0</v>
      </c>
      <c r="P126" s="96">
        <v>0</v>
      </c>
      <c r="Q126" s="68">
        <v>0</v>
      </c>
      <c r="R126" s="68">
        <v>3680</v>
      </c>
      <c r="S126" s="68">
        <v>0</v>
      </c>
      <c r="T126" s="68">
        <v>0</v>
      </c>
      <c r="U126" s="68">
        <v>0</v>
      </c>
      <c r="V126" s="68">
        <v>0</v>
      </c>
      <c r="W126" s="68">
        <v>0</v>
      </c>
      <c r="X126" s="68">
        <v>0</v>
      </c>
      <c r="Y126" s="68">
        <v>0</v>
      </c>
      <c r="Z126" s="68">
        <v>0</v>
      </c>
      <c r="AA126" s="68">
        <v>0</v>
      </c>
      <c r="AB126" s="68">
        <v>0</v>
      </c>
      <c r="AC126" s="68">
        <v>0</v>
      </c>
    </row>
    <row r="127" spans="1:29" x14ac:dyDescent="0.55000000000000004">
      <c r="A127" s="49" t="s">
        <v>371</v>
      </c>
      <c r="B127" s="49" t="s">
        <v>372</v>
      </c>
      <c r="C127" s="49" t="s">
        <v>235</v>
      </c>
      <c r="D127" s="49" t="s">
        <v>257</v>
      </c>
      <c r="E127" s="68">
        <v>0</v>
      </c>
      <c r="F127" s="68">
        <v>0</v>
      </c>
      <c r="G127" s="68">
        <v>0</v>
      </c>
      <c r="H127" s="68">
        <v>0</v>
      </c>
      <c r="I127" s="68">
        <v>0</v>
      </c>
      <c r="J127" s="68">
        <v>0</v>
      </c>
      <c r="K127" s="68">
        <v>0</v>
      </c>
      <c r="L127" s="68">
        <v>0</v>
      </c>
      <c r="M127" s="68">
        <v>0</v>
      </c>
      <c r="N127" s="68">
        <v>0</v>
      </c>
      <c r="O127" s="68">
        <v>0</v>
      </c>
      <c r="P127" s="96">
        <v>0</v>
      </c>
      <c r="Q127" s="68">
        <v>-4041.96</v>
      </c>
      <c r="R127" s="68">
        <v>0</v>
      </c>
      <c r="S127" s="68">
        <v>0</v>
      </c>
      <c r="T127" s="68">
        <v>0</v>
      </c>
      <c r="U127" s="68">
        <v>0</v>
      </c>
      <c r="V127" s="68">
        <v>0</v>
      </c>
      <c r="W127" s="68">
        <v>0</v>
      </c>
      <c r="X127" s="68">
        <v>-3600</v>
      </c>
      <c r="Y127" s="68">
        <v>0</v>
      </c>
      <c r="Z127" s="68">
        <v>0</v>
      </c>
      <c r="AA127" s="68">
        <v>-3280</v>
      </c>
      <c r="AB127" s="68">
        <v>0</v>
      </c>
      <c r="AC127" s="68">
        <v>0</v>
      </c>
    </row>
    <row r="128" spans="1:29" x14ac:dyDescent="0.55000000000000004">
      <c r="A128" s="49" t="s">
        <v>373</v>
      </c>
      <c r="B128" s="49" t="s">
        <v>374</v>
      </c>
      <c r="C128" s="49" t="s">
        <v>238</v>
      </c>
      <c r="D128" s="49" t="s">
        <v>257</v>
      </c>
      <c r="E128" s="68">
        <v>-133332.54</v>
      </c>
      <c r="F128" s="68">
        <v>-75520</v>
      </c>
      <c r="G128" s="68">
        <v>-84920</v>
      </c>
      <c r="H128" s="68">
        <v>-76840</v>
      </c>
      <c r="I128" s="68">
        <v>-104080</v>
      </c>
      <c r="J128" s="68">
        <v>-145240</v>
      </c>
      <c r="K128" s="68">
        <v>-122360</v>
      </c>
      <c r="L128" s="68">
        <v>-88880</v>
      </c>
      <c r="M128" s="68">
        <v>-82680</v>
      </c>
      <c r="N128" s="68">
        <v>-95200</v>
      </c>
      <c r="O128" s="68">
        <v>-52880</v>
      </c>
      <c r="P128" s="96">
        <v>-132080</v>
      </c>
      <c r="Q128" s="68">
        <v>-20080</v>
      </c>
      <c r="R128" s="68">
        <v>-40160</v>
      </c>
      <c r="S128" s="68">
        <v>-56320</v>
      </c>
      <c r="T128" s="68">
        <v>-65880</v>
      </c>
      <c r="U128" s="68">
        <v>-62360</v>
      </c>
      <c r="V128" s="68">
        <v>-64800</v>
      </c>
      <c r="W128" s="68">
        <v>-57040</v>
      </c>
      <c r="X128" s="68">
        <v>-75040</v>
      </c>
      <c r="Y128" s="68">
        <v>-86720</v>
      </c>
      <c r="Z128" s="68">
        <v>-97200</v>
      </c>
      <c r="AA128" s="68">
        <v>-56640</v>
      </c>
      <c r="AB128" s="68">
        <v>-23480</v>
      </c>
      <c r="AC128" s="68">
        <v>0</v>
      </c>
    </row>
    <row r="129" spans="1:29" x14ac:dyDescent="0.55000000000000004">
      <c r="A129" s="49" t="s">
        <v>375</v>
      </c>
      <c r="B129" s="49" t="s">
        <v>376</v>
      </c>
      <c r="C129" s="49" t="s">
        <v>241</v>
      </c>
      <c r="D129" s="49" t="s">
        <v>257</v>
      </c>
      <c r="E129" s="68">
        <v>0</v>
      </c>
      <c r="F129" s="68">
        <v>0</v>
      </c>
      <c r="G129" s="68">
        <v>-920</v>
      </c>
      <c r="H129" s="68">
        <v>-228.37</v>
      </c>
      <c r="I129" s="68">
        <v>0</v>
      </c>
      <c r="J129" s="68">
        <v>0</v>
      </c>
      <c r="K129" s="68">
        <v>0</v>
      </c>
      <c r="L129" s="68">
        <v>-4337</v>
      </c>
      <c r="M129" s="68">
        <v>0</v>
      </c>
      <c r="N129" s="68">
        <v>0</v>
      </c>
      <c r="O129" s="68">
        <v>-1760</v>
      </c>
      <c r="P129" s="96">
        <v>0</v>
      </c>
      <c r="Q129" s="68">
        <v>0</v>
      </c>
      <c r="R129" s="68">
        <v>0</v>
      </c>
      <c r="S129" s="68">
        <v>0</v>
      </c>
      <c r="T129" s="68">
        <v>0</v>
      </c>
      <c r="U129" s="68">
        <v>0</v>
      </c>
      <c r="V129" s="68">
        <v>0</v>
      </c>
      <c r="W129" s="68">
        <v>0</v>
      </c>
      <c r="X129" s="68">
        <v>-2091.33</v>
      </c>
      <c r="Y129" s="68">
        <v>0</v>
      </c>
      <c r="Z129" s="68">
        <v>0</v>
      </c>
      <c r="AA129" s="68">
        <v>-1440</v>
      </c>
      <c r="AB129" s="68">
        <v>0</v>
      </c>
      <c r="AC129" s="68">
        <v>0</v>
      </c>
    </row>
    <row r="130" spans="1:29" x14ac:dyDescent="0.55000000000000004">
      <c r="A130" s="49" t="s">
        <v>377</v>
      </c>
      <c r="B130" s="49" t="s">
        <v>378</v>
      </c>
      <c r="C130" s="49" t="s">
        <v>232</v>
      </c>
      <c r="D130" s="49" t="s">
        <v>257</v>
      </c>
      <c r="E130" s="68">
        <v>0</v>
      </c>
      <c r="F130" s="68">
        <v>-2365.6999999999998</v>
      </c>
      <c r="G130" s="68">
        <v>0</v>
      </c>
      <c r="H130" s="68">
        <v>-55.44</v>
      </c>
      <c r="I130" s="68">
        <v>-73.86</v>
      </c>
      <c r="J130" s="68">
        <v>0</v>
      </c>
      <c r="K130" s="68">
        <v>0</v>
      </c>
      <c r="L130" s="68">
        <v>-7077.26</v>
      </c>
      <c r="M130" s="68">
        <v>0</v>
      </c>
      <c r="N130" s="68">
        <v>0</v>
      </c>
      <c r="O130" s="68">
        <v>2867.1</v>
      </c>
      <c r="P130" s="96">
        <v>0</v>
      </c>
      <c r="Q130" s="68">
        <v>0</v>
      </c>
      <c r="R130" s="68">
        <v>0</v>
      </c>
      <c r="S130" s="68">
        <v>0</v>
      </c>
      <c r="T130" s="68">
        <v>0</v>
      </c>
      <c r="U130" s="68">
        <v>0</v>
      </c>
      <c r="V130" s="68">
        <v>0</v>
      </c>
      <c r="W130" s="68">
        <v>0</v>
      </c>
      <c r="X130" s="68">
        <v>0</v>
      </c>
      <c r="Y130" s="68">
        <v>0</v>
      </c>
      <c r="Z130" s="68">
        <v>0</v>
      </c>
      <c r="AA130" s="68">
        <v>0</v>
      </c>
      <c r="AB130" s="68">
        <v>0</v>
      </c>
      <c r="AC130" s="68">
        <v>0</v>
      </c>
    </row>
    <row r="131" spans="1:29" x14ac:dyDescent="0.55000000000000004">
      <c r="A131" s="49" t="s">
        <v>379</v>
      </c>
      <c r="B131" s="49" t="s">
        <v>380</v>
      </c>
      <c r="C131" s="49" t="s">
        <v>274</v>
      </c>
      <c r="D131" s="49" t="s">
        <v>257</v>
      </c>
      <c r="E131" s="68">
        <v>-1875.68</v>
      </c>
      <c r="F131" s="68">
        <v>0</v>
      </c>
      <c r="G131" s="68">
        <v>0</v>
      </c>
      <c r="H131" s="68">
        <v>0</v>
      </c>
      <c r="I131" s="68">
        <v>0</v>
      </c>
      <c r="J131" s="68">
        <v>0</v>
      </c>
      <c r="K131" s="68">
        <v>0</v>
      </c>
      <c r="L131" s="68">
        <v>0</v>
      </c>
      <c r="M131" s="68">
        <v>5351.96</v>
      </c>
      <c r="N131" s="68">
        <v>0</v>
      </c>
      <c r="O131" s="68">
        <v>0</v>
      </c>
      <c r="P131" s="96">
        <v>0</v>
      </c>
      <c r="Q131" s="68">
        <v>0</v>
      </c>
      <c r="R131" s="68">
        <v>0</v>
      </c>
      <c r="S131" s="68">
        <v>0</v>
      </c>
      <c r="T131" s="68">
        <v>0</v>
      </c>
      <c r="U131" s="68">
        <v>0</v>
      </c>
      <c r="V131" s="68">
        <v>0</v>
      </c>
      <c r="W131" s="68">
        <v>0</v>
      </c>
      <c r="X131" s="68">
        <v>-2131.6999999999998</v>
      </c>
      <c r="Y131" s="68">
        <v>0</v>
      </c>
      <c r="Z131" s="68">
        <v>0</v>
      </c>
      <c r="AA131" s="68">
        <v>-7326.05</v>
      </c>
      <c r="AB131" s="68">
        <v>0</v>
      </c>
      <c r="AC131" s="68">
        <v>0</v>
      </c>
    </row>
    <row r="132" spans="1:29" x14ac:dyDescent="0.55000000000000004">
      <c r="A132" s="49" t="s">
        <v>381</v>
      </c>
      <c r="B132" s="49" t="s">
        <v>382</v>
      </c>
      <c r="C132" s="49" t="s">
        <v>274</v>
      </c>
      <c r="D132" s="49" t="s">
        <v>257</v>
      </c>
      <c r="E132" s="68">
        <v>-15199.28</v>
      </c>
      <c r="F132" s="68">
        <v>-50732.480000000003</v>
      </c>
      <c r="G132" s="68">
        <v>-41058.94</v>
      </c>
      <c r="H132" s="68">
        <v>-12496.13</v>
      </c>
      <c r="I132" s="68">
        <v>-7340</v>
      </c>
      <c r="J132" s="68">
        <v>-4175.3999999999996</v>
      </c>
      <c r="K132" s="68">
        <v>-12497.54</v>
      </c>
      <c r="L132" s="68">
        <v>-12947.73</v>
      </c>
      <c r="M132" s="68">
        <v>-4235.0600000000004</v>
      </c>
      <c r="N132" s="68">
        <v>-29865.39</v>
      </c>
      <c r="O132" s="68">
        <v>-6674.58</v>
      </c>
      <c r="P132" s="96">
        <v>0</v>
      </c>
      <c r="Q132" s="68">
        <v>-32018.02</v>
      </c>
      <c r="R132" s="68">
        <v>-2400</v>
      </c>
      <c r="S132" s="68">
        <v>-6632</v>
      </c>
      <c r="T132" s="68">
        <v>-3173.44</v>
      </c>
      <c r="U132" s="68">
        <v>-5393.12</v>
      </c>
      <c r="V132" s="68">
        <v>-1899.18</v>
      </c>
      <c r="W132" s="68">
        <v>-4045.38</v>
      </c>
      <c r="X132" s="68">
        <v>-10767.13</v>
      </c>
      <c r="Y132" s="68">
        <v>-8620.5300000000007</v>
      </c>
      <c r="Z132" s="68">
        <v>-18868.650000000001</v>
      </c>
      <c r="AA132" s="68">
        <v>-14252.28</v>
      </c>
      <c r="AB132" s="68">
        <v>0</v>
      </c>
      <c r="AC132" s="68">
        <v>0</v>
      </c>
    </row>
    <row r="133" spans="1:29" x14ac:dyDescent="0.55000000000000004">
      <c r="A133" s="49" t="s">
        <v>383</v>
      </c>
      <c r="B133" s="49" t="s">
        <v>384</v>
      </c>
      <c r="C133" s="49" t="s">
        <v>229</v>
      </c>
      <c r="D133" s="49" t="s">
        <v>257</v>
      </c>
      <c r="E133" s="68">
        <v>0</v>
      </c>
      <c r="F133" s="68">
        <v>-602.98</v>
      </c>
      <c r="G133" s="68">
        <v>0</v>
      </c>
      <c r="H133" s="68">
        <v>0</v>
      </c>
      <c r="I133" s="68">
        <v>0</v>
      </c>
      <c r="J133" s="68">
        <v>0</v>
      </c>
      <c r="K133" s="68">
        <v>0</v>
      </c>
      <c r="L133" s="68">
        <v>0</v>
      </c>
      <c r="M133" s="68">
        <v>0</v>
      </c>
      <c r="N133" s="68">
        <v>0</v>
      </c>
      <c r="O133" s="68">
        <v>0</v>
      </c>
      <c r="P133" s="96">
        <v>-81.59</v>
      </c>
      <c r="Q133" s="68">
        <v>0</v>
      </c>
      <c r="R133" s="68">
        <v>0</v>
      </c>
      <c r="S133" s="68">
        <v>0</v>
      </c>
      <c r="T133" s="68">
        <v>0</v>
      </c>
      <c r="U133" s="68">
        <v>0</v>
      </c>
      <c r="V133" s="68">
        <v>0</v>
      </c>
      <c r="W133" s="68">
        <v>0</v>
      </c>
      <c r="X133" s="68">
        <v>0</v>
      </c>
      <c r="Y133" s="68">
        <v>0</v>
      </c>
      <c r="Z133" s="68">
        <v>0</v>
      </c>
      <c r="AA133" s="68">
        <v>0</v>
      </c>
      <c r="AB133" s="68">
        <v>0</v>
      </c>
      <c r="AC133" s="68">
        <v>0</v>
      </c>
    </row>
    <row r="134" spans="1:29" x14ac:dyDescent="0.55000000000000004">
      <c r="A134" s="49" t="s">
        <v>381</v>
      </c>
      <c r="B134" s="49" t="s">
        <v>385</v>
      </c>
      <c r="C134" s="49" t="s">
        <v>274</v>
      </c>
      <c r="D134" s="49" t="s">
        <v>257</v>
      </c>
      <c r="E134" s="68">
        <v>0</v>
      </c>
      <c r="F134" s="68">
        <v>-344.56</v>
      </c>
      <c r="G134" s="68">
        <v>0</v>
      </c>
      <c r="H134" s="68">
        <v>0</v>
      </c>
      <c r="I134" s="68">
        <v>0</v>
      </c>
      <c r="J134" s="68">
        <v>0</v>
      </c>
      <c r="K134" s="68">
        <v>0</v>
      </c>
      <c r="L134" s="68">
        <v>-430.7</v>
      </c>
      <c r="M134" s="68">
        <v>0</v>
      </c>
      <c r="N134" s="68">
        <v>0</v>
      </c>
      <c r="O134" s="68">
        <v>-81.59</v>
      </c>
      <c r="P134" s="96">
        <v>0</v>
      </c>
      <c r="Q134" s="68">
        <v>0</v>
      </c>
      <c r="R134" s="68">
        <v>0</v>
      </c>
      <c r="S134" s="68">
        <v>0</v>
      </c>
      <c r="T134" s="68">
        <v>0</v>
      </c>
      <c r="U134" s="68">
        <v>0</v>
      </c>
      <c r="V134" s="68">
        <v>0</v>
      </c>
      <c r="W134" s="68">
        <v>0</v>
      </c>
      <c r="X134" s="68">
        <v>-84.34</v>
      </c>
      <c r="Y134" s="68">
        <v>0</v>
      </c>
      <c r="Z134" s="68">
        <v>-674.72</v>
      </c>
      <c r="AA134" s="68">
        <v>-253.02</v>
      </c>
      <c r="AB134" s="68">
        <v>0</v>
      </c>
      <c r="AC134" s="68">
        <v>0</v>
      </c>
    </row>
    <row r="135" spans="1:29" x14ac:dyDescent="0.55000000000000004">
      <c r="A135" s="49" t="s">
        <v>386</v>
      </c>
      <c r="B135" s="49" t="s">
        <v>387</v>
      </c>
      <c r="C135" s="49" t="s">
        <v>229</v>
      </c>
      <c r="D135" s="49" t="s">
        <v>257</v>
      </c>
      <c r="E135" s="68">
        <v>0</v>
      </c>
      <c r="F135" s="68">
        <v>0</v>
      </c>
      <c r="G135" s="68">
        <v>0</v>
      </c>
      <c r="H135" s="68">
        <v>0</v>
      </c>
      <c r="I135" s="68">
        <v>0</v>
      </c>
      <c r="J135" s="68">
        <v>0</v>
      </c>
      <c r="K135" s="68">
        <v>0</v>
      </c>
      <c r="L135" s="68">
        <v>0</v>
      </c>
      <c r="M135" s="68">
        <v>0</v>
      </c>
      <c r="N135" s="68">
        <v>0</v>
      </c>
      <c r="O135" s="68">
        <v>0</v>
      </c>
      <c r="P135" s="96">
        <v>0</v>
      </c>
      <c r="Q135" s="68">
        <v>0</v>
      </c>
      <c r="R135" s="68">
        <v>0</v>
      </c>
      <c r="S135" s="68">
        <v>0</v>
      </c>
      <c r="T135" s="68">
        <v>0</v>
      </c>
      <c r="U135" s="68">
        <v>0</v>
      </c>
      <c r="V135" s="68">
        <v>0</v>
      </c>
      <c r="W135" s="68">
        <v>0</v>
      </c>
      <c r="X135" s="68">
        <v>-84.34</v>
      </c>
      <c r="Y135" s="68">
        <v>0</v>
      </c>
      <c r="Z135" s="68">
        <v>0</v>
      </c>
      <c r="AA135" s="68">
        <v>-337.36</v>
      </c>
      <c r="AB135" s="68">
        <v>0</v>
      </c>
      <c r="AC135" s="68">
        <v>0</v>
      </c>
    </row>
    <row r="136" spans="1:29" x14ac:dyDescent="0.55000000000000004">
      <c r="A136" s="49" t="s">
        <v>940</v>
      </c>
      <c r="B136" s="49" t="s">
        <v>941</v>
      </c>
      <c r="C136" s="49" t="s">
        <v>241</v>
      </c>
      <c r="D136" s="49" t="s">
        <v>257</v>
      </c>
      <c r="E136" s="68">
        <v>0</v>
      </c>
      <c r="F136" s="68">
        <v>0</v>
      </c>
      <c r="G136" s="68">
        <v>0</v>
      </c>
      <c r="H136" s="68">
        <v>0</v>
      </c>
      <c r="I136" s="68">
        <v>0</v>
      </c>
      <c r="J136" s="68">
        <v>0</v>
      </c>
      <c r="K136" s="68">
        <v>0</v>
      </c>
      <c r="L136" s="68">
        <v>-430.7</v>
      </c>
      <c r="M136" s="68">
        <v>0</v>
      </c>
      <c r="N136" s="68">
        <v>0</v>
      </c>
      <c r="O136" s="68">
        <v>0</v>
      </c>
      <c r="P136" s="96">
        <v>0</v>
      </c>
      <c r="Q136" s="68">
        <v>0</v>
      </c>
      <c r="R136" s="68">
        <v>0</v>
      </c>
      <c r="S136" s="68">
        <v>0</v>
      </c>
      <c r="T136" s="68">
        <v>0</v>
      </c>
      <c r="U136" s="68">
        <v>0</v>
      </c>
      <c r="V136" s="68">
        <v>0</v>
      </c>
      <c r="W136" s="68">
        <v>0</v>
      </c>
      <c r="X136" s="68">
        <v>-84.34</v>
      </c>
      <c r="Y136" s="68">
        <v>0</v>
      </c>
      <c r="Z136" s="68">
        <v>0</v>
      </c>
      <c r="AA136" s="68">
        <v>0</v>
      </c>
      <c r="AB136" s="68">
        <v>0</v>
      </c>
      <c r="AC136" s="68">
        <v>0</v>
      </c>
    </row>
    <row r="137" spans="1:29" x14ac:dyDescent="0.55000000000000004">
      <c r="A137" s="49" t="s">
        <v>942</v>
      </c>
      <c r="B137" s="49" t="s">
        <v>943</v>
      </c>
      <c r="C137" s="49" t="s">
        <v>241</v>
      </c>
      <c r="D137" s="49" t="s">
        <v>257</v>
      </c>
      <c r="E137" s="68">
        <v>0</v>
      </c>
      <c r="F137" s="68">
        <v>0</v>
      </c>
      <c r="G137" s="68">
        <v>0</v>
      </c>
      <c r="H137" s="68">
        <v>0</v>
      </c>
      <c r="I137" s="68">
        <v>0</v>
      </c>
      <c r="J137" s="68">
        <v>0</v>
      </c>
      <c r="K137" s="68">
        <v>0</v>
      </c>
      <c r="L137" s="68">
        <v>-258.42</v>
      </c>
      <c r="M137" s="68">
        <v>0</v>
      </c>
      <c r="N137" s="68">
        <v>0</v>
      </c>
      <c r="O137" s="68">
        <v>81.59</v>
      </c>
      <c r="P137" s="96">
        <v>0</v>
      </c>
      <c r="Q137" s="68">
        <v>0</v>
      </c>
      <c r="R137" s="68">
        <v>0</v>
      </c>
      <c r="S137" s="68">
        <v>0</v>
      </c>
      <c r="T137" s="68">
        <v>0</v>
      </c>
      <c r="U137" s="68">
        <v>0</v>
      </c>
      <c r="V137" s="68">
        <v>0</v>
      </c>
      <c r="W137" s="68">
        <v>0</v>
      </c>
      <c r="X137" s="68">
        <v>0</v>
      </c>
      <c r="Y137" s="68">
        <v>0</v>
      </c>
      <c r="Z137" s="68">
        <v>0</v>
      </c>
      <c r="AA137" s="68">
        <v>0</v>
      </c>
      <c r="AB137" s="68">
        <v>0</v>
      </c>
      <c r="AC137" s="68">
        <v>0</v>
      </c>
    </row>
    <row r="138" spans="1:29" x14ac:dyDescent="0.55000000000000004">
      <c r="A138" s="49" t="s">
        <v>388</v>
      </c>
      <c r="B138" s="49" t="s">
        <v>389</v>
      </c>
      <c r="C138" s="49" t="s">
        <v>241</v>
      </c>
      <c r="D138" s="49" t="s">
        <v>257</v>
      </c>
      <c r="E138" s="68">
        <v>0</v>
      </c>
      <c r="F138" s="68">
        <v>0</v>
      </c>
      <c r="G138" s="68">
        <v>0</v>
      </c>
      <c r="H138" s="68">
        <v>0</v>
      </c>
      <c r="I138" s="68">
        <v>0</v>
      </c>
      <c r="J138" s="68">
        <v>0</v>
      </c>
      <c r="K138" s="68">
        <v>0</v>
      </c>
      <c r="L138" s="68">
        <v>0</v>
      </c>
      <c r="M138" s="68">
        <v>0</v>
      </c>
      <c r="N138" s="68">
        <v>0</v>
      </c>
      <c r="O138" s="68">
        <v>0</v>
      </c>
      <c r="P138" s="96">
        <v>0</v>
      </c>
      <c r="Q138" s="68">
        <v>0</v>
      </c>
      <c r="R138" s="68">
        <v>0</v>
      </c>
      <c r="S138" s="68">
        <v>0</v>
      </c>
      <c r="T138" s="68">
        <v>0</v>
      </c>
      <c r="U138" s="68">
        <v>0</v>
      </c>
      <c r="V138" s="68">
        <v>0</v>
      </c>
      <c r="W138" s="68">
        <v>0</v>
      </c>
      <c r="X138" s="68">
        <v>0</v>
      </c>
      <c r="Y138" s="68">
        <v>0</v>
      </c>
      <c r="Z138" s="68">
        <v>0</v>
      </c>
      <c r="AA138" s="68">
        <v>0</v>
      </c>
      <c r="AB138" s="68">
        <v>-8240</v>
      </c>
      <c r="AC138" s="68">
        <v>0</v>
      </c>
    </row>
    <row r="139" spans="1:29" x14ac:dyDescent="0.55000000000000004">
      <c r="A139" s="49" t="s">
        <v>390</v>
      </c>
      <c r="B139" s="49" t="s">
        <v>391</v>
      </c>
      <c r="C139" s="49" t="s">
        <v>229</v>
      </c>
      <c r="D139" s="49" t="s">
        <v>257</v>
      </c>
      <c r="E139" s="68">
        <v>0</v>
      </c>
      <c r="F139" s="68">
        <v>0</v>
      </c>
      <c r="G139" s="68">
        <v>0</v>
      </c>
      <c r="H139" s="68">
        <v>0</v>
      </c>
      <c r="I139" s="68">
        <v>0</v>
      </c>
      <c r="J139" s="68">
        <v>0</v>
      </c>
      <c r="K139" s="68">
        <v>0</v>
      </c>
      <c r="L139" s="68">
        <v>0</v>
      </c>
      <c r="M139" s="68">
        <v>0</v>
      </c>
      <c r="N139" s="68">
        <v>0</v>
      </c>
      <c r="O139" s="68">
        <v>0</v>
      </c>
      <c r="P139" s="96">
        <v>0</v>
      </c>
      <c r="Q139" s="68">
        <v>0</v>
      </c>
      <c r="R139" s="68">
        <v>0</v>
      </c>
      <c r="S139" s="68">
        <v>0</v>
      </c>
      <c r="T139" s="68">
        <v>0</v>
      </c>
      <c r="U139" s="68">
        <v>0</v>
      </c>
      <c r="V139" s="68">
        <v>0</v>
      </c>
      <c r="W139" s="68">
        <v>0</v>
      </c>
      <c r="X139" s="68">
        <v>0</v>
      </c>
      <c r="Y139" s="68">
        <v>0</v>
      </c>
      <c r="Z139" s="68">
        <v>0</v>
      </c>
      <c r="AA139" s="68">
        <v>0</v>
      </c>
      <c r="AB139" s="68">
        <v>-3.5</v>
      </c>
      <c r="AC139" s="68">
        <v>0</v>
      </c>
    </row>
    <row r="140" spans="1:29" x14ac:dyDescent="0.55000000000000004">
      <c r="A140" s="49" t="s">
        <v>392</v>
      </c>
      <c r="B140" s="49" t="s">
        <v>393</v>
      </c>
      <c r="C140" s="49" t="s">
        <v>232</v>
      </c>
      <c r="D140" s="49" t="s">
        <v>257</v>
      </c>
      <c r="E140" s="68">
        <v>0</v>
      </c>
      <c r="F140" s="68">
        <v>0</v>
      </c>
      <c r="G140" s="68">
        <v>0</v>
      </c>
      <c r="H140" s="68">
        <v>0</v>
      </c>
      <c r="I140" s="68">
        <v>0</v>
      </c>
      <c r="J140" s="68">
        <v>0</v>
      </c>
      <c r="K140" s="68">
        <v>0</v>
      </c>
      <c r="L140" s="68">
        <v>0</v>
      </c>
      <c r="M140" s="68">
        <v>0</v>
      </c>
      <c r="N140" s="68">
        <v>0</v>
      </c>
      <c r="O140" s="68">
        <v>0</v>
      </c>
      <c r="P140" s="96">
        <v>0</v>
      </c>
      <c r="Q140" s="68">
        <v>0</v>
      </c>
      <c r="R140" s="68">
        <v>0</v>
      </c>
      <c r="S140" s="68">
        <v>0</v>
      </c>
      <c r="T140" s="68">
        <v>0</v>
      </c>
      <c r="U140" s="68">
        <v>0</v>
      </c>
      <c r="V140" s="68">
        <v>0</v>
      </c>
      <c r="W140" s="68">
        <v>0</v>
      </c>
      <c r="X140" s="68">
        <v>0</v>
      </c>
      <c r="Y140" s="68">
        <v>0</v>
      </c>
      <c r="Z140" s="68">
        <v>0</v>
      </c>
      <c r="AA140" s="68">
        <v>0</v>
      </c>
      <c r="AB140" s="68">
        <v>-4115.09</v>
      </c>
      <c r="AC140" s="68">
        <v>0</v>
      </c>
    </row>
    <row r="141" spans="1:29" x14ac:dyDescent="0.55000000000000004">
      <c r="A141" s="49" t="s">
        <v>963</v>
      </c>
      <c r="B141" s="49" t="s">
        <v>964</v>
      </c>
      <c r="C141" s="49" t="s">
        <v>238</v>
      </c>
      <c r="D141" s="49" t="s">
        <v>257</v>
      </c>
      <c r="E141" s="68">
        <v>0</v>
      </c>
      <c r="F141" s="68">
        <v>0</v>
      </c>
      <c r="G141" s="68">
        <v>0</v>
      </c>
      <c r="H141" s="68">
        <v>0</v>
      </c>
      <c r="I141" s="68">
        <v>0</v>
      </c>
      <c r="J141" s="68">
        <v>0</v>
      </c>
      <c r="K141" s="68">
        <v>0</v>
      </c>
      <c r="L141" s="68">
        <v>0</v>
      </c>
      <c r="M141" s="68">
        <v>0</v>
      </c>
      <c r="N141" s="68">
        <v>0</v>
      </c>
      <c r="O141" s="68">
        <v>0</v>
      </c>
      <c r="P141" s="96">
        <v>0</v>
      </c>
      <c r="Q141" s="68">
        <v>0</v>
      </c>
      <c r="R141" s="68">
        <v>0</v>
      </c>
      <c r="S141" s="68">
        <v>0</v>
      </c>
      <c r="T141" s="68">
        <v>0</v>
      </c>
      <c r="U141" s="68">
        <v>0</v>
      </c>
      <c r="V141" s="68">
        <v>0</v>
      </c>
      <c r="W141" s="68">
        <v>0</v>
      </c>
      <c r="X141" s="68">
        <v>0</v>
      </c>
      <c r="Y141" s="68">
        <v>0</v>
      </c>
      <c r="Z141" s="68">
        <v>0</v>
      </c>
      <c r="AA141" s="68">
        <v>0</v>
      </c>
      <c r="AB141" s="68">
        <v>247</v>
      </c>
      <c r="AC141" s="68">
        <v>0</v>
      </c>
    </row>
    <row r="142" spans="1:29" x14ac:dyDescent="0.55000000000000004">
      <c r="A142" s="49" t="s">
        <v>394</v>
      </c>
      <c r="B142" s="49" t="s">
        <v>395</v>
      </c>
      <c r="C142" s="49" t="s">
        <v>241</v>
      </c>
      <c r="D142" s="49" t="s">
        <v>257</v>
      </c>
      <c r="E142" s="68">
        <v>0</v>
      </c>
      <c r="F142" s="68">
        <v>0</v>
      </c>
      <c r="G142" s="68">
        <v>0</v>
      </c>
      <c r="H142" s="68">
        <v>0</v>
      </c>
      <c r="I142" s="68">
        <v>0</v>
      </c>
      <c r="J142" s="68">
        <v>0</v>
      </c>
      <c r="K142" s="68">
        <v>0</v>
      </c>
      <c r="L142" s="68">
        <v>0</v>
      </c>
      <c r="M142" s="68">
        <v>0</v>
      </c>
      <c r="N142" s="68">
        <v>0</v>
      </c>
      <c r="O142" s="68">
        <v>0</v>
      </c>
      <c r="P142" s="96">
        <v>0</v>
      </c>
      <c r="Q142" s="68">
        <v>0</v>
      </c>
      <c r="R142" s="68">
        <v>0</v>
      </c>
      <c r="S142" s="68">
        <v>0</v>
      </c>
      <c r="T142" s="68">
        <v>0</v>
      </c>
      <c r="U142" s="68">
        <v>0</v>
      </c>
      <c r="V142" s="68">
        <v>0</v>
      </c>
      <c r="W142" s="68">
        <v>0</v>
      </c>
      <c r="X142" s="68">
        <v>0</v>
      </c>
      <c r="Y142" s="68">
        <v>0</v>
      </c>
      <c r="Z142" s="68">
        <v>0</v>
      </c>
      <c r="AA142" s="68">
        <v>0</v>
      </c>
      <c r="AB142" s="68">
        <v>-35523.870000000003</v>
      </c>
      <c r="AC142" s="68">
        <v>0</v>
      </c>
    </row>
    <row r="143" spans="1:29" x14ac:dyDescent="0.55000000000000004">
      <c r="A143" s="49" t="s">
        <v>396</v>
      </c>
      <c r="B143" s="49" t="s">
        <v>397</v>
      </c>
      <c r="C143" s="49" t="s">
        <v>229</v>
      </c>
      <c r="D143" s="49" t="s">
        <v>257</v>
      </c>
      <c r="E143" s="68">
        <v>-200</v>
      </c>
      <c r="F143" s="68">
        <v>0</v>
      </c>
      <c r="G143" s="68">
        <v>0</v>
      </c>
      <c r="H143" s="68">
        <v>0</v>
      </c>
      <c r="I143" s="68">
        <v>0</v>
      </c>
      <c r="J143" s="68">
        <v>0</v>
      </c>
      <c r="K143" s="68">
        <v>0</v>
      </c>
      <c r="L143" s="68">
        <v>200</v>
      </c>
      <c r="M143" s="68">
        <v>0</v>
      </c>
      <c r="N143" s="68">
        <v>0</v>
      </c>
      <c r="O143" s="68">
        <v>0</v>
      </c>
      <c r="P143" s="96">
        <v>0</v>
      </c>
      <c r="Q143" s="68">
        <v>0</v>
      </c>
      <c r="R143" s="68">
        <v>0</v>
      </c>
      <c r="S143" s="68">
        <v>0</v>
      </c>
      <c r="T143" s="68">
        <v>0</v>
      </c>
      <c r="U143" s="68">
        <v>0</v>
      </c>
      <c r="V143" s="68">
        <v>0</v>
      </c>
      <c r="W143" s="68">
        <v>0</v>
      </c>
      <c r="X143" s="68">
        <v>-150</v>
      </c>
      <c r="Y143" s="68">
        <v>-1197.1400000000001</v>
      </c>
      <c r="Z143" s="68">
        <v>0</v>
      </c>
      <c r="AA143" s="68">
        <v>0</v>
      </c>
      <c r="AB143" s="68">
        <v>-224.52</v>
      </c>
      <c r="AC143" s="68">
        <v>0</v>
      </c>
    </row>
    <row r="144" spans="1:29" x14ac:dyDescent="0.55000000000000004">
      <c r="A144" s="49" t="s">
        <v>398</v>
      </c>
      <c r="B144" s="49" t="s">
        <v>399</v>
      </c>
      <c r="C144" s="49" t="s">
        <v>232</v>
      </c>
      <c r="D144" s="49" t="s">
        <v>257</v>
      </c>
      <c r="E144" s="68">
        <v>-700</v>
      </c>
      <c r="F144" s="68">
        <v>-3759.54</v>
      </c>
      <c r="G144" s="68">
        <v>-2200</v>
      </c>
      <c r="H144" s="68">
        <v>-650</v>
      </c>
      <c r="I144" s="68">
        <v>0</v>
      </c>
      <c r="J144" s="68">
        <v>50</v>
      </c>
      <c r="K144" s="68">
        <v>0</v>
      </c>
      <c r="L144" s="68">
        <v>-1691.72</v>
      </c>
      <c r="M144" s="68">
        <v>-7757.02</v>
      </c>
      <c r="N144" s="68">
        <v>-2850</v>
      </c>
      <c r="O144" s="68">
        <v>-2550</v>
      </c>
      <c r="P144" s="96">
        <v>-5581.52</v>
      </c>
      <c r="Q144" s="68">
        <v>-8150</v>
      </c>
      <c r="R144" s="68">
        <v>-2150</v>
      </c>
      <c r="S144" s="68">
        <v>-1286.8800000000001</v>
      </c>
      <c r="T144" s="68">
        <v>-800</v>
      </c>
      <c r="U144" s="68">
        <v>-7000</v>
      </c>
      <c r="V144" s="68">
        <v>0</v>
      </c>
      <c r="W144" s="68">
        <v>-4900</v>
      </c>
      <c r="X144" s="68">
        <v>-5000</v>
      </c>
      <c r="Y144" s="68">
        <v>-5728.44</v>
      </c>
      <c r="Z144" s="68">
        <v>-150</v>
      </c>
      <c r="AA144" s="68">
        <v>0</v>
      </c>
      <c r="AB144" s="68">
        <v>-11075.48</v>
      </c>
      <c r="AC144" s="68">
        <v>0</v>
      </c>
    </row>
    <row r="145" spans="1:29" x14ac:dyDescent="0.55000000000000004">
      <c r="A145" s="49" t="s">
        <v>944</v>
      </c>
      <c r="B145" s="49" t="s">
        <v>945</v>
      </c>
      <c r="C145" s="49" t="s">
        <v>235</v>
      </c>
      <c r="D145" s="49" t="s">
        <v>257</v>
      </c>
      <c r="E145" s="68">
        <v>0</v>
      </c>
      <c r="F145" s="68">
        <v>0</v>
      </c>
      <c r="G145" s="68">
        <v>0</v>
      </c>
      <c r="H145" s="68">
        <v>0</v>
      </c>
      <c r="I145" s="68">
        <v>0</v>
      </c>
      <c r="J145" s="68">
        <v>0</v>
      </c>
      <c r="K145" s="68">
        <v>0</v>
      </c>
      <c r="L145" s="68">
        <v>0</v>
      </c>
      <c r="M145" s="68">
        <v>0</v>
      </c>
      <c r="N145" s="68">
        <v>0</v>
      </c>
      <c r="O145" s="68">
        <v>0</v>
      </c>
      <c r="P145" s="96">
        <v>0</v>
      </c>
      <c r="Q145" s="68">
        <v>-2999.49</v>
      </c>
      <c r="R145" s="68">
        <v>0</v>
      </c>
      <c r="S145" s="68">
        <v>-323.83999999999997</v>
      </c>
      <c r="T145" s="68">
        <v>0</v>
      </c>
      <c r="U145" s="68">
        <v>0</v>
      </c>
      <c r="V145" s="68">
        <v>0</v>
      </c>
      <c r="W145" s="68">
        <v>0</v>
      </c>
      <c r="X145" s="68">
        <v>0</v>
      </c>
      <c r="Y145" s="68">
        <v>0</v>
      </c>
      <c r="Z145" s="68">
        <v>0</v>
      </c>
      <c r="AA145" s="68">
        <v>-1500</v>
      </c>
      <c r="AB145" s="68">
        <v>0</v>
      </c>
      <c r="AC145" s="68">
        <v>0</v>
      </c>
    </row>
    <row r="146" spans="1:29" x14ac:dyDescent="0.55000000000000004">
      <c r="A146" s="49" t="s">
        <v>400</v>
      </c>
      <c r="B146" s="49" t="s">
        <v>401</v>
      </c>
      <c r="C146" s="49" t="s">
        <v>238</v>
      </c>
      <c r="D146" s="49" t="s">
        <v>257</v>
      </c>
      <c r="E146" s="68">
        <v>-5300</v>
      </c>
      <c r="F146" s="68">
        <v>-5750</v>
      </c>
      <c r="G146" s="68">
        <v>-6400</v>
      </c>
      <c r="H146" s="68">
        <v>-4900</v>
      </c>
      <c r="I146" s="68">
        <v>-1200</v>
      </c>
      <c r="J146" s="68">
        <v>-10250</v>
      </c>
      <c r="K146" s="68">
        <v>-8100</v>
      </c>
      <c r="L146" s="68">
        <v>-2900</v>
      </c>
      <c r="M146" s="68">
        <v>-7350</v>
      </c>
      <c r="N146" s="68">
        <v>-10750</v>
      </c>
      <c r="O146" s="68">
        <v>-2250</v>
      </c>
      <c r="P146" s="96">
        <v>-11750</v>
      </c>
      <c r="Q146" s="68">
        <v>-9500</v>
      </c>
      <c r="R146" s="68">
        <v>-5900</v>
      </c>
      <c r="S146" s="68">
        <v>-8650</v>
      </c>
      <c r="T146" s="68">
        <v>-9150</v>
      </c>
      <c r="U146" s="68">
        <v>-13600</v>
      </c>
      <c r="V146" s="68">
        <v>0</v>
      </c>
      <c r="W146" s="68">
        <v>-13100</v>
      </c>
      <c r="X146" s="68">
        <v>-4400</v>
      </c>
      <c r="Y146" s="68">
        <v>-8950</v>
      </c>
      <c r="Z146" s="68">
        <v>-12200</v>
      </c>
      <c r="AA146" s="68">
        <v>-2350</v>
      </c>
      <c r="AB146" s="68">
        <v>-2100</v>
      </c>
      <c r="AC146" s="68">
        <v>0</v>
      </c>
    </row>
    <row r="147" spans="1:29" x14ac:dyDescent="0.55000000000000004">
      <c r="A147" s="49" t="s">
        <v>402</v>
      </c>
      <c r="B147" s="49" t="s">
        <v>403</v>
      </c>
      <c r="C147" s="49" t="s">
        <v>241</v>
      </c>
      <c r="D147" s="49" t="s">
        <v>257</v>
      </c>
      <c r="E147" s="68">
        <v>0</v>
      </c>
      <c r="F147" s="68">
        <v>0</v>
      </c>
      <c r="G147" s="68">
        <v>0</v>
      </c>
      <c r="H147" s="68">
        <v>-19.16</v>
      </c>
      <c r="I147" s="68">
        <v>0</v>
      </c>
      <c r="J147" s="68">
        <v>0</v>
      </c>
      <c r="K147" s="68">
        <v>0</v>
      </c>
      <c r="L147" s="68">
        <v>-600</v>
      </c>
      <c r="M147" s="68">
        <v>0</v>
      </c>
      <c r="N147" s="68">
        <v>0</v>
      </c>
      <c r="O147" s="68">
        <v>0</v>
      </c>
      <c r="P147" s="96">
        <v>0</v>
      </c>
      <c r="Q147" s="68">
        <v>-0.33</v>
      </c>
      <c r="R147" s="68">
        <v>0</v>
      </c>
      <c r="S147" s="68">
        <v>0</v>
      </c>
      <c r="T147" s="68">
        <v>0</v>
      </c>
      <c r="U147" s="68">
        <v>0</v>
      </c>
      <c r="V147" s="68">
        <v>0</v>
      </c>
      <c r="W147" s="68">
        <v>0</v>
      </c>
      <c r="X147" s="68">
        <v>-1161.1099999999999</v>
      </c>
      <c r="Y147" s="68">
        <v>0</v>
      </c>
      <c r="Z147" s="68">
        <v>0</v>
      </c>
      <c r="AA147" s="68">
        <v>0</v>
      </c>
      <c r="AB147" s="68">
        <v>0</v>
      </c>
      <c r="AC147" s="68">
        <v>0</v>
      </c>
    </row>
    <row r="148" spans="1:29" x14ac:dyDescent="0.55000000000000004">
      <c r="A148" s="49" t="s">
        <v>404</v>
      </c>
      <c r="B148" s="49" t="s">
        <v>405</v>
      </c>
      <c r="C148" s="49" t="s">
        <v>232</v>
      </c>
      <c r="D148" s="49" t="s">
        <v>257</v>
      </c>
      <c r="E148" s="68">
        <v>-250</v>
      </c>
      <c r="F148" s="68">
        <v>-200</v>
      </c>
      <c r="G148" s="68">
        <v>0</v>
      </c>
      <c r="H148" s="68">
        <v>0</v>
      </c>
      <c r="I148" s="68">
        <v>0</v>
      </c>
      <c r="J148" s="68">
        <v>0</v>
      </c>
      <c r="K148" s="68">
        <v>0</v>
      </c>
      <c r="L148" s="68">
        <v>-2352.96</v>
      </c>
      <c r="M148" s="68">
        <v>0</v>
      </c>
      <c r="N148" s="68">
        <v>0</v>
      </c>
      <c r="O148" s="68">
        <v>0</v>
      </c>
      <c r="P148" s="96">
        <v>0</v>
      </c>
      <c r="Q148" s="68">
        <v>0</v>
      </c>
      <c r="R148" s="68">
        <v>0</v>
      </c>
      <c r="S148" s="68">
        <v>0</v>
      </c>
      <c r="T148" s="68">
        <v>0</v>
      </c>
      <c r="U148" s="68">
        <v>0</v>
      </c>
      <c r="V148" s="68">
        <v>0</v>
      </c>
      <c r="W148" s="68">
        <v>0</v>
      </c>
      <c r="X148" s="68">
        <v>0</v>
      </c>
      <c r="Y148" s="68">
        <v>0</v>
      </c>
      <c r="Z148" s="68">
        <v>0</v>
      </c>
      <c r="AA148" s="68">
        <v>0</v>
      </c>
      <c r="AB148" s="68">
        <v>0</v>
      </c>
      <c r="AC148" s="68">
        <v>0</v>
      </c>
    </row>
    <row r="149" spans="1:29" x14ac:dyDescent="0.55000000000000004">
      <c r="A149" s="49" t="s">
        <v>406</v>
      </c>
      <c r="B149" s="49" t="s">
        <v>407</v>
      </c>
      <c r="C149" s="49" t="s">
        <v>274</v>
      </c>
      <c r="D149" s="49" t="s">
        <v>257</v>
      </c>
      <c r="E149" s="68">
        <v>0</v>
      </c>
      <c r="F149" s="68">
        <v>0</v>
      </c>
      <c r="G149" s="68">
        <v>0</v>
      </c>
      <c r="H149" s="68">
        <v>0</v>
      </c>
      <c r="I149" s="68">
        <v>0</v>
      </c>
      <c r="J149" s="68">
        <v>0</v>
      </c>
      <c r="K149" s="68">
        <v>0</v>
      </c>
      <c r="L149" s="68">
        <v>0</v>
      </c>
      <c r="M149" s="68">
        <v>2107.02</v>
      </c>
      <c r="N149" s="68">
        <v>0</v>
      </c>
      <c r="O149" s="68">
        <v>0</v>
      </c>
      <c r="P149" s="96">
        <v>0</v>
      </c>
      <c r="Q149" s="68">
        <v>0</v>
      </c>
      <c r="R149" s="68">
        <v>0</v>
      </c>
      <c r="S149" s="68">
        <v>0</v>
      </c>
      <c r="T149" s="68">
        <v>0</v>
      </c>
      <c r="U149" s="68">
        <v>0</v>
      </c>
      <c r="V149" s="68">
        <v>0</v>
      </c>
      <c r="W149" s="68">
        <v>0</v>
      </c>
      <c r="X149" s="68">
        <v>0</v>
      </c>
      <c r="Y149" s="68">
        <v>0</v>
      </c>
      <c r="Z149" s="68">
        <v>-1107.6400000000001</v>
      </c>
      <c r="AA149" s="68">
        <v>-376.88</v>
      </c>
      <c r="AB149" s="68">
        <v>0</v>
      </c>
      <c r="AC149" s="68">
        <v>0</v>
      </c>
    </row>
    <row r="150" spans="1:29" x14ac:dyDescent="0.55000000000000004">
      <c r="A150" s="49" t="s">
        <v>408</v>
      </c>
      <c r="B150" s="49" t="s">
        <v>409</v>
      </c>
      <c r="C150" s="49" t="s">
        <v>274</v>
      </c>
      <c r="D150" s="49" t="s">
        <v>257</v>
      </c>
      <c r="E150" s="68">
        <v>-3565.62</v>
      </c>
      <c r="F150" s="68">
        <v>-1291.48</v>
      </c>
      <c r="G150" s="68">
        <v>-1300.68</v>
      </c>
      <c r="H150" s="68">
        <v>-218.66</v>
      </c>
      <c r="I150" s="68">
        <v>0</v>
      </c>
      <c r="J150" s="68">
        <v>0</v>
      </c>
      <c r="K150" s="68">
        <v>-5501.08</v>
      </c>
      <c r="L150" s="68">
        <v>0</v>
      </c>
      <c r="M150" s="68">
        <v>0</v>
      </c>
      <c r="N150" s="68">
        <v>-218.92</v>
      </c>
      <c r="O150" s="68">
        <v>0</v>
      </c>
      <c r="P150" s="96">
        <v>0</v>
      </c>
      <c r="Q150" s="68">
        <v>-7531.84</v>
      </c>
      <c r="R150" s="68">
        <v>-1596.42</v>
      </c>
      <c r="S150" s="68">
        <v>-4703.8100000000004</v>
      </c>
      <c r="T150" s="68">
        <v>0</v>
      </c>
      <c r="U150" s="68">
        <v>0</v>
      </c>
      <c r="V150" s="68">
        <v>-735.74</v>
      </c>
      <c r="W150" s="68">
        <v>-556.12</v>
      </c>
      <c r="X150" s="68">
        <v>-5552</v>
      </c>
      <c r="Y150" s="68">
        <v>-2746.09</v>
      </c>
      <c r="Z150" s="68">
        <v>-5346.22</v>
      </c>
      <c r="AA150" s="68">
        <v>0</v>
      </c>
      <c r="AB150" s="68">
        <v>0</v>
      </c>
      <c r="AC150" s="68">
        <v>0</v>
      </c>
    </row>
    <row r="151" spans="1:29" x14ac:dyDescent="0.55000000000000004">
      <c r="A151" s="49" t="s">
        <v>410</v>
      </c>
      <c r="B151" s="49" t="s">
        <v>411</v>
      </c>
      <c r="C151" s="49" t="s">
        <v>241</v>
      </c>
      <c r="D151" s="49" t="s">
        <v>257</v>
      </c>
      <c r="E151" s="68">
        <v>0</v>
      </c>
      <c r="F151" s="68">
        <v>0</v>
      </c>
      <c r="G151" s="68">
        <v>0</v>
      </c>
      <c r="H151" s="68">
        <v>0</v>
      </c>
      <c r="I151" s="68">
        <v>0</v>
      </c>
      <c r="J151" s="68">
        <v>0</v>
      </c>
      <c r="K151" s="68">
        <v>0</v>
      </c>
      <c r="L151" s="68">
        <v>0</v>
      </c>
      <c r="M151" s="68">
        <v>0</v>
      </c>
      <c r="N151" s="68">
        <v>0</v>
      </c>
      <c r="O151" s="68">
        <v>0</v>
      </c>
      <c r="P151" s="96">
        <v>0</v>
      </c>
      <c r="Q151" s="68">
        <v>0</v>
      </c>
      <c r="R151" s="68">
        <v>0</v>
      </c>
      <c r="S151" s="68">
        <v>0</v>
      </c>
      <c r="T151" s="68">
        <v>0</v>
      </c>
      <c r="U151" s="68">
        <v>0</v>
      </c>
      <c r="V151" s="68">
        <v>0</v>
      </c>
      <c r="W151" s="68">
        <v>0</v>
      </c>
      <c r="X151" s="68">
        <v>0</v>
      </c>
      <c r="Y151" s="68">
        <v>0</v>
      </c>
      <c r="Z151" s="68">
        <v>0</v>
      </c>
      <c r="AA151" s="68">
        <v>0</v>
      </c>
      <c r="AB151" s="68">
        <v>-2900</v>
      </c>
      <c r="AC151" s="68">
        <v>0</v>
      </c>
    </row>
    <row r="152" spans="1:29" x14ac:dyDescent="0.55000000000000004">
      <c r="A152" s="49" t="s">
        <v>903</v>
      </c>
      <c r="B152" s="49" t="s">
        <v>904</v>
      </c>
      <c r="C152" s="49" t="s">
        <v>238</v>
      </c>
      <c r="D152" s="49" t="s">
        <v>257</v>
      </c>
      <c r="E152" s="68">
        <v>0</v>
      </c>
      <c r="F152" s="68">
        <v>0</v>
      </c>
      <c r="G152" s="68">
        <v>0</v>
      </c>
      <c r="H152" s="68">
        <v>0</v>
      </c>
      <c r="I152" s="68">
        <v>0</v>
      </c>
      <c r="J152" s="68">
        <v>0</v>
      </c>
      <c r="K152" s="68">
        <v>0</v>
      </c>
      <c r="L152" s="68">
        <v>0</v>
      </c>
      <c r="M152" s="68">
        <v>0</v>
      </c>
      <c r="N152" s="68">
        <v>0</v>
      </c>
      <c r="O152" s="68">
        <v>0</v>
      </c>
      <c r="P152" s="96">
        <v>0</v>
      </c>
      <c r="Q152" s="68">
        <v>0</v>
      </c>
      <c r="R152" s="68">
        <v>0</v>
      </c>
      <c r="S152" s="68">
        <v>0</v>
      </c>
      <c r="T152" s="68">
        <v>0</v>
      </c>
      <c r="U152" s="68">
        <v>0</v>
      </c>
      <c r="V152" s="68">
        <v>0</v>
      </c>
      <c r="W152" s="68">
        <v>0</v>
      </c>
      <c r="X152" s="68">
        <v>0</v>
      </c>
      <c r="Y152" s="68">
        <v>0</v>
      </c>
      <c r="Z152" s="68">
        <v>-836.68</v>
      </c>
      <c r="AA152" s="68">
        <v>-1882.53</v>
      </c>
      <c r="AB152" s="68">
        <v>0</v>
      </c>
      <c r="AC152" s="68">
        <v>0</v>
      </c>
    </row>
    <row r="153" spans="1:29" x14ac:dyDescent="0.55000000000000004">
      <c r="A153" s="49" t="s">
        <v>965</v>
      </c>
      <c r="B153" s="49" t="s">
        <v>966</v>
      </c>
      <c r="C153" s="49" t="s">
        <v>229</v>
      </c>
      <c r="D153" s="49" t="s">
        <v>257</v>
      </c>
      <c r="E153" s="68">
        <v>0</v>
      </c>
      <c r="F153" s="68">
        <v>0</v>
      </c>
      <c r="G153" s="68">
        <v>0</v>
      </c>
      <c r="H153" s="68">
        <v>0</v>
      </c>
      <c r="I153" s="68">
        <v>0</v>
      </c>
      <c r="J153" s="68">
        <v>0</v>
      </c>
      <c r="K153" s="68">
        <v>0</v>
      </c>
      <c r="L153" s="68">
        <v>0</v>
      </c>
      <c r="M153" s="68">
        <v>0</v>
      </c>
      <c r="N153" s="68">
        <v>0</v>
      </c>
      <c r="O153" s="68">
        <v>0</v>
      </c>
      <c r="P153" s="96">
        <v>0</v>
      </c>
      <c r="Q153" s="68">
        <v>0</v>
      </c>
      <c r="R153" s="68">
        <v>0</v>
      </c>
      <c r="S153" s="68">
        <v>0</v>
      </c>
      <c r="T153" s="68">
        <v>0</v>
      </c>
      <c r="U153" s="68">
        <v>0</v>
      </c>
      <c r="V153" s="68">
        <v>0</v>
      </c>
      <c r="W153" s="68">
        <v>0</v>
      </c>
      <c r="X153" s="68">
        <v>0</v>
      </c>
      <c r="Y153" s="68">
        <v>0</v>
      </c>
      <c r="Z153" s="68">
        <v>0</v>
      </c>
      <c r="AA153" s="68">
        <v>-627.51</v>
      </c>
      <c r="AB153" s="68">
        <v>0</v>
      </c>
      <c r="AC153" s="68">
        <v>0</v>
      </c>
    </row>
    <row r="154" spans="1:29" x14ac:dyDescent="0.55000000000000004">
      <c r="A154" s="49" t="s">
        <v>412</v>
      </c>
      <c r="B154" s="49" t="s">
        <v>413</v>
      </c>
      <c r="C154" s="49" t="s">
        <v>274</v>
      </c>
      <c r="D154" s="49" t="s">
        <v>257</v>
      </c>
      <c r="E154" s="68">
        <v>-1147</v>
      </c>
      <c r="F154" s="68">
        <v>-1594</v>
      </c>
      <c r="G154" s="68">
        <v>-1852</v>
      </c>
      <c r="H154" s="68">
        <v>-2595</v>
      </c>
      <c r="I154" s="68">
        <v>-1851.5</v>
      </c>
      <c r="J154" s="68">
        <v>0</v>
      </c>
      <c r="K154" s="68">
        <v>-110</v>
      </c>
      <c r="L154" s="68">
        <v>-4342</v>
      </c>
      <c r="M154" s="68">
        <v>0</v>
      </c>
      <c r="N154" s="68">
        <v>0</v>
      </c>
      <c r="O154" s="68">
        <v>-1874</v>
      </c>
      <c r="P154" s="96">
        <v>-4383.82</v>
      </c>
      <c r="Q154" s="68">
        <v>0</v>
      </c>
      <c r="R154" s="68">
        <v>0</v>
      </c>
      <c r="S154" s="68">
        <v>0</v>
      </c>
      <c r="T154" s="68">
        <v>0</v>
      </c>
      <c r="U154" s="68">
        <v>0</v>
      </c>
      <c r="V154" s="68">
        <v>0</v>
      </c>
      <c r="W154" s="68">
        <v>0</v>
      </c>
      <c r="X154" s="68">
        <v>-3889</v>
      </c>
      <c r="Y154" s="68">
        <v>0</v>
      </c>
      <c r="Z154" s="68">
        <v>0</v>
      </c>
      <c r="AA154" s="68">
        <v>0</v>
      </c>
      <c r="AB154" s="68">
        <v>-3742</v>
      </c>
      <c r="AC154" s="68">
        <v>0</v>
      </c>
    </row>
    <row r="155" spans="1:29" x14ac:dyDescent="0.55000000000000004">
      <c r="A155" s="49" t="s">
        <v>925</v>
      </c>
      <c r="B155" s="49" t="s">
        <v>926</v>
      </c>
      <c r="C155" s="49" t="s">
        <v>238</v>
      </c>
      <c r="D155" s="49" t="s">
        <v>414</v>
      </c>
      <c r="E155" s="68">
        <v>0</v>
      </c>
      <c r="F155" s="68">
        <v>0</v>
      </c>
      <c r="G155" s="68">
        <v>0</v>
      </c>
      <c r="H155" s="68">
        <v>0</v>
      </c>
      <c r="I155" s="68">
        <v>0</v>
      </c>
      <c r="J155" s="68">
        <v>0</v>
      </c>
      <c r="K155" s="68">
        <v>0</v>
      </c>
      <c r="L155" s="68">
        <v>0</v>
      </c>
      <c r="M155" s="68">
        <v>4103.26</v>
      </c>
      <c r="N155" s="68">
        <v>0</v>
      </c>
      <c r="O155" s="68">
        <v>0</v>
      </c>
      <c r="P155" s="96">
        <v>0</v>
      </c>
      <c r="Q155" s="68">
        <v>0</v>
      </c>
      <c r="R155" s="68">
        <v>0</v>
      </c>
      <c r="S155" s="68">
        <v>0</v>
      </c>
      <c r="T155" s="68">
        <v>0</v>
      </c>
      <c r="U155" s="68">
        <v>0</v>
      </c>
      <c r="V155" s="68">
        <v>0</v>
      </c>
      <c r="W155" s="68">
        <v>0</v>
      </c>
      <c r="X155" s="68">
        <v>0</v>
      </c>
      <c r="Y155" s="68">
        <v>0</v>
      </c>
      <c r="Z155" s="68">
        <v>0</v>
      </c>
      <c r="AA155" s="68">
        <v>0</v>
      </c>
      <c r="AB155" s="68">
        <v>8636.2900000000009</v>
      </c>
      <c r="AC155" s="68">
        <v>0</v>
      </c>
    </row>
    <row r="156" spans="1:29" x14ac:dyDescent="0.55000000000000004">
      <c r="A156" s="49" t="s">
        <v>415</v>
      </c>
      <c r="B156" s="49" t="s">
        <v>416</v>
      </c>
      <c r="C156" s="49" t="s">
        <v>238</v>
      </c>
      <c r="D156" s="49" t="s">
        <v>414</v>
      </c>
      <c r="E156" s="68">
        <v>0</v>
      </c>
      <c r="F156" s="68">
        <v>0</v>
      </c>
      <c r="G156" s="68">
        <v>0</v>
      </c>
      <c r="H156" s="68">
        <v>-500</v>
      </c>
      <c r="I156" s="68">
        <v>149.19999999999999</v>
      </c>
      <c r="J156" s="68">
        <v>3260</v>
      </c>
      <c r="K156" s="68">
        <v>-0.12</v>
      </c>
      <c r="L156" s="68">
        <v>0</v>
      </c>
      <c r="M156" s="68">
        <v>804.62</v>
      </c>
      <c r="N156" s="68">
        <v>0</v>
      </c>
      <c r="O156" s="68">
        <v>0</v>
      </c>
      <c r="P156" s="96">
        <v>0</v>
      </c>
      <c r="Q156" s="68">
        <v>0</v>
      </c>
      <c r="R156" s="68">
        <v>0</v>
      </c>
      <c r="S156" s="68">
        <v>0</v>
      </c>
      <c r="T156" s="68">
        <v>73.86</v>
      </c>
      <c r="U156" s="68">
        <v>1812.2</v>
      </c>
      <c r="V156" s="68">
        <v>0</v>
      </c>
      <c r="W156" s="68">
        <v>0</v>
      </c>
      <c r="X156" s="68">
        <v>-100</v>
      </c>
      <c r="Y156" s="68">
        <v>146.02000000000001</v>
      </c>
      <c r="Z156" s="68">
        <v>0</v>
      </c>
      <c r="AA156" s="68">
        <v>0</v>
      </c>
      <c r="AB156" s="68">
        <v>13390.92</v>
      </c>
      <c r="AC156" s="68">
        <v>0</v>
      </c>
    </row>
    <row r="157" spans="1:29" x14ac:dyDescent="0.55000000000000004">
      <c r="A157" s="49" t="s">
        <v>417</v>
      </c>
      <c r="B157" s="49" t="s">
        <v>418</v>
      </c>
      <c r="C157" s="49" t="s">
        <v>232</v>
      </c>
      <c r="D157" s="49" t="s">
        <v>414</v>
      </c>
      <c r="E157" s="68">
        <v>-49534.58</v>
      </c>
      <c r="F157" s="68">
        <v>-81579.95</v>
      </c>
      <c r="G157" s="68">
        <v>-93435.53</v>
      </c>
      <c r="H157" s="68">
        <v>-19940.64</v>
      </c>
      <c r="I157" s="68">
        <v>0.01</v>
      </c>
      <c r="J157" s="68">
        <v>-45627.77</v>
      </c>
      <c r="K157" s="68">
        <v>-9172</v>
      </c>
      <c r="L157" s="68">
        <v>-51217.84</v>
      </c>
      <c r="M157" s="68">
        <v>-78515.320000000007</v>
      </c>
      <c r="N157" s="68">
        <v>-46048.19</v>
      </c>
      <c r="O157" s="68">
        <v>-35275.69</v>
      </c>
      <c r="P157" s="96">
        <v>-143547.9</v>
      </c>
      <c r="Q157" s="68">
        <v>-19934</v>
      </c>
      <c r="R157" s="68">
        <v>-15971.2</v>
      </c>
      <c r="S157" s="68">
        <v>-63476.07</v>
      </c>
      <c r="T157" s="68">
        <v>1446.95</v>
      </c>
      <c r="U157" s="68">
        <v>-67968.899999999994</v>
      </c>
      <c r="V157" s="68">
        <v>-73990.710000000006</v>
      </c>
      <c r="W157" s="68">
        <v>-29949.84</v>
      </c>
      <c r="X157" s="68">
        <v>-28866.69</v>
      </c>
      <c r="Y157" s="68">
        <v>-2372.92</v>
      </c>
      <c r="Z157" s="68">
        <v>-22351.68</v>
      </c>
      <c r="AA157" s="68">
        <v>-6961.41</v>
      </c>
      <c r="AB157" s="68">
        <v>842.41</v>
      </c>
      <c r="AC157" s="68">
        <v>0</v>
      </c>
    </row>
    <row r="158" spans="1:29" x14ac:dyDescent="0.55000000000000004">
      <c r="A158" s="49" t="s">
        <v>419</v>
      </c>
      <c r="B158" s="49" t="s">
        <v>420</v>
      </c>
      <c r="C158" s="49" t="s">
        <v>232</v>
      </c>
      <c r="D158" s="49" t="s">
        <v>414</v>
      </c>
      <c r="E158" s="68">
        <v>52856.32</v>
      </c>
      <c r="F158" s="68">
        <v>102384.04</v>
      </c>
      <c r="G158" s="68">
        <v>85054.2</v>
      </c>
      <c r="H158" s="68">
        <v>23687.99</v>
      </c>
      <c r="I158" s="68">
        <v>862.44</v>
      </c>
      <c r="J158" s="68">
        <v>30983.34</v>
      </c>
      <c r="K158" s="68">
        <v>6571.74</v>
      </c>
      <c r="L158" s="68">
        <v>75986.539999999994</v>
      </c>
      <c r="M158" s="68">
        <v>107688.46</v>
      </c>
      <c r="N158" s="68">
        <v>113183.32</v>
      </c>
      <c r="O158" s="68">
        <v>92830.44</v>
      </c>
      <c r="P158" s="96">
        <v>177136.79</v>
      </c>
      <c r="Q158" s="68">
        <v>63850.559999999998</v>
      </c>
      <c r="R158" s="68">
        <v>53556.42</v>
      </c>
      <c r="S158" s="68">
        <v>41479.089999999997</v>
      </c>
      <c r="T158" s="68">
        <v>33089.19</v>
      </c>
      <c r="U158" s="68">
        <v>260791.4</v>
      </c>
      <c r="V158" s="68">
        <v>69111.759999999995</v>
      </c>
      <c r="W158" s="68">
        <v>46487.03</v>
      </c>
      <c r="X158" s="68">
        <v>48563.03</v>
      </c>
      <c r="Y158" s="68">
        <v>25725.98</v>
      </c>
      <c r="Z158" s="68">
        <v>17112.27</v>
      </c>
      <c r="AA158" s="68">
        <v>41595.79</v>
      </c>
      <c r="AB158" s="68">
        <v>320040.09999999998</v>
      </c>
      <c r="AC158" s="68">
        <v>0</v>
      </c>
    </row>
    <row r="159" spans="1:29" x14ac:dyDescent="0.55000000000000004">
      <c r="A159" s="49" t="s">
        <v>905</v>
      </c>
      <c r="B159" s="49" t="s">
        <v>906</v>
      </c>
      <c r="C159" s="49" t="s">
        <v>232</v>
      </c>
      <c r="D159" s="49" t="s">
        <v>414</v>
      </c>
      <c r="E159" s="68">
        <v>0</v>
      </c>
      <c r="F159" s="68">
        <v>0</v>
      </c>
      <c r="G159" s="68">
        <v>0</v>
      </c>
      <c r="H159" s="68">
        <v>0</v>
      </c>
      <c r="I159" s="68">
        <v>0</v>
      </c>
      <c r="J159" s="68">
        <v>0</v>
      </c>
      <c r="K159" s="68">
        <v>0</v>
      </c>
      <c r="L159" s="68">
        <v>0</v>
      </c>
      <c r="M159" s="68">
        <v>0</v>
      </c>
      <c r="N159" s="68">
        <v>0</v>
      </c>
      <c r="O159" s="68">
        <v>0</v>
      </c>
      <c r="P159" s="96">
        <v>0</v>
      </c>
      <c r="Q159" s="68">
        <v>0</v>
      </c>
      <c r="R159" s="68">
        <v>-11738.25</v>
      </c>
      <c r="S159" s="68">
        <v>0</v>
      </c>
      <c r="T159" s="68">
        <v>0</v>
      </c>
      <c r="U159" s="68">
        <v>0</v>
      </c>
      <c r="V159" s="68">
        <v>0</v>
      </c>
      <c r="W159" s="68">
        <v>0</v>
      </c>
      <c r="X159" s="68">
        <v>0</v>
      </c>
      <c r="Y159" s="68">
        <v>0</v>
      </c>
      <c r="Z159" s="68">
        <v>0</v>
      </c>
      <c r="AA159" s="68">
        <v>0</v>
      </c>
      <c r="AB159" s="68">
        <v>580.65</v>
      </c>
      <c r="AC159" s="68">
        <v>0</v>
      </c>
    </row>
    <row r="160" spans="1:29" x14ac:dyDescent="0.55000000000000004">
      <c r="A160" s="49" t="s">
        <v>421</v>
      </c>
      <c r="B160" s="49" t="s">
        <v>422</v>
      </c>
      <c r="C160" s="49" t="s">
        <v>238</v>
      </c>
      <c r="D160" s="49" t="s">
        <v>414</v>
      </c>
      <c r="E160" s="68">
        <v>-374099.74</v>
      </c>
      <c r="F160" s="68">
        <v>-293025.53000000003</v>
      </c>
      <c r="G160" s="68">
        <v>-324381.56</v>
      </c>
      <c r="H160" s="68">
        <v>-313100.59000000003</v>
      </c>
      <c r="I160" s="68">
        <v>-360234.92</v>
      </c>
      <c r="J160" s="68">
        <v>-213035.87</v>
      </c>
      <c r="K160" s="68">
        <v>-395687.87</v>
      </c>
      <c r="L160" s="68">
        <v>-364830.51</v>
      </c>
      <c r="M160" s="68">
        <v>-250904.11</v>
      </c>
      <c r="N160" s="68">
        <v>-316885.3</v>
      </c>
      <c r="O160" s="68">
        <v>-103779.91</v>
      </c>
      <c r="P160" s="96">
        <v>-385499.72</v>
      </c>
      <c r="Q160" s="68">
        <v>-97412.14</v>
      </c>
      <c r="R160" s="68">
        <v>-180174.28</v>
      </c>
      <c r="S160" s="68">
        <v>-260825.68</v>
      </c>
      <c r="T160" s="68">
        <v>-214854.66</v>
      </c>
      <c r="U160" s="68">
        <v>-87809.99</v>
      </c>
      <c r="V160" s="68">
        <v>-268990.52</v>
      </c>
      <c r="W160" s="68">
        <v>-306375.81</v>
      </c>
      <c r="X160" s="68">
        <v>-206392.94</v>
      </c>
      <c r="Y160" s="68">
        <v>-207212.32</v>
      </c>
      <c r="Z160" s="68">
        <v>-265980.53000000003</v>
      </c>
      <c r="AA160" s="68">
        <v>-163173.24</v>
      </c>
      <c r="AB160" s="68">
        <v>-57927.95</v>
      </c>
      <c r="AC160" s="68">
        <v>0</v>
      </c>
    </row>
    <row r="161" spans="1:29" x14ac:dyDescent="0.55000000000000004">
      <c r="A161" s="49" t="s">
        <v>423</v>
      </c>
      <c r="B161" s="49" t="s">
        <v>424</v>
      </c>
      <c r="C161" s="49" t="s">
        <v>238</v>
      </c>
      <c r="D161" s="49" t="s">
        <v>414</v>
      </c>
      <c r="E161" s="68">
        <v>347260.66</v>
      </c>
      <c r="F161" s="68">
        <v>213795.78</v>
      </c>
      <c r="G161" s="68">
        <v>269222.28000000003</v>
      </c>
      <c r="H161" s="68">
        <v>176492.38</v>
      </c>
      <c r="I161" s="68">
        <v>269803.90000000002</v>
      </c>
      <c r="J161" s="68">
        <v>402963.96</v>
      </c>
      <c r="K161" s="68">
        <v>303108.53999999998</v>
      </c>
      <c r="L161" s="68">
        <v>254341.08</v>
      </c>
      <c r="M161" s="68">
        <v>227418.58</v>
      </c>
      <c r="N161" s="68">
        <v>261748.97</v>
      </c>
      <c r="O161" s="68">
        <v>136058.74</v>
      </c>
      <c r="P161" s="96">
        <v>353945.18</v>
      </c>
      <c r="Q161" s="68">
        <v>69183.240000000005</v>
      </c>
      <c r="R161" s="68">
        <v>117385.62</v>
      </c>
      <c r="S161" s="68">
        <v>165843.44</v>
      </c>
      <c r="T161" s="68">
        <v>177865.59</v>
      </c>
      <c r="U161" s="68">
        <v>259566.22</v>
      </c>
      <c r="V161" s="68">
        <v>168918.44</v>
      </c>
      <c r="W161" s="68">
        <v>184220.07</v>
      </c>
      <c r="X161" s="68">
        <v>168243.7</v>
      </c>
      <c r="Y161" s="68">
        <v>221123.48</v>
      </c>
      <c r="Z161" s="68">
        <v>240870.5</v>
      </c>
      <c r="AA161" s="68">
        <v>174679.6</v>
      </c>
      <c r="AB161" s="68">
        <v>42746.57</v>
      </c>
      <c r="AC161" s="68">
        <v>0</v>
      </c>
    </row>
    <row r="162" spans="1:29" x14ac:dyDescent="0.55000000000000004">
      <c r="A162" s="49" t="s">
        <v>425</v>
      </c>
      <c r="B162" s="49" t="s">
        <v>426</v>
      </c>
      <c r="C162" s="49" t="s">
        <v>238</v>
      </c>
      <c r="D162" s="49" t="s">
        <v>414</v>
      </c>
      <c r="E162" s="68">
        <v>20824.34</v>
      </c>
      <c r="F162" s="68">
        <v>46957</v>
      </c>
      <c r="G162" s="68">
        <v>45219.32</v>
      </c>
      <c r="H162" s="68">
        <v>13626.02</v>
      </c>
      <c r="I162" s="68">
        <v>13286.87</v>
      </c>
      <c r="J162" s="68">
        <v>4530.25</v>
      </c>
      <c r="K162" s="68">
        <v>20638</v>
      </c>
      <c r="L162" s="68">
        <v>21219.33</v>
      </c>
      <c r="M162" s="68">
        <v>6814.61</v>
      </c>
      <c r="N162" s="68">
        <v>13251.87</v>
      </c>
      <c r="O162" s="68">
        <v>7060.21</v>
      </c>
      <c r="P162" s="96">
        <v>0</v>
      </c>
      <c r="Q162" s="68">
        <v>29809.85</v>
      </c>
      <c r="R162" s="68">
        <v>2974.11</v>
      </c>
      <c r="S162" s="68">
        <v>12416.33</v>
      </c>
      <c r="T162" s="68">
        <v>6249.8</v>
      </c>
      <c r="U162" s="68">
        <v>8377.9599999999991</v>
      </c>
      <c r="V162" s="68">
        <v>935.59</v>
      </c>
      <c r="W162" s="68">
        <v>12123.07</v>
      </c>
      <c r="X162" s="68">
        <v>13977.7</v>
      </c>
      <c r="Y162" s="68">
        <v>10081.23</v>
      </c>
      <c r="Z162" s="68">
        <v>27629.38</v>
      </c>
      <c r="AA162" s="68">
        <v>12042.57</v>
      </c>
      <c r="AB162" s="68">
        <v>342.31</v>
      </c>
      <c r="AC162" s="68">
        <v>0</v>
      </c>
    </row>
    <row r="163" spans="1:29" x14ac:dyDescent="0.55000000000000004">
      <c r="A163" s="49" t="s">
        <v>427</v>
      </c>
      <c r="B163" s="49" t="s">
        <v>428</v>
      </c>
      <c r="C163" s="49" t="s">
        <v>241</v>
      </c>
      <c r="D163" s="49" t="s">
        <v>414</v>
      </c>
      <c r="E163" s="68">
        <v>8189.37</v>
      </c>
      <c r="F163" s="68">
        <v>1057.42</v>
      </c>
      <c r="G163" s="68">
        <v>105733.1</v>
      </c>
      <c r="H163" s="68">
        <v>6667.8</v>
      </c>
      <c r="I163" s="68">
        <v>-2993.4</v>
      </c>
      <c r="J163" s="68">
        <v>7913.7</v>
      </c>
      <c r="K163" s="68">
        <v>9226.99</v>
      </c>
      <c r="L163" s="68">
        <v>-1003.95</v>
      </c>
      <c r="M163" s="68">
        <v>15900.16</v>
      </c>
      <c r="N163" s="68">
        <v>65968.479999999996</v>
      </c>
      <c r="O163" s="68">
        <v>11003.44</v>
      </c>
      <c r="P163" s="96">
        <v>1778.94</v>
      </c>
      <c r="Q163" s="68">
        <v>117158.27</v>
      </c>
      <c r="R163" s="68">
        <v>121048.2</v>
      </c>
      <c r="S163" s="68">
        <v>2278.08</v>
      </c>
      <c r="T163" s="68">
        <v>39965.519999999997</v>
      </c>
      <c r="U163" s="68">
        <v>6016.64</v>
      </c>
      <c r="V163" s="68">
        <v>38842.980000000003</v>
      </c>
      <c r="W163" s="68">
        <v>10153.77</v>
      </c>
      <c r="X163" s="68">
        <v>86965.759999999995</v>
      </c>
      <c r="Y163" s="68">
        <v>226698.28</v>
      </c>
      <c r="Z163" s="68">
        <v>151641.95000000001</v>
      </c>
      <c r="AA163" s="68">
        <v>107264.42</v>
      </c>
      <c r="AB163" s="68">
        <v>286669.11</v>
      </c>
      <c r="AC163" s="68">
        <v>0</v>
      </c>
    </row>
    <row r="164" spans="1:29" x14ac:dyDescent="0.55000000000000004">
      <c r="A164" s="49" t="s">
        <v>429</v>
      </c>
      <c r="B164" s="49" t="s">
        <v>430</v>
      </c>
      <c r="C164" s="49" t="s">
        <v>241</v>
      </c>
      <c r="D164" s="49" t="s">
        <v>414</v>
      </c>
      <c r="E164" s="68">
        <v>27022.54</v>
      </c>
      <c r="F164" s="68">
        <v>26774.400000000001</v>
      </c>
      <c r="G164" s="68">
        <v>0.85</v>
      </c>
      <c r="H164" s="68">
        <v>17227.310000000001</v>
      </c>
      <c r="I164" s="68">
        <v>40164.79</v>
      </c>
      <c r="J164" s="68">
        <v>0</v>
      </c>
      <c r="K164" s="68">
        <v>35114.94</v>
      </c>
      <c r="L164" s="68">
        <v>-12326.88</v>
      </c>
      <c r="M164" s="68">
        <v>0</v>
      </c>
      <c r="N164" s="68">
        <v>0</v>
      </c>
      <c r="O164" s="68">
        <v>41664.92</v>
      </c>
      <c r="P164" s="96">
        <v>17294.439999999999</v>
      </c>
      <c r="Q164" s="68">
        <v>0</v>
      </c>
      <c r="R164" s="68">
        <v>0</v>
      </c>
      <c r="S164" s="68">
        <v>88857.29</v>
      </c>
      <c r="T164" s="68">
        <v>0</v>
      </c>
      <c r="U164" s="68">
        <v>0</v>
      </c>
      <c r="V164" s="68">
        <v>0</v>
      </c>
      <c r="W164" s="68">
        <v>77404.850000000006</v>
      </c>
      <c r="X164" s="68">
        <v>0</v>
      </c>
      <c r="Y164" s="68">
        <v>12</v>
      </c>
      <c r="Z164" s="68">
        <v>0</v>
      </c>
      <c r="AA164" s="68">
        <v>0</v>
      </c>
      <c r="AB164" s="68">
        <v>0</v>
      </c>
      <c r="AC164" s="68">
        <v>0</v>
      </c>
    </row>
    <row r="165" spans="1:29" x14ac:dyDescent="0.55000000000000004">
      <c r="A165" s="49" t="s">
        <v>431</v>
      </c>
      <c r="B165" s="49" t="s">
        <v>432</v>
      </c>
      <c r="C165" s="49" t="s">
        <v>241</v>
      </c>
      <c r="D165" s="49" t="s">
        <v>414</v>
      </c>
      <c r="E165" s="68">
        <v>0</v>
      </c>
      <c r="F165" s="68">
        <v>0</v>
      </c>
      <c r="G165" s="68">
        <v>0</v>
      </c>
      <c r="H165" s="68">
        <v>0</v>
      </c>
      <c r="I165" s="68">
        <v>0</v>
      </c>
      <c r="J165" s="68">
        <v>0</v>
      </c>
      <c r="K165" s="68">
        <v>0</v>
      </c>
      <c r="L165" s="68">
        <v>0</v>
      </c>
      <c r="M165" s="68">
        <v>0</v>
      </c>
      <c r="N165" s="68">
        <v>0</v>
      </c>
      <c r="O165" s="68">
        <v>0</v>
      </c>
      <c r="P165" s="96">
        <v>0</v>
      </c>
      <c r="Q165" s="68">
        <v>0</v>
      </c>
      <c r="R165" s="68">
        <v>0</v>
      </c>
      <c r="S165" s="68">
        <v>0</v>
      </c>
      <c r="T165" s="68">
        <v>0</v>
      </c>
      <c r="U165" s="68">
        <v>0</v>
      </c>
      <c r="V165" s="68">
        <v>0</v>
      </c>
      <c r="W165" s="68">
        <v>0</v>
      </c>
      <c r="X165" s="68">
        <v>0</v>
      </c>
      <c r="Y165" s="68">
        <v>0</v>
      </c>
      <c r="Z165" s="68">
        <v>0</v>
      </c>
      <c r="AA165" s="68">
        <v>0</v>
      </c>
      <c r="AB165" s="68">
        <v>191253.25</v>
      </c>
      <c r="AC165" s="68">
        <v>0</v>
      </c>
    </row>
    <row r="166" spans="1:29" x14ac:dyDescent="0.55000000000000004">
      <c r="A166" s="49" t="s">
        <v>433</v>
      </c>
      <c r="B166" s="49" t="s">
        <v>434</v>
      </c>
      <c r="C166" s="49" t="s">
        <v>241</v>
      </c>
      <c r="D166" s="49" t="s">
        <v>414</v>
      </c>
      <c r="E166" s="68">
        <v>5144.96</v>
      </c>
      <c r="F166" s="68">
        <v>3029.68</v>
      </c>
      <c r="G166" s="68">
        <v>6274.89</v>
      </c>
      <c r="H166" s="68">
        <v>1336.82</v>
      </c>
      <c r="I166" s="68">
        <v>150.24</v>
      </c>
      <c r="J166" s="68">
        <v>0</v>
      </c>
      <c r="K166" s="68">
        <v>409.18</v>
      </c>
      <c r="L166" s="68">
        <v>10133.780000000001</v>
      </c>
      <c r="M166" s="68">
        <v>1672.28</v>
      </c>
      <c r="N166" s="68">
        <v>2397.2399999999998</v>
      </c>
      <c r="O166" s="68">
        <v>3793.34</v>
      </c>
      <c r="P166" s="96">
        <v>59.4</v>
      </c>
      <c r="Q166" s="68">
        <v>11485.48</v>
      </c>
      <c r="R166" s="68">
        <v>-586.75</v>
      </c>
      <c r="S166" s="68">
        <v>289.3</v>
      </c>
      <c r="T166" s="68">
        <v>1083.82</v>
      </c>
      <c r="U166" s="68">
        <v>1123.27</v>
      </c>
      <c r="V166" s="68">
        <v>7592</v>
      </c>
      <c r="W166" s="68">
        <v>8572.98</v>
      </c>
      <c r="X166" s="68">
        <v>18450.03</v>
      </c>
      <c r="Y166" s="68">
        <v>9386.56</v>
      </c>
      <c r="Z166" s="68">
        <v>6657.42</v>
      </c>
      <c r="AA166" s="68">
        <v>21644.86</v>
      </c>
      <c r="AB166" s="68">
        <v>723.88</v>
      </c>
      <c r="AC166" s="68">
        <v>0</v>
      </c>
    </row>
    <row r="167" spans="1:29" x14ac:dyDescent="0.55000000000000004">
      <c r="A167" s="49" t="s">
        <v>435</v>
      </c>
      <c r="B167" s="49" t="s">
        <v>436</v>
      </c>
      <c r="C167" s="49" t="s">
        <v>235</v>
      </c>
      <c r="D167" s="49" t="s">
        <v>414</v>
      </c>
      <c r="E167" s="68">
        <v>0</v>
      </c>
      <c r="F167" s="68">
        <v>0</v>
      </c>
      <c r="G167" s="68">
        <v>0</v>
      </c>
      <c r="H167" s="68">
        <v>0</v>
      </c>
      <c r="I167" s="68">
        <v>0</v>
      </c>
      <c r="J167" s="68">
        <v>0</v>
      </c>
      <c r="K167" s="68">
        <v>0</v>
      </c>
      <c r="L167" s="68">
        <v>0</v>
      </c>
      <c r="M167" s="68">
        <v>0</v>
      </c>
      <c r="N167" s="68">
        <v>0</v>
      </c>
      <c r="O167" s="68">
        <v>0</v>
      </c>
      <c r="P167" s="96">
        <v>0</v>
      </c>
      <c r="Q167" s="68">
        <v>105311.06</v>
      </c>
      <c r="R167" s="68">
        <v>0</v>
      </c>
      <c r="S167" s="68">
        <v>19101.11</v>
      </c>
      <c r="T167" s="68">
        <v>0</v>
      </c>
      <c r="U167" s="68">
        <v>0</v>
      </c>
      <c r="V167" s="68">
        <v>0</v>
      </c>
      <c r="W167" s="68">
        <v>0</v>
      </c>
      <c r="X167" s="68">
        <v>-784.8</v>
      </c>
      <c r="Y167" s="68">
        <v>0</v>
      </c>
      <c r="Z167" s="68">
        <v>0</v>
      </c>
      <c r="AA167" s="68">
        <v>5332.62</v>
      </c>
      <c r="AB167" s="68">
        <v>0</v>
      </c>
      <c r="AC167" s="68">
        <v>0</v>
      </c>
    </row>
    <row r="168" spans="1:29" x14ac:dyDescent="0.55000000000000004">
      <c r="A168" s="49" t="s">
        <v>437</v>
      </c>
      <c r="B168" s="49" t="s">
        <v>438</v>
      </c>
      <c r="C168" s="49" t="s">
        <v>232</v>
      </c>
      <c r="D168" s="49" t="s">
        <v>414</v>
      </c>
      <c r="E168" s="68">
        <v>3093.32</v>
      </c>
      <c r="F168" s="68">
        <v>23209.8</v>
      </c>
      <c r="G168" s="68">
        <v>-4.3899999999999997</v>
      </c>
      <c r="H168" s="68">
        <v>5720.66</v>
      </c>
      <c r="I168" s="68">
        <v>4330.3900000000003</v>
      </c>
      <c r="J168" s="68">
        <v>0</v>
      </c>
      <c r="K168" s="68">
        <v>602.96</v>
      </c>
      <c r="L168" s="68">
        <v>21201.81</v>
      </c>
      <c r="M168" s="68">
        <v>0</v>
      </c>
      <c r="N168" s="68">
        <v>0</v>
      </c>
      <c r="O168" s="68">
        <v>-3146.95</v>
      </c>
      <c r="P168" s="96">
        <v>358.6</v>
      </c>
      <c r="Q168" s="68">
        <v>0</v>
      </c>
      <c r="R168" s="68">
        <v>0</v>
      </c>
      <c r="S168" s="68">
        <v>5772.92</v>
      </c>
      <c r="T168" s="68">
        <v>0</v>
      </c>
      <c r="U168" s="68">
        <v>0</v>
      </c>
      <c r="V168" s="68">
        <v>0</v>
      </c>
      <c r="W168" s="68">
        <v>8899.2800000000007</v>
      </c>
      <c r="X168" s="68">
        <v>0</v>
      </c>
      <c r="Y168" s="68">
        <v>1193.72</v>
      </c>
      <c r="Z168" s="68">
        <v>0</v>
      </c>
      <c r="AA168" s="68">
        <v>0</v>
      </c>
      <c r="AB168" s="68">
        <v>0</v>
      </c>
      <c r="AC168" s="68">
        <v>0</v>
      </c>
    </row>
    <row r="169" spans="1:29" x14ac:dyDescent="0.55000000000000004">
      <c r="A169" s="49" t="s">
        <v>439</v>
      </c>
      <c r="B169" s="49" t="s">
        <v>440</v>
      </c>
      <c r="C169" s="49" t="s">
        <v>235</v>
      </c>
      <c r="D169" s="49" t="s">
        <v>414</v>
      </c>
      <c r="E169" s="68">
        <v>0</v>
      </c>
      <c r="F169" s="68">
        <v>0</v>
      </c>
      <c r="G169" s="68">
        <v>0</v>
      </c>
      <c r="H169" s="68">
        <v>0</v>
      </c>
      <c r="I169" s="68">
        <v>0</v>
      </c>
      <c r="J169" s="68">
        <v>0</v>
      </c>
      <c r="K169" s="68">
        <v>0</v>
      </c>
      <c r="L169" s="68">
        <v>0</v>
      </c>
      <c r="M169" s="68">
        <v>0</v>
      </c>
      <c r="N169" s="68">
        <v>0</v>
      </c>
      <c r="O169" s="68">
        <v>0</v>
      </c>
      <c r="P169" s="96">
        <v>0</v>
      </c>
      <c r="Q169" s="68">
        <v>8591.66</v>
      </c>
      <c r="R169" s="68">
        <v>0</v>
      </c>
      <c r="S169" s="68">
        <v>4715.8599999999997</v>
      </c>
      <c r="T169" s="68">
        <v>0</v>
      </c>
      <c r="U169" s="68">
        <v>0</v>
      </c>
      <c r="V169" s="68">
        <v>0</v>
      </c>
      <c r="W169" s="68">
        <v>0</v>
      </c>
      <c r="X169" s="68">
        <v>11169.16</v>
      </c>
      <c r="Y169" s="68">
        <v>0</v>
      </c>
      <c r="Z169" s="68">
        <v>0</v>
      </c>
      <c r="AA169" s="68">
        <v>16119.3</v>
      </c>
      <c r="AB169" s="68">
        <v>0</v>
      </c>
      <c r="AC169" s="68">
        <v>0</v>
      </c>
    </row>
    <row r="170" spans="1:29" x14ac:dyDescent="0.55000000000000004">
      <c r="A170" s="49" t="s">
        <v>441</v>
      </c>
      <c r="B170" s="49" t="s">
        <v>442</v>
      </c>
      <c r="C170" s="49" t="s">
        <v>244</v>
      </c>
      <c r="D170" s="49" t="s">
        <v>414</v>
      </c>
      <c r="E170" s="68">
        <v>5632.9</v>
      </c>
      <c r="F170" s="68">
        <v>1248.56</v>
      </c>
      <c r="G170" s="68">
        <v>8399.4500000000007</v>
      </c>
      <c r="H170" s="68">
        <v>0</v>
      </c>
      <c r="I170" s="68">
        <v>1492.06</v>
      </c>
      <c r="J170" s="68">
        <v>0</v>
      </c>
      <c r="K170" s="68">
        <v>4958.1899999999996</v>
      </c>
      <c r="L170" s="68">
        <v>-991.4</v>
      </c>
      <c r="M170" s="68">
        <v>438.71</v>
      </c>
      <c r="N170" s="68">
        <v>-18600</v>
      </c>
      <c r="O170" s="68">
        <v>0</v>
      </c>
      <c r="P170" s="96">
        <v>-1231.02</v>
      </c>
      <c r="Q170" s="68">
        <v>17319.650000000001</v>
      </c>
      <c r="R170" s="68">
        <v>0</v>
      </c>
      <c r="S170" s="68">
        <v>9071.64</v>
      </c>
      <c r="T170" s="68">
        <v>6387.48</v>
      </c>
      <c r="U170" s="68">
        <v>0</v>
      </c>
      <c r="V170" s="68">
        <v>0</v>
      </c>
      <c r="W170" s="68">
        <v>0</v>
      </c>
      <c r="X170" s="68">
        <v>812.97</v>
      </c>
      <c r="Y170" s="68">
        <v>10521.28</v>
      </c>
      <c r="Z170" s="68">
        <v>2636.01</v>
      </c>
      <c r="AA170" s="68">
        <v>815.61</v>
      </c>
      <c r="AB170" s="68">
        <v>0</v>
      </c>
      <c r="AC170" s="68">
        <v>0</v>
      </c>
    </row>
    <row r="171" spans="1:29" x14ac:dyDescent="0.55000000000000004">
      <c r="A171" s="49" t="s">
        <v>443</v>
      </c>
      <c r="B171" s="49" t="s">
        <v>444</v>
      </c>
      <c r="C171" s="49" t="s">
        <v>244</v>
      </c>
      <c r="D171" s="49" t="s">
        <v>414</v>
      </c>
      <c r="E171" s="68">
        <v>0</v>
      </c>
      <c r="F171" s="68">
        <v>0</v>
      </c>
      <c r="G171" s="68">
        <v>0</v>
      </c>
      <c r="H171" s="68">
        <v>0</v>
      </c>
      <c r="I171" s="68">
        <v>77.5</v>
      </c>
      <c r="J171" s="68">
        <v>0</v>
      </c>
      <c r="K171" s="68">
        <v>0</v>
      </c>
      <c r="L171" s="68">
        <v>32890.18</v>
      </c>
      <c r="M171" s="68">
        <v>0</v>
      </c>
      <c r="N171" s="68">
        <v>0</v>
      </c>
      <c r="O171" s="68">
        <v>0</v>
      </c>
      <c r="P171" s="96">
        <v>0</v>
      </c>
      <c r="Q171" s="68">
        <v>0</v>
      </c>
      <c r="R171" s="68">
        <v>0</v>
      </c>
      <c r="S171" s="68">
        <v>606.30999999999995</v>
      </c>
      <c r="T171" s="68">
        <v>42.24</v>
      </c>
      <c r="U171" s="68">
        <v>0</v>
      </c>
      <c r="V171" s="68">
        <v>0</v>
      </c>
      <c r="W171" s="68">
        <v>0</v>
      </c>
      <c r="X171" s="68">
        <v>0</v>
      </c>
      <c r="Y171" s="68">
        <v>757.99</v>
      </c>
      <c r="Z171" s="68">
        <v>0</v>
      </c>
      <c r="AA171" s="68">
        <v>218.39</v>
      </c>
      <c r="AB171" s="68">
        <v>0</v>
      </c>
      <c r="AC171" s="68">
        <v>0</v>
      </c>
    </row>
    <row r="172" spans="1:29" x14ac:dyDescent="0.55000000000000004">
      <c r="A172" s="49" t="s">
        <v>445</v>
      </c>
      <c r="B172" s="49" t="s">
        <v>446</v>
      </c>
      <c r="C172" s="49" t="s">
        <v>232</v>
      </c>
      <c r="D172" s="49" t="s">
        <v>414</v>
      </c>
      <c r="E172" s="68">
        <v>372</v>
      </c>
      <c r="F172" s="68">
        <v>1594</v>
      </c>
      <c r="G172" s="68">
        <v>1852</v>
      </c>
      <c r="H172" s="68">
        <v>2006</v>
      </c>
      <c r="I172" s="68">
        <v>1851.5</v>
      </c>
      <c r="J172" s="68">
        <v>0</v>
      </c>
      <c r="K172" s="68">
        <v>110</v>
      </c>
      <c r="L172" s="68">
        <v>4342</v>
      </c>
      <c r="M172" s="68">
        <v>0</v>
      </c>
      <c r="N172" s="68">
        <v>0</v>
      </c>
      <c r="O172" s="68">
        <v>1874</v>
      </c>
      <c r="P172" s="96">
        <v>4383.82</v>
      </c>
      <c r="Q172" s="68">
        <v>0</v>
      </c>
      <c r="R172" s="68">
        <v>0</v>
      </c>
      <c r="S172" s="68">
        <v>0</v>
      </c>
      <c r="T172" s="68">
        <v>0</v>
      </c>
      <c r="U172" s="68">
        <v>0</v>
      </c>
      <c r="V172" s="68">
        <v>0</v>
      </c>
      <c r="W172" s="68">
        <v>0</v>
      </c>
      <c r="X172" s="68">
        <v>3637</v>
      </c>
      <c r="Y172" s="68">
        <v>0</v>
      </c>
      <c r="Z172" s="68">
        <v>0</v>
      </c>
      <c r="AA172" s="68">
        <v>0</v>
      </c>
      <c r="AB172" s="68">
        <v>0</v>
      </c>
      <c r="AC172" s="68">
        <v>0</v>
      </c>
    </row>
    <row r="173" spans="1:29" x14ac:dyDescent="0.55000000000000004">
      <c r="A173" s="49" t="s">
        <v>907</v>
      </c>
      <c r="B173" s="49" t="s">
        <v>908</v>
      </c>
      <c r="C173" s="49" t="s">
        <v>447</v>
      </c>
      <c r="D173" s="49" t="s">
        <v>147</v>
      </c>
      <c r="E173" s="68">
        <v>0</v>
      </c>
      <c r="F173" s="68">
        <v>0</v>
      </c>
      <c r="G173" s="68">
        <v>0</v>
      </c>
      <c r="H173" s="68">
        <v>0</v>
      </c>
      <c r="I173" s="68">
        <v>0</v>
      </c>
      <c r="J173" s="68">
        <v>0</v>
      </c>
      <c r="K173" s="68">
        <v>0</v>
      </c>
      <c r="L173" s="68">
        <v>0</v>
      </c>
      <c r="M173" s="68">
        <v>-34.32</v>
      </c>
      <c r="N173" s="68">
        <v>0</v>
      </c>
      <c r="O173" s="68">
        <v>0</v>
      </c>
      <c r="P173" s="96">
        <v>0</v>
      </c>
      <c r="Q173" s="68">
        <v>0</v>
      </c>
      <c r="R173" s="68">
        <v>0</v>
      </c>
      <c r="S173" s="68">
        <v>0</v>
      </c>
      <c r="T173" s="68">
        <v>0</v>
      </c>
      <c r="U173" s="68">
        <v>0</v>
      </c>
      <c r="V173" s="68">
        <v>0</v>
      </c>
      <c r="W173" s="68">
        <v>0</v>
      </c>
      <c r="X173" s="68">
        <v>0</v>
      </c>
      <c r="Y173" s="68">
        <v>0</v>
      </c>
      <c r="Z173" s="68">
        <v>0</v>
      </c>
      <c r="AA173" s="68">
        <v>0</v>
      </c>
      <c r="AB173" s="68">
        <v>0</v>
      </c>
      <c r="AC173" s="68">
        <v>0</v>
      </c>
    </row>
    <row r="174" spans="1:29" x14ac:dyDescent="0.55000000000000004">
      <c r="A174" s="49" t="s">
        <v>448</v>
      </c>
      <c r="B174" s="49" t="s">
        <v>449</v>
      </c>
      <c r="C174" s="49" t="s">
        <v>447</v>
      </c>
      <c r="D174" s="49" t="s">
        <v>147</v>
      </c>
      <c r="E174" s="68">
        <v>0</v>
      </c>
      <c r="F174" s="68">
        <v>0</v>
      </c>
      <c r="G174" s="68">
        <v>0</v>
      </c>
      <c r="H174" s="68">
        <v>0</v>
      </c>
      <c r="I174" s="68">
        <v>0</v>
      </c>
      <c r="J174" s="68">
        <v>0</v>
      </c>
      <c r="K174" s="68">
        <v>0</v>
      </c>
      <c r="L174" s="68">
        <v>0</v>
      </c>
      <c r="M174" s="68">
        <v>0</v>
      </c>
      <c r="N174" s="68">
        <v>0</v>
      </c>
      <c r="O174" s="68">
        <v>0</v>
      </c>
      <c r="P174" s="96">
        <v>0</v>
      </c>
      <c r="Q174" s="68">
        <v>0</v>
      </c>
      <c r="R174" s="68">
        <v>0</v>
      </c>
      <c r="S174" s="68">
        <v>0</v>
      </c>
      <c r="T174" s="68">
        <v>0</v>
      </c>
      <c r="U174" s="68">
        <v>0</v>
      </c>
      <c r="V174" s="68">
        <v>0</v>
      </c>
      <c r="W174" s="68">
        <v>0</v>
      </c>
      <c r="X174" s="68">
        <v>0</v>
      </c>
      <c r="Y174" s="68">
        <v>0</v>
      </c>
      <c r="Z174" s="68">
        <v>-240</v>
      </c>
      <c r="AA174" s="68">
        <v>0</v>
      </c>
      <c r="AB174" s="68">
        <v>1220</v>
      </c>
      <c r="AC174" s="68">
        <v>0</v>
      </c>
    </row>
    <row r="175" spans="1:29" x14ac:dyDescent="0.55000000000000004">
      <c r="A175" s="49" t="s">
        <v>450</v>
      </c>
      <c r="B175" s="49" t="s">
        <v>451</v>
      </c>
      <c r="C175" s="49" t="s">
        <v>452</v>
      </c>
      <c r="D175" s="49" t="s">
        <v>147</v>
      </c>
      <c r="E175" s="68">
        <v>0</v>
      </c>
      <c r="F175" s="68">
        <v>-187.92</v>
      </c>
      <c r="G175" s="68">
        <v>-5.59</v>
      </c>
      <c r="H175" s="68">
        <v>-45.23</v>
      </c>
      <c r="I175" s="68">
        <v>-15.1</v>
      </c>
      <c r="J175" s="68">
        <v>0</v>
      </c>
      <c r="K175" s="68">
        <v>-930.09</v>
      </c>
      <c r="L175" s="68">
        <v>-508.53</v>
      </c>
      <c r="M175" s="68">
        <v>-0.17</v>
      </c>
      <c r="N175" s="68">
        <v>0</v>
      </c>
      <c r="O175" s="68">
        <v>0</v>
      </c>
      <c r="P175" s="96">
        <v>-16.04</v>
      </c>
      <c r="Q175" s="68">
        <v>0</v>
      </c>
      <c r="R175" s="68">
        <v>-2.2999999999999998</v>
      </c>
      <c r="S175" s="68">
        <v>0</v>
      </c>
      <c r="T175" s="68">
        <v>0</v>
      </c>
      <c r="U175" s="68">
        <v>-177.5</v>
      </c>
      <c r="V175" s="68">
        <v>0</v>
      </c>
      <c r="W175" s="68">
        <v>-10.199999999999999</v>
      </c>
      <c r="X175" s="68">
        <v>-116.53</v>
      </c>
      <c r="Y175" s="68">
        <v>0</v>
      </c>
      <c r="Z175" s="68">
        <v>0</v>
      </c>
      <c r="AA175" s="68">
        <v>0</v>
      </c>
      <c r="AB175" s="68">
        <v>1399.95</v>
      </c>
      <c r="AC175" s="68">
        <v>0</v>
      </c>
    </row>
    <row r="176" spans="1:29" x14ac:dyDescent="0.55000000000000004">
      <c r="A176" s="49" t="s">
        <v>453</v>
      </c>
      <c r="B176" s="49" t="s">
        <v>454</v>
      </c>
      <c r="C176" s="49" t="s">
        <v>229</v>
      </c>
      <c r="D176" s="49" t="s">
        <v>257</v>
      </c>
      <c r="E176" s="68">
        <v>0</v>
      </c>
      <c r="F176" s="68">
        <v>0</v>
      </c>
      <c r="G176" s="68">
        <v>0</v>
      </c>
      <c r="H176" s="68">
        <v>0</v>
      </c>
      <c r="I176" s="68">
        <v>0</v>
      </c>
      <c r="J176" s="68">
        <v>0</v>
      </c>
      <c r="K176" s="68">
        <v>0</v>
      </c>
      <c r="L176" s="68">
        <v>0</v>
      </c>
      <c r="M176" s="68">
        <v>0</v>
      </c>
      <c r="N176" s="68">
        <v>0</v>
      </c>
      <c r="O176" s="68">
        <v>0</v>
      </c>
      <c r="P176" s="96">
        <v>0</v>
      </c>
      <c r="Q176" s="68">
        <v>-165</v>
      </c>
      <c r="R176" s="68">
        <v>0</v>
      </c>
      <c r="S176" s="68">
        <v>0</v>
      </c>
      <c r="T176" s="68">
        <v>0</v>
      </c>
      <c r="U176" s="68">
        <v>-185</v>
      </c>
      <c r="V176" s="68">
        <v>0</v>
      </c>
      <c r="W176" s="68">
        <v>0</v>
      </c>
      <c r="X176" s="68">
        <v>0</v>
      </c>
      <c r="Y176" s="68">
        <v>0</v>
      </c>
      <c r="Z176" s="68">
        <v>0</v>
      </c>
      <c r="AA176" s="68">
        <v>0</v>
      </c>
      <c r="AB176" s="68">
        <v>0</v>
      </c>
      <c r="AC176" s="68">
        <v>0</v>
      </c>
    </row>
    <row r="177" spans="1:29" x14ac:dyDescent="0.55000000000000004">
      <c r="A177" s="49" t="s">
        <v>946</v>
      </c>
      <c r="B177" s="49" t="s">
        <v>947</v>
      </c>
      <c r="C177" s="49" t="s">
        <v>447</v>
      </c>
      <c r="D177" s="49">
        <v>0</v>
      </c>
      <c r="E177" s="68">
        <v>0</v>
      </c>
      <c r="F177" s="68">
        <v>0</v>
      </c>
      <c r="G177" s="68">
        <v>0</v>
      </c>
      <c r="H177" s="68">
        <v>0</v>
      </c>
      <c r="I177" s="68">
        <v>0</v>
      </c>
      <c r="J177" s="68">
        <v>0</v>
      </c>
      <c r="K177" s="68">
        <v>0</v>
      </c>
      <c r="L177" s="68">
        <v>0</v>
      </c>
      <c r="M177" s="68">
        <v>0</v>
      </c>
      <c r="N177" s="68">
        <v>0</v>
      </c>
      <c r="O177" s="68">
        <v>0</v>
      </c>
      <c r="P177" s="96">
        <v>0</v>
      </c>
      <c r="Q177" s="68">
        <v>0</v>
      </c>
      <c r="R177" s="68">
        <v>0</v>
      </c>
      <c r="S177" s="68">
        <v>0</v>
      </c>
      <c r="T177" s="68">
        <v>0</v>
      </c>
      <c r="U177" s="68">
        <v>0</v>
      </c>
      <c r="V177" s="68">
        <v>0</v>
      </c>
      <c r="W177" s="68">
        <v>0</v>
      </c>
      <c r="X177" s="68">
        <v>0</v>
      </c>
      <c r="Y177" s="68">
        <v>-21466.28</v>
      </c>
      <c r="Z177" s="68">
        <v>0</v>
      </c>
      <c r="AA177" s="68">
        <v>0</v>
      </c>
      <c r="AB177" s="68">
        <v>0</v>
      </c>
      <c r="AC177" s="68">
        <v>0</v>
      </c>
    </row>
    <row r="178" spans="1:29" x14ac:dyDescent="0.55000000000000004">
      <c r="A178" s="49" t="s">
        <v>455</v>
      </c>
      <c r="B178" s="49" t="s">
        <v>456</v>
      </c>
      <c r="C178" s="49" t="s">
        <v>457</v>
      </c>
      <c r="D178" s="49" t="s">
        <v>458</v>
      </c>
      <c r="E178" s="68">
        <v>13167.16</v>
      </c>
      <c r="F178" s="68">
        <v>13167.52</v>
      </c>
      <c r="G178" s="68">
        <v>14167.08</v>
      </c>
      <c r="H178" s="68">
        <v>7807.82</v>
      </c>
      <c r="I178" s="68">
        <v>11251.5</v>
      </c>
      <c r="J178" s="68">
        <v>19691.3</v>
      </c>
      <c r="K178" s="68">
        <v>11999.98</v>
      </c>
      <c r="L178" s="68">
        <v>12085.26</v>
      </c>
      <c r="M178" s="68">
        <v>11633.76</v>
      </c>
      <c r="N178" s="68">
        <v>19419.29</v>
      </c>
      <c r="O178" s="68">
        <v>9967.06</v>
      </c>
      <c r="P178" s="96">
        <v>15665.78</v>
      </c>
      <c r="Q178" s="68">
        <v>0</v>
      </c>
      <c r="R178" s="68">
        <v>11804.7</v>
      </c>
      <c r="S178" s="68">
        <v>12694.23</v>
      </c>
      <c r="T178" s="68">
        <v>17143.599999999999</v>
      </c>
      <c r="U178" s="68">
        <v>24069.48</v>
      </c>
      <c r="V178" s="68">
        <v>17140.560000000001</v>
      </c>
      <c r="W178" s="68">
        <v>10416</v>
      </c>
      <c r="X178" s="68">
        <v>11667.52</v>
      </c>
      <c r="Y178" s="68">
        <v>11341.5</v>
      </c>
      <c r="Z178" s="68">
        <v>16834.68</v>
      </c>
      <c r="AA178" s="68">
        <v>11667.52</v>
      </c>
      <c r="AB178" s="68">
        <v>11184.12</v>
      </c>
      <c r="AC178" s="68">
        <v>0</v>
      </c>
    </row>
    <row r="179" spans="1:29" x14ac:dyDescent="0.55000000000000004">
      <c r="A179" s="49" t="s">
        <v>459</v>
      </c>
      <c r="B179" s="49" t="s">
        <v>460</v>
      </c>
      <c r="C179" s="49" t="s">
        <v>457</v>
      </c>
      <c r="D179" s="49" t="s">
        <v>458</v>
      </c>
      <c r="E179" s="68">
        <v>987.65</v>
      </c>
      <c r="F179" s="68">
        <v>1196.04</v>
      </c>
      <c r="G179" s="68">
        <v>996.06</v>
      </c>
      <c r="H179" s="68">
        <v>589.28</v>
      </c>
      <c r="I179" s="68">
        <v>846.2</v>
      </c>
      <c r="J179" s="68">
        <v>282.49</v>
      </c>
      <c r="K179" s="68">
        <v>907.67</v>
      </c>
      <c r="L179" s="68">
        <v>924.53</v>
      </c>
      <c r="M179" s="68">
        <v>825.79</v>
      </c>
      <c r="N179" s="68">
        <v>1705.89</v>
      </c>
      <c r="O179" s="68">
        <v>826.58</v>
      </c>
      <c r="P179" s="96">
        <v>1057.28</v>
      </c>
      <c r="Q179" s="68">
        <v>0</v>
      </c>
      <c r="R179" s="68">
        <v>895.47</v>
      </c>
      <c r="S179" s="68">
        <v>963.11</v>
      </c>
      <c r="T179" s="68">
        <v>238.06</v>
      </c>
      <c r="U179" s="68">
        <v>357.77</v>
      </c>
      <c r="V179" s="68">
        <v>263.77999999999997</v>
      </c>
      <c r="W179" s="68">
        <v>796.82</v>
      </c>
      <c r="X179" s="68">
        <v>1183.6600000000001</v>
      </c>
      <c r="Y179" s="68">
        <v>895.74</v>
      </c>
      <c r="Z179" s="68">
        <v>706.05</v>
      </c>
      <c r="AA179" s="68">
        <v>842.15</v>
      </c>
      <c r="AB179" s="68">
        <v>937.98</v>
      </c>
      <c r="AC179" s="68">
        <v>0</v>
      </c>
    </row>
    <row r="180" spans="1:29" x14ac:dyDescent="0.55000000000000004">
      <c r="A180" s="49" t="s">
        <v>461</v>
      </c>
      <c r="B180" s="49" t="s">
        <v>462</v>
      </c>
      <c r="C180" s="49" t="s">
        <v>457</v>
      </c>
      <c r="D180" s="49" t="s">
        <v>458</v>
      </c>
      <c r="E180" s="68">
        <v>254.61</v>
      </c>
      <c r="F180" s="68">
        <v>2696.23</v>
      </c>
      <c r="G180" s="68">
        <v>14.63</v>
      </c>
      <c r="H180" s="68">
        <v>451</v>
      </c>
      <c r="I180" s="68">
        <v>96.69</v>
      </c>
      <c r="J180" s="68">
        <v>1665.21</v>
      </c>
      <c r="K180" s="68">
        <v>666.17</v>
      </c>
      <c r="L180" s="68">
        <v>30.3</v>
      </c>
      <c r="M180" s="68">
        <v>206.98</v>
      </c>
      <c r="N180" s="68">
        <v>518.29</v>
      </c>
      <c r="O180" s="68">
        <v>1245.0999999999999</v>
      </c>
      <c r="P180" s="96">
        <v>460.96</v>
      </c>
      <c r="Q180" s="68">
        <v>48.93</v>
      </c>
      <c r="R180" s="68">
        <v>379.58</v>
      </c>
      <c r="S180" s="68">
        <v>329.41</v>
      </c>
      <c r="T180" s="68">
        <v>235.4</v>
      </c>
      <c r="U180" s="68">
        <v>169.55</v>
      </c>
      <c r="V180" s="68">
        <v>1964.69</v>
      </c>
      <c r="W180" s="68">
        <v>69.2</v>
      </c>
      <c r="X180" s="68">
        <v>4692.16</v>
      </c>
      <c r="Y180" s="68">
        <v>0</v>
      </c>
      <c r="Z180" s="68">
        <v>625.79</v>
      </c>
      <c r="AA180" s="68">
        <v>-814.77</v>
      </c>
      <c r="AB180" s="68">
        <v>1156.92</v>
      </c>
      <c r="AC180" s="68">
        <v>0</v>
      </c>
    </row>
    <row r="181" spans="1:29" x14ac:dyDescent="0.55000000000000004">
      <c r="A181" s="49" t="s">
        <v>463</v>
      </c>
      <c r="B181" s="49" t="s">
        <v>464</v>
      </c>
      <c r="C181" s="49" t="s">
        <v>457</v>
      </c>
      <c r="D181" s="49" t="s">
        <v>458</v>
      </c>
      <c r="E181" s="68">
        <v>778.53</v>
      </c>
      <c r="F181" s="68">
        <v>646.01</v>
      </c>
      <c r="G181" s="68">
        <v>1345.22</v>
      </c>
      <c r="H181" s="68">
        <v>75.47</v>
      </c>
      <c r="I181" s="68">
        <v>177.45</v>
      </c>
      <c r="J181" s="68">
        <v>733.16</v>
      </c>
      <c r="K181" s="68">
        <v>116.58</v>
      </c>
      <c r="L181" s="68">
        <v>0</v>
      </c>
      <c r="M181" s="68">
        <v>943.5</v>
      </c>
      <c r="N181" s="68">
        <v>57.8</v>
      </c>
      <c r="O181" s="68">
        <v>1030.26</v>
      </c>
      <c r="P181" s="96">
        <v>209.88</v>
      </c>
      <c r="Q181" s="68">
        <v>0</v>
      </c>
      <c r="R181" s="68">
        <v>642.53</v>
      </c>
      <c r="S181" s="68">
        <v>129.51</v>
      </c>
      <c r="T181" s="68">
        <v>859.65</v>
      </c>
      <c r="U181" s="68">
        <v>132.41</v>
      </c>
      <c r="V181" s="68">
        <v>17.829999999999998</v>
      </c>
      <c r="W181" s="68">
        <v>0</v>
      </c>
      <c r="X181" s="68">
        <v>374.01</v>
      </c>
      <c r="Y181" s="68">
        <v>35.93</v>
      </c>
      <c r="Z181" s="68">
        <v>937.36</v>
      </c>
      <c r="AA181" s="68">
        <v>514.21</v>
      </c>
      <c r="AB181" s="68">
        <v>0</v>
      </c>
      <c r="AC181" s="68">
        <v>0</v>
      </c>
    </row>
    <row r="182" spans="1:29" x14ac:dyDescent="0.55000000000000004">
      <c r="A182" s="49" t="s">
        <v>465</v>
      </c>
      <c r="B182" s="49" t="s">
        <v>466</v>
      </c>
      <c r="C182" s="49" t="s">
        <v>457</v>
      </c>
      <c r="D182" s="49" t="s">
        <v>458</v>
      </c>
      <c r="E182" s="68">
        <v>123.77</v>
      </c>
      <c r="F182" s="68">
        <v>149.08000000000001</v>
      </c>
      <c r="G182" s="68">
        <v>133.16999999999999</v>
      </c>
      <c r="H182" s="68">
        <v>73.39</v>
      </c>
      <c r="I182" s="68">
        <v>105.76</v>
      </c>
      <c r="J182" s="68">
        <v>185.1</v>
      </c>
      <c r="K182" s="68">
        <v>112.8</v>
      </c>
      <c r="L182" s="68">
        <v>113.6</v>
      </c>
      <c r="M182" s="68">
        <v>109.36</v>
      </c>
      <c r="N182" s="68">
        <v>182.54</v>
      </c>
      <c r="O182" s="68">
        <v>109.91</v>
      </c>
      <c r="P182" s="96">
        <v>147.26</v>
      </c>
      <c r="Q182" s="68">
        <v>0</v>
      </c>
      <c r="R182" s="68">
        <v>113.59</v>
      </c>
      <c r="S182" s="68">
        <v>119.33</v>
      </c>
      <c r="T182" s="68">
        <v>161.15</v>
      </c>
      <c r="U182" s="68">
        <v>226.25</v>
      </c>
      <c r="V182" s="68">
        <v>167.33</v>
      </c>
      <c r="W182" s="68">
        <v>97.91</v>
      </c>
      <c r="X182" s="68">
        <v>103.28</v>
      </c>
      <c r="Y182" s="68">
        <v>104.48</v>
      </c>
      <c r="Z182" s="68">
        <v>106.05</v>
      </c>
      <c r="AA182" s="68">
        <v>106.05</v>
      </c>
      <c r="AB182" s="68">
        <v>115.25</v>
      </c>
      <c r="AC182" s="68">
        <v>0</v>
      </c>
    </row>
    <row r="183" spans="1:29" x14ac:dyDescent="0.55000000000000004">
      <c r="A183" s="49" t="s">
        <v>467</v>
      </c>
      <c r="B183" s="49" t="s">
        <v>468</v>
      </c>
      <c r="C183" s="49" t="s">
        <v>457</v>
      </c>
      <c r="D183" s="49" t="s">
        <v>458</v>
      </c>
      <c r="E183" s="68">
        <v>47553.26</v>
      </c>
      <c r="F183" s="68">
        <v>40152.550000000003</v>
      </c>
      <c r="G183" s="68">
        <v>51353.97</v>
      </c>
      <c r="H183" s="68">
        <v>29367.93</v>
      </c>
      <c r="I183" s="68">
        <v>37613.629999999997</v>
      </c>
      <c r="J183" s="68">
        <v>42527.21</v>
      </c>
      <c r="K183" s="68">
        <v>35929.89</v>
      </c>
      <c r="L183" s="68">
        <v>41131.71</v>
      </c>
      <c r="M183" s="68">
        <v>39042.339999999997</v>
      </c>
      <c r="N183" s="68">
        <v>64597.05</v>
      </c>
      <c r="O183" s="68">
        <v>38400.5</v>
      </c>
      <c r="P183" s="96">
        <v>23727.58</v>
      </c>
      <c r="Q183" s="68">
        <v>48516.3</v>
      </c>
      <c r="R183" s="68">
        <v>46563.55</v>
      </c>
      <c r="S183" s="68">
        <v>96048.81</v>
      </c>
      <c r="T183" s="68">
        <v>34139.06</v>
      </c>
      <c r="U183" s="68">
        <v>91348.06</v>
      </c>
      <c r="V183" s="68">
        <v>60462.78</v>
      </c>
      <c r="W183" s="68">
        <v>41375.370000000003</v>
      </c>
      <c r="X183" s="68">
        <v>59395.67</v>
      </c>
      <c r="Y183" s="68">
        <v>99153.68</v>
      </c>
      <c r="Z183" s="68">
        <v>83154.16</v>
      </c>
      <c r="AA183" s="68">
        <v>93107.9</v>
      </c>
      <c r="AB183" s="68">
        <v>87539.36</v>
      </c>
      <c r="AC183" s="68">
        <v>0</v>
      </c>
    </row>
    <row r="184" spans="1:29" x14ac:dyDescent="0.55000000000000004">
      <c r="A184" s="49" t="s">
        <v>469</v>
      </c>
      <c r="B184" s="49" t="s">
        <v>470</v>
      </c>
      <c r="C184" s="49" t="s">
        <v>457</v>
      </c>
      <c r="D184" s="49" t="s">
        <v>458</v>
      </c>
      <c r="E184" s="68">
        <v>107618.07</v>
      </c>
      <c r="F184" s="68">
        <v>98578.72</v>
      </c>
      <c r="G184" s="68">
        <v>109923.9</v>
      </c>
      <c r="H184" s="68">
        <v>104085.45</v>
      </c>
      <c r="I184" s="68">
        <v>107629.26</v>
      </c>
      <c r="J184" s="68">
        <v>45470.400000000001</v>
      </c>
      <c r="K184" s="68">
        <v>66287.39</v>
      </c>
      <c r="L184" s="68">
        <v>158010.32</v>
      </c>
      <c r="M184" s="68">
        <v>62524.53</v>
      </c>
      <c r="N184" s="68">
        <v>124095.03999999999</v>
      </c>
      <c r="O184" s="68">
        <v>57934.3</v>
      </c>
      <c r="P184" s="96">
        <v>68625.88</v>
      </c>
      <c r="Q184" s="68">
        <v>81701.05</v>
      </c>
      <c r="R184" s="68">
        <v>30928.46</v>
      </c>
      <c r="S184" s="68">
        <v>76003.820000000007</v>
      </c>
      <c r="T184" s="68">
        <v>40871.550000000003</v>
      </c>
      <c r="U184" s="68">
        <v>72449.350000000006</v>
      </c>
      <c r="V184" s="68">
        <v>44302.05</v>
      </c>
      <c r="W184" s="68">
        <v>62672.25</v>
      </c>
      <c r="X184" s="68">
        <v>134811.26</v>
      </c>
      <c r="Y184" s="68">
        <v>103056.7</v>
      </c>
      <c r="Z184" s="68">
        <v>77263.89</v>
      </c>
      <c r="AA184" s="68">
        <v>88066.51</v>
      </c>
      <c r="AB184" s="68">
        <v>297954.67</v>
      </c>
      <c r="AC184" s="68">
        <v>0</v>
      </c>
    </row>
    <row r="185" spans="1:29" x14ac:dyDescent="0.55000000000000004">
      <c r="A185" s="49" t="s">
        <v>471</v>
      </c>
      <c r="B185" s="49" t="s">
        <v>472</v>
      </c>
      <c r="C185" s="49" t="s">
        <v>457</v>
      </c>
      <c r="D185" s="49" t="s">
        <v>458</v>
      </c>
      <c r="E185" s="68">
        <v>103032.07</v>
      </c>
      <c r="F185" s="68">
        <v>90017.85</v>
      </c>
      <c r="G185" s="68">
        <v>135351.42000000001</v>
      </c>
      <c r="H185" s="68">
        <v>86950.68</v>
      </c>
      <c r="I185" s="68">
        <v>101849.58</v>
      </c>
      <c r="J185" s="68">
        <v>62334.74</v>
      </c>
      <c r="K185" s="68">
        <v>74476.52</v>
      </c>
      <c r="L185" s="68">
        <v>152185.66</v>
      </c>
      <c r="M185" s="68">
        <v>68676.66</v>
      </c>
      <c r="N185" s="68">
        <v>116537.95</v>
      </c>
      <c r="O185" s="68">
        <v>57942.61</v>
      </c>
      <c r="P185" s="96">
        <v>80900.62</v>
      </c>
      <c r="Q185" s="68">
        <v>90122.47</v>
      </c>
      <c r="R185" s="68">
        <v>68946.28</v>
      </c>
      <c r="S185" s="68">
        <v>120161.94</v>
      </c>
      <c r="T185" s="68">
        <v>51550.54</v>
      </c>
      <c r="U185" s="68">
        <v>110833.1</v>
      </c>
      <c r="V185" s="68">
        <v>72698.740000000005</v>
      </c>
      <c r="W185" s="68">
        <v>126956.19</v>
      </c>
      <c r="X185" s="68">
        <v>156718.18</v>
      </c>
      <c r="Y185" s="68">
        <v>170680.94</v>
      </c>
      <c r="Z185" s="68">
        <v>164538.6</v>
      </c>
      <c r="AA185" s="68">
        <v>155791.07999999999</v>
      </c>
      <c r="AB185" s="68">
        <v>168810.38</v>
      </c>
      <c r="AC185" s="68">
        <v>0</v>
      </c>
    </row>
    <row r="186" spans="1:29" x14ac:dyDescent="0.55000000000000004">
      <c r="A186" s="49" t="s">
        <v>473</v>
      </c>
      <c r="B186" s="49" t="s">
        <v>474</v>
      </c>
      <c r="C186" s="49" t="s">
        <v>457</v>
      </c>
      <c r="D186" s="49" t="s">
        <v>458</v>
      </c>
      <c r="E186" s="68">
        <v>0</v>
      </c>
      <c r="F186" s="68">
        <v>0</v>
      </c>
      <c r="G186" s="68">
        <v>0</v>
      </c>
      <c r="H186" s="68">
        <v>2171.71</v>
      </c>
      <c r="I186" s="68">
        <v>0</v>
      </c>
      <c r="J186" s="68">
        <v>0</v>
      </c>
      <c r="K186" s="68">
        <v>0</v>
      </c>
      <c r="L186" s="68">
        <v>2504.7600000000002</v>
      </c>
      <c r="M186" s="68">
        <v>0</v>
      </c>
      <c r="N186" s="68">
        <v>0</v>
      </c>
      <c r="O186" s="68">
        <v>0</v>
      </c>
      <c r="P186" s="96">
        <v>0</v>
      </c>
      <c r="Q186" s="68">
        <v>0</v>
      </c>
      <c r="R186" s="68">
        <v>0</v>
      </c>
      <c r="S186" s="68">
        <v>0</v>
      </c>
      <c r="T186" s="68">
        <v>0</v>
      </c>
      <c r="U186" s="68">
        <v>0</v>
      </c>
      <c r="V186" s="68">
        <v>0</v>
      </c>
      <c r="W186" s="68">
        <v>0</v>
      </c>
      <c r="X186" s="68">
        <v>0</v>
      </c>
      <c r="Y186" s="68">
        <v>0</v>
      </c>
      <c r="Z186" s="68">
        <v>0</v>
      </c>
      <c r="AA186" s="68">
        <v>0</v>
      </c>
      <c r="AB186" s="68">
        <v>0</v>
      </c>
      <c r="AC186" s="68">
        <v>0</v>
      </c>
    </row>
    <row r="187" spans="1:29" x14ac:dyDescent="0.55000000000000004">
      <c r="A187" s="49" t="s">
        <v>475</v>
      </c>
      <c r="B187" s="49" t="s">
        <v>476</v>
      </c>
      <c r="C187" s="49" t="s">
        <v>457</v>
      </c>
      <c r="D187" s="49" t="s">
        <v>458</v>
      </c>
      <c r="E187" s="68">
        <v>22052.03</v>
      </c>
      <c r="F187" s="68">
        <v>19576.849999999999</v>
      </c>
      <c r="G187" s="68">
        <v>25505.64</v>
      </c>
      <c r="H187" s="68">
        <v>18382.89</v>
      </c>
      <c r="I187" s="68">
        <v>20263.900000000001</v>
      </c>
      <c r="J187" s="68">
        <v>12431.63</v>
      </c>
      <c r="K187" s="68">
        <v>14326.77</v>
      </c>
      <c r="L187" s="68">
        <v>29654.16</v>
      </c>
      <c r="M187" s="68">
        <v>14352.39</v>
      </c>
      <c r="N187" s="68">
        <v>24786.32</v>
      </c>
      <c r="O187" s="68">
        <v>12964</v>
      </c>
      <c r="P187" s="96">
        <v>14460.66</v>
      </c>
      <c r="Q187" s="68">
        <v>18151.7</v>
      </c>
      <c r="R187" s="68">
        <v>11812.26</v>
      </c>
      <c r="S187" s="68">
        <v>23809.759999999998</v>
      </c>
      <c r="T187" s="68">
        <v>10265.93</v>
      </c>
      <c r="U187" s="68">
        <v>21951.57</v>
      </c>
      <c r="V187" s="68">
        <v>13970.03</v>
      </c>
      <c r="W187" s="68">
        <v>19201</v>
      </c>
      <c r="X187" s="68">
        <v>28512.18</v>
      </c>
      <c r="Y187" s="68">
        <v>30061.56</v>
      </c>
      <c r="Z187" s="68">
        <v>29315.05</v>
      </c>
      <c r="AA187" s="68">
        <v>29424.38</v>
      </c>
      <c r="AB187" s="68">
        <v>46691.75</v>
      </c>
      <c r="AC187" s="68">
        <v>0</v>
      </c>
    </row>
    <row r="188" spans="1:29" x14ac:dyDescent="0.55000000000000004">
      <c r="A188" s="49" t="s">
        <v>477</v>
      </c>
      <c r="B188" s="49" t="s">
        <v>478</v>
      </c>
      <c r="C188" s="49" t="s">
        <v>457</v>
      </c>
      <c r="D188" s="49" t="s">
        <v>458</v>
      </c>
      <c r="E188" s="68">
        <v>23213.26</v>
      </c>
      <c r="F188" s="68">
        <v>16772.36</v>
      </c>
      <c r="G188" s="68">
        <v>20962.27</v>
      </c>
      <c r="H188" s="68">
        <v>13379.72</v>
      </c>
      <c r="I188" s="68">
        <v>18377.98</v>
      </c>
      <c r="J188" s="68">
        <v>17414.900000000001</v>
      </c>
      <c r="K188" s="68">
        <v>11296.69</v>
      </c>
      <c r="L188" s="68">
        <v>25359.31</v>
      </c>
      <c r="M188" s="68">
        <v>14625.91</v>
      </c>
      <c r="N188" s="68">
        <v>21002.95</v>
      </c>
      <c r="O188" s="68">
        <v>10612.75</v>
      </c>
      <c r="P188" s="96">
        <v>11938.11</v>
      </c>
      <c r="Q188" s="68">
        <v>16827.060000000001</v>
      </c>
      <c r="R188" s="68">
        <v>14434.92</v>
      </c>
      <c r="S188" s="68">
        <v>18579.61</v>
      </c>
      <c r="T188" s="68">
        <v>10305.27</v>
      </c>
      <c r="U188" s="68">
        <v>15777.44</v>
      </c>
      <c r="V188" s="68">
        <v>13027.72</v>
      </c>
      <c r="W188" s="68">
        <v>16335.77</v>
      </c>
      <c r="X188" s="68">
        <v>20799.560000000001</v>
      </c>
      <c r="Y188" s="68">
        <v>22464.23</v>
      </c>
      <c r="Z188" s="68">
        <v>27268.68</v>
      </c>
      <c r="AA188" s="68">
        <v>25445.54</v>
      </c>
      <c r="AB188" s="68">
        <v>36305.65</v>
      </c>
      <c r="AC188" s="68">
        <v>0</v>
      </c>
    </row>
    <row r="189" spans="1:29" x14ac:dyDescent="0.55000000000000004">
      <c r="A189" s="49" t="s">
        <v>479</v>
      </c>
      <c r="B189" s="49" t="s">
        <v>480</v>
      </c>
      <c r="C189" s="49" t="s">
        <v>457</v>
      </c>
      <c r="D189" s="49" t="s">
        <v>458</v>
      </c>
      <c r="E189" s="68">
        <v>8410.24</v>
      </c>
      <c r="F189" s="68">
        <v>2582.34</v>
      </c>
      <c r="G189" s="68">
        <v>7623.83</v>
      </c>
      <c r="H189" s="68">
        <v>3218.65</v>
      </c>
      <c r="I189" s="68">
        <v>5457.92</v>
      </c>
      <c r="J189" s="68">
        <v>5767.09</v>
      </c>
      <c r="K189" s="68">
        <v>3156.52</v>
      </c>
      <c r="L189" s="68">
        <v>8197.93</v>
      </c>
      <c r="M189" s="68">
        <v>4550.12</v>
      </c>
      <c r="N189" s="68">
        <v>8048.62</v>
      </c>
      <c r="O189" s="68">
        <v>3231.38</v>
      </c>
      <c r="P189" s="96">
        <v>1752.46</v>
      </c>
      <c r="Q189" s="68">
        <v>22824.26</v>
      </c>
      <c r="R189" s="68">
        <v>8457.8799999999992</v>
      </c>
      <c r="S189" s="68">
        <v>9785.58</v>
      </c>
      <c r="T189" s="68">
        <v>5137.24</v>
      </c>
      <c r="U189" s="68">
        <v>8201.06</v>
      </c>
      <c r="V189" s="68">
        <v>12907.82</v>
      </c>
      <c r="W189" s="68">
        <v>10516.32</v>
      </c>
      <c r="X189" s="68">
        <v>10088.879999999999</v>
      </c>
      <c r="Y189" s="68">
        <v>9128.23</v>
      </c>
      <c r="Z189" s="68">
        <v>9901.7999999999993</v>
      </c>
      <c r="AA189" s="68">
        <v>7077.91</v>
      </c>
      <c r="AB189" s="68">
        <v>42326.2</v>
      </c>
      <c r="AC189" s="68">
        <v>0</v>
      </c>
    </row>
    <row r="190" spans="1:29" x14ac:dyDescent="0.55000000000000004">
      <c r="A190" s="49" t="s">
        <v>481</v>
      </c>
      <c r="B190" s="49" t="s">
        <v>482</v>
      </c>
      <c r="C190" s="49" t="s">
        <v>457</v>
      </c>
      <c r="D190" s="49" t="s">
        <v>458</v>
      </c>
      <c r="E190" s="68">
        <v>2815.76</v>
      </c>
      <c r="F190" s="68">
        <v>9316.2800000000007</v>
      </c>
      <c r="G190" s="68">
        <v>8468.6299999999992</v>
      </c>
      <c r="H190" s="68">
        <v>2339.8200000000002</v>
      </c>
      <c r="I190" s="68">
        <v>6292.57</v>
      </c>
      <c r="J190" s="68">
        <v>2360.67</v>
      </c>
      <c r="K190" s="68">
        <v>3948.91</v>
      </c>
      <c r="L190" s="68">
        <v>17406.88</v>
      </c>
      <c r="M190" s="68">
        <v>4430.66</v>
      </c>
      <c r="N190" s="68">
        <v>2996</v>
      </c>
      <c r="O190" s="68">
        <v>4389.5200000000004</v>
      </c>
      <c r="P190" s="96">
        <v>2863.33</v>
      </c>
      <c r="Q190" s="68">
        <v>5957.3</v>
      </c>
      <c r="R190" s="68">
        <v>1492.23</v>
      </c>
      <c r="S190" s="68">
        <v>4722.37</v>
      </c>
      <c r="T190" s="68">
        <v>1270.4100000000001</v>
      </c>
      <c r="U190" s="68">
        <v>2828.28</v>
      </c>
      <c r="V190" s="68">
        <v>1759.19</v>
      </c>
      <c r="W190" s="68">
        <v>3068.38</v>
      </c>
      <c r="X190" s="68">
        <v>7541.9</v>
      </c>
      <c r="Y190" s="68">
        <v>7569.36</v>
      </c>
      <c r="Z190" s="68">
        <v>7337</v>
      </c>
      <c r="AA190" s="68">
        <v>7655.76</v>
      </c>
      <c r="AB190" s="68">
        <v>10538.43</v>
      </c>
      <c r="AC190" s="68">
        <v>0</v>
      </c>
    </row>
    <row r="191" spans="1:29" x14ac:dyDescent="0.55000000000000004">
      <c r="A191" s="49" t="s">
        <v>483</v>
      </c>
      <c r="B191" s="49" t="s">
        <v>484</v>
      </c>
      <c r="C191" s="49" t="s">
        <v>485</v>
      </c>
      <c r="D191" s="49" t="s">
        <v>147</v>
      </c>
      <c r="E191" s="68">
        <v>2500</v>
      </c>
      <c r="F191" s="68">
        <v>1000</v>
      </c>
      <c r="G191" s="68">
        <v>7400</v>
      </c>
      <c r="H191" s="68">
        <v>3750</v>
      </c>
      <c r="I191" s="68">
        <v>3050</v>
      </c>
      <c r="J191" s="68">
        <v>7000</v>
      </c>
      <c r="K191" s="68">
        <v>4000</v>
      </c>
      <c r="L191" s="68">
        <v>1500</v>
      </c>
      <c r="M191" s="68">
        <v>3500</v>
      </c>
      <c r="N191" s="68">
        <v>-6000</v>
      </c>
      <c r="O191" s="68">
        <v>2000</v>
      </c>
      <c r="P191" s="96">
        <v>9000</v>
      </c>
      <c r="Q191" s="68">
        <v>4000</v>
      </c>
      <c r="R191" s="68">
        <v>4000</v>
      </c>
      <c r="S191" s="68">
        <v>3000</v>
      </c>
      <c r="T191" s="68">
        <v>3500</v>
      </c>
      <c r="U191" s="68">
        <v>6500</v>
      </c>
      <c r="V191" s="68">
        <v>1500</v>
      </c>
      <c r="W191" s="68">
        <v>7000</v>
      </c>
      <c r="X191" s="68">
        <v>4000</v>
      </c>
      <c r="Y191" s="68">
        <v>4000</v>
      </c>
      <c r="Z191" s="68">
        <v>3673</v>
      </c>
      <c r="AA191" s="68">
        <v>4000</v>
      </c>
      <c r="AB191" s="68">
        <v>5500</v>
      </c>
      <c r="AC191" s="68">
        <v>0</v>
      </c>
    </row>
    <row r="192" spans="1:29" x14ac:dyDescent="0.55000000000000004">
      <c r="A192" s="49" t="s">
        <v>486</v>
      </c>
      <c r="B192" s="49" t="s">
        <v>487</v>
      </c>
      <c r="C192" s="49" t="s">
        <v>457</v>
      </c>
      <c r="D192" s="49" t="s">
        <v>147</v>
      </c>
      <c r="E192" s="68">
        <v>11000</v>
      </c>
      <c r="F192" s="68">
        <v>3750</v>
      </c>
      <c r="G192" s="68">
        <v>11800</v>
      </c>
      <c r="H192" s="68">
        <v>6500</v>
      </c>
      <c r="I192" s="68">
        <v>17700</v>
      </c>
      <c r="J192" s="68">
        <v>15500</v>
      </c>
      <c r="K192" s="68">
        <v>1500</v>
      </c>
      <c r="L192" s="68">
        <v>11750</v>
      </c>
      <c r="M192" s="68">
        <v>13000</v>
      </c>
      <c r="N192" s="68">
        <v>14000</v>
      </c>
      <c r="O192" s="68">
        <v>0</v>
      </c>
      <c r="P192" s="96">
        <v>19500</v>
      </c>
      <c r="Q192" s="68">
        <v>0</v>
      </c>
      <c r="R192" s="68">
        <v>0</v>
      </c>
      <c r="S192" s="68">
        <v>0</v>
      </c>
      <c r="T192" s="68">
        <v>0</v>
      </c>
      <c r="U192" s="68">
        <v>7250</v>
      </c>
      <c r="V192" s="68">
        <v>0</v>
      </c>
      <c r="W192" s="68">
        <v>0</v>
      </c>
      <c r="X192" s="68">
        <v>0</v>
      </c>
      <c r="Y192" s="68">
        <v>0</v>
      </c>
      <c r="Z192" s="68">
        <v>0</v>
      </c>
      <c r="AA192" s="68">
        <v>0</v>
      </c>
      <c r="AB192" s="68">
        <v>0</v>
      </c>
      <c r="AC192" s="68">
        <v>0</v>
      </c>
    </row>
    <row r="193" spans="1:29" x14ac:dyDescent="0.55000000000000004">
      <c r="A193" s="49" t="s">
        <v>488</v>
      </c>
      <c r="B193" s="49" t="s">
        <v>489</v>
      </c>
      <c r="C193" s="49" t="s">
        <v>457</v>
      </c>
      <c r="D193" s="49" t="s">
        <v>147</v>
      </c>
      <c r="E193" s="68">
        <v>3141.81</v>
      </c>
      <c r="F193" s="68">
        <v>-74.22</v>
      </c>
      <c r="G193" s="68">
        <v>8242.65</v>
      </c>
      <c r="H193" s="68">
        <v>4962.62</v>
      </c>
      <c r="I193" s="68">
        <v>2262.16</v>
      </c>
      <c r="J193" s="68">
        <v>810.07</v>
      </c>
      <c r="K193" s="68">
        <v>606.70000000000005</v>
      </c>
      <c r="L193" s="68">
        <v>0</v>
      </c>
      <c r="M193" s="68">
        <v>498.13</v>
      </c>
      <c r="N193" s="68">
        <v>5019.99</v>
      </c>
      <c r="O193" s="68">
        <v>1453.62</v>
      </c>
      <c r="P193" s="96">
        <v>1071.73</v>
      </c>
      <c r="Q193" s="68">
        <v>1876.91</v>
      </c>
      <c r="R193" s="68">
        <v>1613.81</v>
      </c>
      <c r="S193" s="68">
        <v>225.77</v>
      </c>
      <c r="T193" s="68">
        <v>739.62</v>
      </c>
      <c r="U193" s="68">
        <v>3007.62</v>
      </c>
      <c r="V193" s="68">
        <v>1117.5999999999999</v>
      </c>
      <c r="W193" s="68">
        <v>1987.06</v>
      </c>
      <c r="X193" s="68">
        <v>1744.35</v>
      </c>
      <c r="Y193" s="68">
        <v>796.5</v>
      </c>
      <c r="Z193" s="68">
        <v>2112.66</v>
      </c>
      <c r="AA193" s="68">
        <v>2351.6999999999998</v>
      </c>
      <c r="AB193" s="68">
        <v>1313.33</v>
      </c>
      <c r="AC193" s="68">
        <v>0</v>
      </c>
    </row>
    <row r="194" spans="1:29" x14ac:dyDescent="0.55000000000000004">
      <c r="A194" s="49" t="s">
        <v>490</v>
      </c>
      <c r="B194" s="49" t="s">
        <v>491</v>
      </c>
      <c r="C194" s="49" t="s">
        <v>485</v>
      </c>
      <c r="D194" s="49" t="s">
        <v>147</v>
      </c>
      <c r="E194" s="68">
        <v>1400</v>
      </c>
      <c r="F194" s="68">
        <v>656.02</v>
      </c>
      <c r="G194" s="68">
        <v>904</v>
      </c>
      <c r="H194" s="68">
        <v>584</v>
      </c>
      <c r="I194" s="68">
        <v>736</v>
      </c>
      <c r="J194" s="68">
        <v>0</v>
      </c>
      <c r="K194" s="68">
        <v>512</v>
      </c>
      <c r="L194" s="68">
        <v>1080</v>
      </c>
      <c r="M194" s="68">
        <v>464</v>
      </c>
      <c r="N194" s="68">
        <v>664</v>
      </c>
      <c r="O194" s="68">
        <v>3258.72</v>
      </c>
      <c r="P194" s="96">
        <v>0</v>
      </c>
      <c r="Q194" s="68">
        <v>1772.64</v>
      </c>
      <c r="R194" s="68">
        <v>1658.76</v>
      </c>
      <c r="S194" s="68">
        <v>2825.38</v>
      </c>
      <c r="T194" s="68">
        <v>575.84</v>
      </c>
      <c r="U194" s="68">
        <v>1399.3</v>
      </c>
      <c r="V194" s="68">
        <v>839.45</v>
      </c>
      <c r="W194" s="68">
        <v>1754.75</v>
      </c>
      <c r="X194" s="68">
        <v>705</v>
      </c>
      <c r="Y194" s="68">
        <v>765</v>
      </c>
      <c r="Z194" s="68">
        <v>765</v>
      </c>
      <c r="AA194" s="68">
        <v>1170.08</v>
      </c>
      <c r="AB194" s="68">
        <v>2090</v>
      </c>
      <c r="AC194" s="68">
        <v>0</v>
      </c>
    </row>
    <row r="195" spans="1:29" x14ac:dyDescent="0.55000000000000004">
      <c r="A195" s="49" t="s">
        <v>492</v>
      </c>
      <c r="B195" s="49" t="s">
        <v>493</v>
      </c>
      <c r="C195" s="49" t="s">
        <v>457</v>
      </c>
      <c r="D195" s="49" t="s">
        <v>147</v>
      </c>
      <c r="E195" s="68">
        <v>15150.51</v>
      </c>
      <c r="F195" s="68">
        <v>7558.87</v>
      </c>
      <c r="G195" s="68">
        <v>7749.64</v>
      </c>
      <c r="H195" s="68">
        <v>5330.4</v>
      </c>
      <c r="I195" s="68">
        <v>8396.15</v>
      </c>
      <c r="J195" s="68">
        <v>5729.12</v>
      </c>
      <c r="K195" s="68">
        <v>14491.18</v>
      </c>
      <c r="L195" s="68">
        <v>15186.26</v>
      </c>
      <c r="M195" s="68">
        <v>4290.01</v>
      </c>
      <c r="N195" s="68">
        <v>15397.38</v>
      </c>
      <c r="O195" s="68">
        <v>4193.24</v>
      </c>
      <c r="P195" s="96">
        <v>2666.52</v>
      </c>
      <c r="Q195" s="68">
        <v>3426.89</v>
      </c>
      <c r="R195" s="68">
        <v>2225.9</v>
      </c>
      <c r="S195" s="68">
        <v>7170.83</v>
      </c>
      <c r="T195" s="68">
        <v>5688.36</v>
      </c>
      <c r="U195" s="68">
        <v>15287.19</v>
      </c>
      <c r="V195" s="68">
        <v>2707.17</v>
      </c>
      <c r="W195" s="68">
        <v>4813.43</v>
      </c>
      <c r="X195" s="68">
        <v>6948.87</v>
      </c>
      <c r="Y195" s="68">
        <v>8303.52</v>
      </c>
      <c r="Z195" s="68">
        <v>10642.85</v>
      </c>
      <c r="AA195" s="68">
        <v>9238.1200000000008</v>
      </c>
      <c r="AB195" s="68">
        <v>38451.58</v>
      </c>
      <c r="AC195" s="68">
        <v>0</v>
      </c>
    </row>
    <row r="196" spans="1:29" x14ac:dyDescent="0.55000000000000004">
      <c r="A196" s="49" t="s">
        <v>494</v>
      </c>
      <c r="B196" s="49" t="s">
        <v>495</v>
      </c>
      <c r="C196" s="49" t="s">
        <v>457</v>
      </c>
      <c r="D196" s="49" t="s">
        <v>147</v>
      </c>
      <c r="E196" s="68">
        <v>2626.44</v>
      </c>
      <c r="F196" s="68">
        <v>1956.85</v>
      </c>
      <c r="G196" s="68">
        <v>3253.68</v>
      </c>
      <c r="H196" s="68">
        <v>1789.29</v>
      </c>
      <c r="I196" s="68">
        <v>0</v>
      </c>
      <c r="J196" s="68">
        <v>6142.13</v>
      </c>
      <c r="K196" s="68">
        <v>2372.77</v>
      </c>
      <c r="L196" s="68">
        <v>2072.44</v>
      </c>
      <c r="M196" s="68">
        <v>1742.62</v>
      </c>
      <c r="N196" s="68">
        <v>6753.98</v>
      </c>
      <c r="O196" s="68">
        <v>3661.15</v>
      </c>
      <c r="P196" s="96">
        <v>0</v>
      </c>
      <c r="Q196" s="68">
        <v>635.66</v>
      </c>
      <c r="R196" s="68">
        <v>1156.1600000000001</v>
      </c>
      <c r="S196" s="68">
        <v>2551.69</v>
      </c>
      <c r="T196" s="68">
        <v>2826.06</v>
      </c>
      <c r="U196" s="68">
        <v>0</v>
      </c>
      <c r="V196" s="68">
        <v>0</v>
      </c>
      <c r="W196" s="68">
        <v>0</v>
      </c>
      <c r="X196" s="68">
        <v>840</v>
      </c>
      <c r="Y196" s="68">
        <v>1011.5</v>
      </c>
      <c r="Z196" s="68">
        <v>3173.82</v>
      </c>
      <c r="AA196" s="68">
        <v>900</v>
      </c>
      <c r="AB196" s="68">
        <v>7312.41</v>
      </c>
      <c r="AC196" s="68">
        <v>0</v>
      </c>
    </row>
    <row r="197" spans="1:29" x14ac:dyDescent="0.55000000000000004">
      <c r="A197" s="49" t="s">
        <v>496</v>
      </c>
      <c r="B197" s="49" t="s">
        <v>497</v>
      </c>
      <c r="C197" s="49" t="s">
        <v>457</v>
      </c>
      <c r="D197" s="49" t="s">
        <v>147</v>
      </c>
      <c r="E197" s="68">
        <v>8323.4500000000007</v>
      </c>
      <c r="F197" s="68">
        <v>2926.6</v>
      </c>
      <c r="G197" s="68">
        <v>5281.18</v>
      </c>
      <c r="H197" s="68">
        <v>2671.48</v>
      </c>
      <c r="I197" s="68">
        <v>2927.31</v>
      </c>
      <c r="J197" s="68">
        <v>818.5</v>
      </c>
      <c r="K197" s="68">
        <v>4229.6000000000004</v>
      </c>
      <c r="L197" s="68">
        <v>5288.07</v>
      </c>
      <c r="M197" s="68">
        <v>1310.26</v>
      </c>
      <c r="N197" s="68">
        <v>2971.3</v>
      </c>
      <c r="O197" s="68">
        <v>978.56</v>
      </c>
      <c r="P197" s="96">
        <v>2454.94</v>
      </c>
      <c r="Q197" s="68">
        <v>2834.89</v>
      </c>
      <c r="R197" s="68">
        <v>1097.8699999999999</v>
      </c>
      <c r="S197" s="68">
        <v>3389.44</v>
      </c>
      <c r="T197" s="68">
        <v>1230.02</v>
      </c>
      <c r="U197" s="68">
        <v>1598.71</v>
      </c>
      <c r="V197" s="68">
        <v>1651.83</v>
      </c>
      <c r="W197" s="68">
        <v>2721.98</v>
      </c>
      <c r="X197" s="68">
        <v>2686.59</v>
      </c>
      <c r="Y197" s="68">
        <v>3910.24</v>
      </c>
      <c r="Z197" s="68">
        <v>3652.41</v>
      </c>
      <c r="AA197" s="68">
        <v>2633.06</v>
      </c>
      <c r="AB197" s="68">
        <v>3626.74</v>
      </c>
      <c r="AC197" s="68">
        <v>0</v>
      </c>
    </row>
    <row r="198" spans="1:29" x14ac:dyDescent="0.55000000000000004">
      <c r="A198" s="49" t="s">
        <v>948</v>
      </c>
      <c r="B198" s="49" t="s">
        <v>949</v>
      </c>
      <c r="C198" s="49" t="s">
        <v>457</v>
      </c>
      <c r="D198" s="49" t="s">
        <v>147</v>
      </c>
      <c r="E198" s="68">
        <v>0</v>
      </c>
      <c r="F198" s="68">
        <v>0</v>
      </c>
      <c r="G198" s="68">
        <v>0</v>
      </c>
      <c r="H198" s="68">
        <v>0</v>
      </c>
      <c r="I198" s="68">
        <v>0</v>
      </c>
      <c r="J198" s="68">
        <v>0</v>
      </c>
      <c r="K198" s="68">
        <v>0</v>
      </c>
      <c r="L198" s="68">
        <v>0</v>
      </c>
      <c r="M198" s="68">
        <v>55</v>
      </c>
      <c r="N198" s="68">
        <v>0</v>
      </c>
      <c r="O198" s="68">
        <v>0</v>
      </c>
      <c r="P198" s="96">
        <v>0</v>
      </c>
      <c r="Q198" s="68">
        <v>0</v>
      </c>
      <c r="R198" s="68">
        <v>0</v>
      </c>
      <c r="S198" s="68">
        <v>0</v>
      </c>
      <c r="T198" s="68">
        <v>0</v>
      </c>
      <c r="U198" s="68">
        <v>0</v>
      </c>
      <c r="V198" s="68">
        <v>0</v>
      </c>
      <c r="W198" s="68">
        <v>0</v>
      </c>
      <c r="X198" s="68">
        <v>0</v>
      </c>
      <c r="Y198" s="68">
        <v>0</v>
      </c>
      <c r="Z198" s="68">
        <v>0</v>
      </c>
      <c r="AA198" s="68">
        <v>0</v>
      </c>
      <c r="AB198" s="68">
        <v>0</v>
      </c>
      <c r="AC198" s="68">
        <v>0</v>
      </c>
    </row>
    <row r="199" spans="1:29" x14ac:dyDescent="0.55000000000000004">
      <c r="A199" s="49" t="s">
        <v>498</v>
      </c>
      <c r="B199" s="49" t="s">
        <v>499</v>
      </c>
      <c r="C199" s="49" t="s">
        <v>457</v>
      </c>
      <c r="D199" s="49" t="s">
        <v>147</v>
      </c>
      <c r="E199" s="68">
        <v>0</v>
      </c>
      <c r="F199" s="68">
        <v>0</v>
      </c>
      <c r="G199" s="68">
        <v>0</v>
      </c>
      <c r="H199" s="68">
        <v>103.8</v>
      </c>
      <c r="I199" s="68">
        <v>45.06</v>
      </c>
      <c r="J199" s="68">
        <v>201.73</v>
      </c>
      <c r="K199" s="68">
        <v>0</v>
      </c>
      <c r="L199" s="68">
        <v>0</v>
      </c>
      <c r="M199" s="68">
        <v>15.84</v>
      </c>
      <c r="N199" s="68">
        <v>821.3</v>
      </c>
      <c r="O199" s="68">
        <v>0</v>
      </c>
      <c r="P199" s="96">
        <v>1110.94</v>
      </c>
      <c r="Q199" s="68">
        <v>30</v>
      </c>
      <c r="R199" s="68">
        <v>737.81</v>
      </c>
      <c r="S199" s="68">
        <v>551.82000000000005</v>
      </c>
      <c r="T199" s="68">
        <v>262.39</v>
      </c>
      <c r="U199" s="68">
        <v>1101.0999999999999</v>
      </c>
      <c r="V199" s="68">
        <v>422.83</v>
      </c>
      <c r="W199" s="68">
        <v>156.46</v>
      </c>
      <c r="X199" s="68">
        <v>0</v>
      </c>
      <c r="Y199" s="68">
        <v>464.67</v>
      </c>
      <c r="Z199" s="68">
        <v>894.42</v>
      </c>
      <c r="AA199" s="68">
        <v>28.37</v>
      </c>
      <c r="AB199" s="68">
        <v>248.31</v>
      </c>
      <c r="AC199" s="68">
        <v>0</v>
      </c>
    </row>
    <row r="200" spans="1:29" x14ac:dyDescent="0.55000000000000004">
      <c r="A200" s="49" t="s">
        <v>500</v>
      </c>
      <c r="B200" s="49" t="s">
        <v>501</v>
      </c>
      <c r="C200" s="49" t="s">
        <v>457</v>
      </c>
      <c r="D200" s="49" t="s">
        <v>147</v>
      </c>
      <c r="E200" s="68">
        <v>87.44</v>
      </c>
      <c r="F200" s="68">
        <v>0</v>
      </c>
      <c r="G200" s="68">
        <v>0</v>
      </c>
      <c r="H200" s="68">
        <v>0</v>
      </c>
      <c r="I200" s="68">
        <v>0</v>
      </c>
      <c r="J200" s="68">
        <v>650</v>
      </c>
      <c r="K200" s="68">
        <v>428.51</v>
      </c>
      <c r="L200" s="68">
        <v>0</v>
      </c>
      <c r="M200" s="68">
        <v>0</v>
      </c>
      <c r="N200" s="68">
        <v>0</v>
      </c>
      <c r="O200" s="68">
        <v>0</v>
      </c>
      <c r="P200" s="96">
        <v>0</v>
      </c>
      <c r="Q200" s="68">
        <v>0</v>
      </c>
      <c r="R200" s="68">
        <v>0</v>
      </c>
      <c r="S200" s="68">
        <v>0</v>
      </c>
      <c r="T200" s="68">
        <v>0</v>
      </c>
      <c r="U200" s="68">
        <v>1289.99</v>
      </c>
      <c r="V200" s="68">
        <v>0</v>
      </c>
      <c r="W200" s="68">
        <v>0</v>
      </c>
      <c r="X200" s="68">
        <v>0</v>
      </c>
      <c r="Y200" s="68">
        <v>1385.81</v>
      </c>
      <c r="Z200" s="68">
        <v>0</v>
      </c>
      <c r="AA200" s="68">
        <v>0</v>
      </c>
      <c r="AB200" s="68">
        <v>0</v>
      </c>
      <c r="AC200" s="68">
        <v>0</v>
      </c>
    </row>
    <row r="201" spans="1:29" x14ac:dyDescent="0.55000000000000004">
      <c r="A201" s="49" t="s">
        <v>909</v>
      </c>
      <c r="B201" s="49" t="s">
        <v>910</v>
      </c>
      <c r="C201" s="49" t="s">
        <v>457</v>
      </c>
      <c r="D201" s="49" t="s">
        <v>147</v>
      </c>
      <c r="E201" s="68">
        <v>0</v>
      </c>
      <c r="F201" s="68">
        <v>0</v>
      </c>
      <c r="G201" s="68">
        <v>0</v>
      </c>
      <c r="H201" s="68">
        <v>0</v>
      </c>
      <c r="I201" s="68">
        <v>0</v>
      </c>
      <c r="J201" s="68">
        <v>0</v>
      </c>
      <c r="K201" s="68">
        <v>0</v>
      </c>
      <c r="L201" s="68">
        <v>0</v>
      </c>
      <c r="M201" s="68">
        <v>0</v>
      </c>
      <c r="N201" s="68">
        <v>0</v>
      </c>
      <c r="O201" s="68">
        <v>0</v>
      </c>
      <c r="P201" s="96">
        <v>0</v>
      </c>
      <c r="Q201" s="68">
        <v>269.95</v>
      </c>
      <c r="R201" s="68">
        <v>0</v>
      </c>
      <c r="S201" s="68">
        <v>0</v>
      </c>
      <c r="T201" s="68">
        <v>0</v>
      </c>
      <c r="U201" s="68">
        <v>0</v>
      </c>
      <c r="V201" s="68">
        <v>0</v>
      </c>
      <c r="W201" s="68">
        <v>0</v>
      </c>
      <c r="X201" s="68">
        <v>0</v>
      </c>
      <c r="Y201" s="68">
        <v>0</v>
      </c>
      <c r="Z201" s="68">
        <v>0</v>
      </c>
      <c r="AA201" s="68">
        <v>0</v>
      </c>
      <c r="AB201" s="68">
        <v>0</v>
      </c>
      <c r="AC201" s="68">
        <v>0</v>
      </c>
    </row>
    <row r="202" spans="1:29" x14ac:dyDescent="0.55000000000000004">
      <c r="A202" s="49" t="s">
        <v>502</v>
      </c>
      <c r="B202" s="49" t="s">
        <v>503</v>
      </c>
      <c r="C202" s="49" t="s">
        <v>457</v>
      </c>
      <c r="D202" s="49" t="s">
        <v>147</v>
      </c>
      <c r="E202" s="68">
        <v>0</v>
      </c>
      <c r="F202" s="68">
        <v>0</v>
      </c>
      <c r="G202" s="68">
        <v>0</v>
      </c>
      <c r="H202" s="68">
        <v>0</v>
      </c>
      <c r="I202" s="68">
        <v>0</v>
      </c>
      <c r="J202" s="68">
        <v>127.02</v>
      </c>
      <c r="K202" s="68">
        <v>0</v>
      </c>
      <c r="L202" s="68">
        <v>981</v>
      </c>
      <c r="M202" s="68">
        <v>-296</v>
      </c>
      <c r="N202" s="68">
        <v>650</v>
      </c>
      <c r="O202" s="68">
        <v>12366.38</v>
      </c>
      <c r="P202" s="96">
        <v>1228</v>
      </c>
      <c r="Q202" s="68">
        <v>672.34</v>
      </c>
      <c r="R202" s="68">
        <v>0</v>
      </c>
      <c r="S202" s="68">
        <v>2473.67</v>
      </c>
      <c r="T202" s="68">
        <v>41.14</v>
      </c>
      <c r="U202" s="68">
        <v>0</v>
      </c>
      <c r="V202" s="68">
        <v>0</v>
      </c>
      <c r="W202" s="68">
        <v>0</v>
      </c>
      <c r="X202" s="68">
        <v>0</v>
      </c>
      <c r="Y202" s="68">
        <v>0</v>
      </c>
      <c r="Z202" s="68">
        <v>435</v>
      </c>
      <c r="AA202" s="68">
        <v>0</v>
      </c>
      <c r="AB202" s="68">
        <v>8811.32</v>
      </c>
      <c r="AC202" s="68">
        <v>0</v>
      </c>
    </row>
    <row r="203" spans="1:29" x14ac:dyDescent="0.55000000000000004">
      <c r="A203" s="49" t="s">
        <v>504</v>
      </c>
      <c r="B203" s="49" t="s">
        <v>505</v>
      </c>
      <c r="C203" s="49" t="s">
        <v>457</v>
      </c>
      <c r="D203" s="49" t="s">
        <v>147</v>
      </c>
      <c r="E203" s="68">
        <v>278.39</v>
      </c>
      <c r="F203" s="68">
        <v>7569.81</v>
      </c>
      <c r="G203" s="68">
        <v>-310.88</v>
      </c>
      <c r="H203" s="68">
        <v>738.18</v>
      </c>
      <c r="I203" s="68">
        <v>0</v>
      </c>
      <c r="J203" s="68">
        <v>1607.5</v>
      </c>
      <c r="K203" s="68">
        <v>1640.29</v>
      </c>
      <c r="L203" s="68">
        <v>6010.29</v>
      </c>
      <c r="M203" s="68">
        <v>346.4</v>
      </c>
      <c r="N203" s="68">
        <v>1569.96</v>
      </c>
      <c r="O203" s="68">
        <v>416</v>
      </c>
      <c r="P203" s="96">
        <v>0</v>
      </c>
      <c r="Q203" s="68">
        <v>12178.12</v>
      </c>
      <c r="R203" s="68">
        <v>52.85</v>
      </c>
      <c r="S203" s="68">
        <v>271.94</v>
      </c>
      <c r="T203" s="68">
        <v>733.91</v>
      </c>
      <c r="U203" s="68">
        <v>497.97</v>
      </c>
      <c r="V203" s="68">
        <v>3582.39</v>
      </c>
      <c r="W203" s="68">
        <v>1017.79</v>
      </c>
      <c r="X203" s="68">
        <v>963.53</v>
      </c>
      <c r="Y203" s="68">
        <v>424.44</v>
      </c>
      <c r="Z203" s="68">
        <v>938.4</v>
      </c>
      <c r="AA203" s="68">
        <v>3047.26</v>
      </c>
      <c r="AB203" s="68">
        <v>998.53</v>
      </c>
      <c r="AC203" s="68">
        <v>0</v>
      </c>
    </row>
    <row r="204" spans="1:29" x14ac:dyDescent="0.55000000000000004">
      <c r="A204" s="49" t="s">
        <v>506</v>
      </c>
      <c r="B204" s="49" t="s">
        <v>507</v>
      </c>
      <c r="C204" s="49" t="s">
        <v>457</v>
      </c>
      <c r="D204" s="49" t="s">
        <v>147</v>
      </c>
      <c r="E204" s="68">
        <v>0</v>
      </c>
      <c r="F204" s="68">
        <v>938.35</v>
      </c>
      <c r="G204" s="68">
        <v>2100</v>
      </c>
      <c r="H204" s="68">
        <v>648.16</v>
      </c>
      <c r="I204" s="68">
        <v>2140</v>
      </c>
      <c r="J204" s="68">
        <v>8275</v>
      </c>
      <c r="K204" s="68">
        <v>2239.37</v>
      </c>
      <c r="L204" s="68">
        <v>13858.24</v>
      </c>
      <c r="M204" s="68">
        <v>4835.25</v>
      </c>
      <c r="N204" s="68">
        <v>8750</v>
      </c>
      <c r="O204" s="68">
        <v>9305</v>
      </c>
      <c r="P204" s="96">
        <v>4675.21</v>
      </c>
      <c r="Q204" s="68">
        <v>3474</v>
      </c>
      <c r="R204" s="68">
        <v>400</v>
      </c>
      <c r="S204" s="68">
        <v>487.69</v>
      </c>
      <c r="T204" s="68">
        <v>3150</v>
      </c>
      <c r="U204" s="68">
        <v>560</v>
      </c>
      <c r="V204" s="68">
        <v>0</v>
      </c>
      <c r="W204" s="68">
        <v>0</v>
      </c>
      <c r="X204" s="68">
        <v>3680</v>
      </c>
      <c r="Y204" s="68">
        <v>400</v>
      </c>
      <c r="Z204" s="68">
        <v>4700</v>
      </c>
      <c r="AA204" s="68">
        <v>1900</v>
      </c>
      <c r="AB204" s="68">
        <v>3336.89</v>
      </c>
      <c r="AC204" s="68">
        <v>0</v>
      </c>
    </row>
    <row r="205" spans="1:29" x14ac:dyDescent="0.55000000000000004">
      <c r="A205" s="49" t="s">
        <v>508</v>
      </c>
      <c r="B205" s="49" t="s">
        <v>509</v>
      </c>
      <c r="C205" s="49" t="s">
        <v>510</v>
      </c>
      <c r="D205" s="49" t="s">
        <v>147</v>
      </c>
      <c r="E205" s="68">
        <v>-410.23</v>
      </c>
      <c r="F205" s="68">
        <v>3298.75</v>
      </c>
      <c r="G205" s="68">
        <v>5315</v>
      </c>
      <c r="H205" s="68">
        <v>4201.2</v>
      </c>
      <c r="I205" s="68">
        <v>899.68</v>
      </c>
      <c r="J205" s="68">
        <v>0</v>
      </c>
      <c r="K205" s="68">
        <v>0</v>
      </c>
      <c r="L205" s="68">
        <v>438.24</v>
      </c>
      <c r="M205" s="68">
        <v>950</v>
      </c>
      <c r="N205" s="68">
        <v>0</v>
      </c>
      <c r="O205" s="68">
        <v>3799.5</v>
      </c>
      <c r="P205" s="96">
        <v>6930</v>
      </c>
      <c r="Q205" s="68">
        <v>1428</v>
      </c>
      <c r="R205" s="68">
        <v>0</v>
      </c>
      <c r="S205" s="68">
        <v>0</v>
      </c>
      <c r="T205" s="68">
        <v>262.52999999999997</v>
      </c>
      <c r="U205" s="68">
        <v>3879.7</v>
      </c>
      <c r="V205" s="68">
        <v>0</v>
      </c>
      <c r="W205" s="68">
        <v>0</v>
      </c>
      <c r="X205" s="68">
        <v>531.5</v>
      </c>
      <c r="Y205" s="68">
        <v>0</v>
      </c>
      <c r="Z205" s="68">
        <v>1494.05</v>
      </c>
      <c r="AA205" s="68">
        <v>185.41</v>
      </c>
      <c r="AB205" s="68">
        <v>1820</v>
      </c>
      <c r="AC205" s="68">
        <v>0</v>
      </c>
    </row>
    <row r="206" spans="1:29" x14ac:dyDescent="0.55000000000000004">
      <c r="A206" s="49" t="s">
        <v>511</v>
      </c>
      <c r="B206" s="49" t="s">
        <v>512</v>
      </c>
      <c r="C206" s="49" t="s">
        <v>457</v>
      </c>
      <c r="D206" s="49" t="s">
        <v>513</v>
      </c>
      <c r="E206" s="68">
        <v>0</v>
      </c>
      <c r="F206" s="68">
        <v>0</v>
      </c>
      <c r="G206" s="68">
        <v>4007.5</v>
      </c>
      <c r="H206" s="68">
        <v>0</v>
      </c>
      <c r="I206" s="68">
        <v>0</v>
      </c>
      <c r="J206" s="68">
        <v>0</v>
      </c>
      <c r="K206" s="68">
        <v>0</v>
      </c>
      <c r="L206" s="68">
        <v>7351.5</v>
      </c>
      <c r="M206" s="68">
        <v>0</v>
      </c>
      <c r="N206" s="68">
        <v>0</v>
      </c>
      <c r="O206" s="68">
        <v>0</v>
      </c>
      <c r="P206" s="96">
        <v>0</v>
      </c>
      <c r="Q206" s="68">
        <v>10429.799999999999</v>
      </c>
      <c r="R206" s="68">
        <v>0</v>
      </c>
      <c r="S206" s="68">
        <v>0</v>
      </c>
      <c r="T206" s="68">
        <v>0</v>
      </c>
      <c r="U206" s="68">
        <v>0</v>
      </c>
      <c r="V206" s="68">
        <v>0</v>
      </c>
      <c r="W206" s="68">
        <v>4320</v>
      </c>
      <c r="X206" s="68">
        <v>0</v>
      </c>
      <c r="Y206" s="68">
        <v>2350.23</v>
      </c>
      <c r="Z206" s="68">
        <v>0</v>
      </c>
      <c r="AA206" s="68">
        <v>0</v>
      </c>
      <c r="AB206" s="68">
        <v>8098.97</v>
      </c>
      <c r="AC206" s="68">
        <v>0</v>
      </c>
    </row>
    <row r="207" spans="1:29" x14ac:dyDescent="0.55000000000000004">
      <c r="A207" s="49" t="s">
        <v>514</v>
      </c>
      <c r="B207" s="49" t="s">
        <v>515</v>
      </c>
      <c r="C207" s="49" t="s">
        <v>457</v>
      </c>
      <c r="D207" s="49" t="s">
        <v>513</v>
      </c>
      <c r="E207" s="68">
        <v>0</v>
      </c>
      <c r="F207" s="68">
        <v>0</v>
      </c>
      <c r="G207" s="68">
        <v>13595.85</v>
      </c>
      <c r="H207" s="68">
        <v>0</v>
      </c>
      <c r="I207" s="68">
        <v>0</v>
      </c>
      <c r="J207" s="68">
        <v>0</v>
      </c>
      <c r="K207" s="68">
        <v>0</v>
      </c>
      <c r="L207" s="68">
        <v>26688.17</v>
      </c>
      <c r="M207" s="68">
        <v>0</v>
      </c>
      <c r="N207" s="68">
        <v>0</v>
      </c>
      <c r="O207" s="68">
        <v>0</v>
      </c>
      <c r="P207" s="96">
        <v>0</v>
      </c>
      <c r="Q207" s="68">
        <v>7644</v>
      </c>
      <c r="R207" s="68">
        <v>0</v>
      </c>
      <c r="S207" s="68">
        <v>0</v>
      </c>
      <c r="T207" s="68">
        <v>0</v>
      </c>
      <c r="U207" s="68">
        <v>0</v>
      </c>
      <c r="V207" s="68">
        <v>0</v>
      </c>
      <c r="W207" s="68">
        <v>6913.5</v>
      </c>
      <c r="X207" s="68">
        <v>0</v>
      </c>
      <c r="Y207" s="68">
        <v>0</v>
      </c>
      <c r="Z207" s="68">
        <v>0</v>
      </c>
      <c r="AA207" s="68">
        <v>0</v>
      </c>
      <c r="AB207" s="68">
        <v>49523.33</v>
      </c>
      <c r="AC207" s="68">
        <v>0</v>
      </c>
    </row>
    <row r="208" spans="1:29" x14ac:dyDescent="0.55000000000000004">
      <c r="A208" s="49" t="s">
        <v>516</v>
      </c>
      <c r="B208" s="49" t="s">
        <v>517</v>
      </c>
      <c r="C208" s="49" t="s">
        <v>457</v>
      </c>
      <c r="D208" s="49" t="s">
        <v>513</v>
      </c>
      <c r="E208" s="68">
        <v>0</v>
      </c>
      <c r="F208" s="68">
        <v>0</v>
      </c>
      <c r="G208" s="68">
        <v>14673.45</v>
      </c>
      <c r="H208" s="68">
        <v>3531.13</v>
      </c>
      <c r="I208" s="68">
        <v>6328.93</v>
      </c>
      <c r="J208" s="68">
        <v>0</v>
      </c>
      <c r="K208" s="68">
        <v>30120.68</v>
      </c>
      <c r="L208" s="68">
        <v>19589.509999999998</v>
      </c>
      <c r="M208" s="68">
        <v>0</v>
      </c>
      <c r="N208" s="68">
        <v>5862.5</v>
      </c>
      <c r="O208" s="68">
        <v>0</v>
      </c>
      <c r="P208" s="96">
        <v>0</v>
      </c>
      <c r="Q208" s="68">
        <v>58627.14</v>
      </c>
      <c r="R208" s="68">
        <v>0</v>
      </c>
      <c r="S208" s="68">
        <v>17472</v>
      </c>
      <c r="T208" s="68">
        <v>0</v>
      </c>
      <c r="U208" s="68">
        <v>0</v>
      </c>
      <c r="V208" s="68">
        <v>0</v>
      </c>
      <c r="W208" s="68">
        <v>2818.24</v>
      </c>
      <c r="X208" s="68">
        <v>0</v>
      </c>
      <c r="Y208" s="68">
        <v>0</v>
      </c>
      <c r="Z208" s="68">
        <v>0</v>
      </c>
      <c r="AA208" s="68">
        <v>0</v>
      </c>
      <c r="AB208" s="68">
        <v>25493.19</v>
      </c>
      <c r="AC208" s="68">
        <v>0</v>
      </c>
    </row>
    <row r="209" spans="1:29" x14ac:dyDescent="0.55000000000000004">
      <c r="A209" s="49" t="s">
        <v>518</v>
      </c>
      <c r="B209" s="49" t="s">
        <v>519</v>
      </c>
      <c r="C209" s="49" t="s">
        <v>457</v>
      </c>
      <c r="D209" s="49" t="s">
        <v>147</v>
      </c>
      <c r="E209" s="68">
        <v>0</v>
      </c>
      <c r="F209" s="68">
        <v>0</v>
      </c>
      <c r="G209" s="68">
        <v>0</v>
      </c>
      <c r="H209" s="68">
        <v>0</v>
      </c>
      <c r="I209" s="68">
        <v>0</v>
      </c>
      <c r="J209" s="68">
        <v>0</v>
      </c>
      <c r="K209" s="68">
        <v>0</v>
      </c>
      <c r="L209" s="68">
        <v>0</v>
      </c>
      <c r="M209" s="68">
        <v>0</v>
      </c>
      <c r="N209" s="68">
        <v>0</v>
      </c>
      <c r="O209" s="68">
        <v>0</v>
      </c>
      <c r="P209" s="96">
        <v>0</v>
      </c>
      <c r="Q209" s="68">
        <v>44.3</v>
      </c>
      <c r="R209" s="68">
        <v>0</v>
      </c>
      <c r="S209" s="68">
        <v>0</v>
      </c>
      <c r="T209" s="68">
        <v>0</v>
      </c>
      <c r="U209" s="68">
        <v>0</v>
      </c>
      <c r="V209" s="68">
        <v>0</v>
      </c>
      <c r="W209" s="68">
        <v>0</v>
      </c>
      <c r="X209" s="68">
        <v>0</v>
      </c>
      <c r="Y209" s="68">
        <v>0</v>
      </c>
      <c r="Z209" s="68">
        <v>0</v>
      </c>
      <c r="AA209" s="68">
        <v>0</v>
      </c>
      <c r="AB209" s="68">
        <v>0</v>
      </c>
      <c r="AC209" s="68">
        <v>0</v>
      </c>
    </row>
    <row r="210" spans="1:29" x14ac:dyDescent="0.55000000000000004">
      <c r="A210" s="49" t="s">
        <v>520</v>
      </c>
      <c r="B210" s="49" t="s">
        <v>521</v>
      </c>
      <c r="C210" s="49" t="s">
        <v>522</v>
      </c>
      <c r="D210" s="49" t="s">
        <v>523</v>
      </c>
      <c r="E210" s="68">
        <v>4077.66</v>
      </c>
      <c r="F210" s="68">
        <v>5720.22</v>
      </c>
      <c r="G210" s="68">
        <v>0</v>
      </c>
      <c r="H210" s="68">
        <v>4050.84</v>
      </c>
      <c r="I210" s="68">
        <v>3792.54</v>
      </c>
      <c r="J210" s="68">
        <v>4629.5200000000004</v>
      </c>
      <c r="K210" s="68">
        <v>5470.88</v>
      </c>
      <c r="L210" s="68">
        <v>4976</v>
      </c>
      <c r="M210" s="68">
        <v>5200.2</v>
      </c>
      <c r="N210" s="68">
        <v>5590.22</v>
      </c>
      <c r="O210" s="68">
        <v>4593.5200000000004</v>
      </c>
      <c r="P210" s="96">
        <v>4100.1000000000004</v>
      </c>
      <c r="Q210" s="68">
        <v>3119.99</v>
      </c>
      <c r="R210" s="68">
        <v>4836.2</v>
      </c>
      <c r="S210" s="68">
        <v>6066.9</v>
      </c>
      <c r="T210" s="68">
        <v>5893.56</v>
      </c>
      <c r="U210" s="68">
        <v>8358.4</v>
      </c>
      <c r="V210" s="68">
        <v>6066.9</v>
      </c>
      <c r="W210" s="68">
        <v>3207.6</v>
      </c>
      <c r="X210" s="68">
        <v>4840.01</v>
      </c>
      <c r="Y210" s="68">
        <v>0</v>
      </c>
      <c r="Z210" s="68">
        <v>4897.26</v>
      </c>
      <c r="AA210" s="68">
        <v>7292.42</v>
      </c>
      <c r="AB210" s="68">
        <v>0</v>
      </c>
      <c r="AC210" s="68">
        <v>0</v>
      </c>
    </row>
    <row r="211" spans="1:29" x14ac:dyDescent="0.55000000000000004">
      <c r="A211" s="49" t="s">
        <v>524</v>
      </c>
      <c r="B211" s="49" t="s">
        <v>525</v>
      </c>
      <c r="C211" s="49" t="s">
        <v>522</v>
      </c>
      <c r="D211" s="49" t="s">
        <v>523</v>
      </c>
      <c r="E211" s="68">
        <v>5912.05</v>
      </c>
      <c r="F211" s="68">
        <v>2129.9699999999998</v>
      </c>
      <c r="G211" s="68">
        <v>7864.88</v>
      </c>
      <c r="H211" s="68">
        <v>1836.89</v>
      </c>
      <c r="I211" s="68">
        <v>5316.62</v>
      </c>
      <c r="J211" s="68">
        <v>5581.85</v>
      </c>
      <c r="K211" s="68">
        <v>4590.67</v>
      </c>
      <c r="L211" s="68">
        <v>4203.97</v>
      </c>
      <c r="M211" s="68">
        <v>2298.94</v>
      </c>
      <c r="N211" s="68">
        <v>4730</v>
      </c>
      <c r="O211" s="68">
        <v>0</v>
      </c>
      <c r="P211" s="96">
        <v>2691.78</v>
      </c>
      <c r="Q211" s="68">
        <v>1254</v>
      </c>
      <c r="R211" s="68">
        <v>0</v>
      </c>
      <c r="S211" s="68">
        <v>3924.07</v>
      </c>
      <c r="T211" s="68">
        <v>2999.42</v>
      </c>
      <c r="U211" s="68">
        <v>2770.15</v>
      </c>
      <c r="V211" s="68">
        <v>2071.98</v>
      </c>
      <c r="W211" s="68">
        <v>2775.68</v>
      </c>
      <c r="X211" s="68">
        <v>1659</v>
      </c>
      <c r="Y211" s="68">
        <v>4800.83</v>
      </c>
      <c r="Z211" s="68">
        <v>4690.5</v>
      </c>
      <c r="AA211" s="68">
        <v>6669.07</v>
      </c>
      <c r="AB211" s="68">
        <v>16589.349999999999</v>
      </c>
      <c r="AC211" s="68">
        <v>0</v>
      </c>
    </row>
    <row r="212" spans="1:29" x14ac:dyDescent="0.55000000000000004">
      <c r="A212" s="49" t="s">
        <v>526</v>
      </c>
      <c r="B212" s="49" t="s">
        <v>527</v>
      </c>
      <c r="C212" s="49" t="s">
        <v>522</v>
      </c>
      <c r="D212" s="49" t="s">
        <v>523</v>
      </c>
      <c r="E212" s="68">
        <v>919.38</v>
      </c>
      <c r="F212" s="68">
        <v>532.98</v>
      </c>
      <c r="G212" s="68">
        <v>631.87</v>
      </c>
      <c r="H212" s="68">
        <v>465.4</v>
      </c>
      <c r="I212" s="68">
        <v>804.68</v>
      </c>
      <c r="J212" s="68">
        <v>760.57</v>
      </c>
      <c r="K212" s="68">
        <v>885.92</v>
      </c>
      <c r="L212" s="68">
        <v>681.25</v>
      </c>
      <c r="M212" s="68">
        <v>596.71</v>
      </c>
      <c r="N212" s="68">
        <v>883.06</v>
      </c>
      <c r="O212" s="68">
        <v>472.43</v>
      </c>
      <c r="P212" s="96">
        <v>603.42999999999995</v>
      </c>
      <c r="Q212" s="68">
        <v>394.19</v>
      </c>
      <c r="R212" s="68">
        <v>365.83</v>
      </c>
      <c r="S212" s="68">
        <v>897.85</v>
      </c>
      <c r="T212" s="68">
        <v>652.46</v>
      </c>
      <c r="U212" s="68">
        <v>851.34</v>
      </c>
      <c r="V212" s="68">
        <v>602.36</v>
      </c>
      <c r="W212" s="68">
        <v>416.79</v>
      </c>
      <c r="X212" s="68">
        <v>562.01</v>
      </c>
      <c r="Y212" s="68">
        <v>364.41</v>
      </c>
      <c r="Z212" s="68">
        <v>1243.71</v>
      </c>
      <c r="AA212" s="68">
        <v>1107.75</v>
      </c>
      <c r="AB212" s="68">
        <v>1330.74</v>
      </c>
      <c r="AC212" s="68">
        <v>0</v>
      </c>
    </row>
    <row r="213" spans="1:29" x14ac:dyDescent="0.55000000000000004">
      <c r="A213" s="49" t="s">
        <v>528</v>
      </c>
      <c r="B213" s="49" t="s">
        <v>529</v>
      </c>
      <c r="C213" s="49" t="s">
        <v>522</v>
      </c>
      <c r="D213" s="49" t="s">
        <v>523</v>
      </c>
      <c r="E213" s="68">
        <v>1190.18</v>
      </c>
      <c r="F213" s="68">
        <v>339.82</v>
      </c>
      <c r="G213" s="68">
        <v>681.25</v>
      </c>
      <c r="H213" s="68">
        <v>259.62</v>
      </c>
      <c r="I213" s="68">
        <v>1740.81</v>
      </c>
      <c r="J213" s="68">
        <v>949.83</v>
      </c>
      <c r="K213" s="68">
        <v>329.55</v>
      </c>
      <c r="L213" s="68">
        <v>82.22</v>
      </c>
      <c r="M213" s="68">
        <v>554.35</v>
      </c>
      <c r="N213" s="68">
        <v>1603.91</v>
      </c>
      <c r="O213" s="68">
        <v>1368.34</v>
      </c>
      <c r="P213" s="96">
        <v>1113.97</v>
      </c>
      <c r="Q213" s="68">
        <v>584.63</v>
      </c>
      <c r="R213" s="68">
        <v>499.95</v>
      </c>
      <c r="S213" s="68">
        <v>428.61</v>
      </c>
      <c r="T213" s="68">
        <v>158.76</v>
      </c>
      <c r="U213" s="68">
        <v>30.62</v>
      </c>
      <c r="V213" s="68">
        <v>330.37</v>
      </c>
      <c r="W213" s="68">
        <v>330.3</v>
      </c>
      <c r="X213" s="68">
        <v>1051.98</v>
      </c>
      <c r="Y213" s="68">
        <v>500.16</v>
      </c>
      <c r="Z213" s="68">
        <v>4010.7</v>
      </c>
      <c r="AA213" s="68">
        <v>-315.73</v>
      </c>
      <c r="AB213" s="68">
        <v>1543.61</v>
      </c>
      <c r="AC213" s="68">
        <v>0</v>
      </c>
    </row>
    <row r="214" spans="1:29" x14ac:dyDescent="0.55000000000000004">
      <c r="A214" s="49" t="s">
        <v>530</v>
      </c>
      <c r="B214" s="49" t="s">
        <v>531</v>
      </c>
      <c r="C214" s="49" t="s">
        <v>522</v>
      </c>
      <c r="D214" s="49" t="s">
        <v>523</v>
      </c>
      <c r="E214" s="68">
        <v>103.3</v>
      </c>
      <c r="F214" s="68">
        <v>1370.51</v>
      </c>
      <c r="G214" s="68">
        <v>287.42</v>
      </c>
      <c r="H214" s="68">
        <v>0</v>
      </c>
      <c r="I214" s="68">
        <v>245.64</v>
      </c>
      <c r="J214" s="68">
        <v>707.33</v>
      </c>
      <c r="K214" s="68">
        <v>0</v>
      </c>
      <c r="L214" s="68">
        <v>295.97000000000003</v>
      </c>
      <c r="M214" s="68">
        <v>106.83</v>
      </c>
      <c r="N214" s="68">
        <v>233.86</v>
      </c>
      <c r="O214" s="68">
        <v>0</v>
      </c>
      <c r="P214" s="96">
        <v>0</v>
      </c>
      <c r="Q214" s="68">
        <v>288.93</v>
      </c>
      <c r="R214" s="68">
        <v>489.72</v>
      </c>
      <c r="S214" s="68">
        <v>357.12</v>
      </c>
      <c r="T214" s="68">
        <v>431.01</v>
      </c>
      <c r="U214" s="68">
        <v>0</v>
      </c>
      <c r="V214" s="68">
        <v>525.14</v>
      </c>
      <c r="W214" s="68">
        <v>3812.78</v>
      </c>
      <c r="X214" s="68">
        <v>498.59</v>
      </c>
      <c r="Y214" s="68">
        <v>419.36</v>
      </c>
      <c r="Z214" s="68">
        <v>212.97</v>
      </c>
      <c r="AA214" s="68">
        <v>256.64999999999998</v>
      </c>
      <c r="AB214" s="68">
        <v>867.82</v>
      </c>
      <c r="AC214" s="68">
        <v>0</v>
      </c>
    </row>
    <row r="215" spans="1:29" x14ac:dyDescent="0.55000000000000004">
      <c r="A215" s="49" t="s">
        <v>532</v>
      </c>
      <c r="B215" s="49" t="s">
        <v>533</v>
      </c>
      <c r="C215" s="49" t="s">
        <v>522</v>
      </c>
      <c r="D215" s="49" t="s">
        <v>523</v>
      </c>
      <c r="E215" s="68">
        <v>103.88</v>
      </c>
      <c r="F215" s="68">
        <v>76.959999999999994</v>
      </c>
      <c r="G215" s="68">
        <v>79.95</v>
      </c>
      <c r="H215" s="68">
        <v>1388.59</v>
      </c>
      <c r="I215" s="68">
        <v>101.35</v>
      </c>
      <c r="J215" s="68">
        <v>100.8</v>
      </c>
      <c r="K215" s="68">
        <v>96.53</v>
      </c>
      <c r="L215" s="68">
        <v>86.29</v>
      </c>
      <c r="M215" s="68">
        <v>74.209999999999994</v>
      </c>
      <c r="N215" s="68">
        <v>109.14</v>
      </c>
      <c r="O215" s="68">
        <v>58.05</v>
      </c>
      <c r="P215" s="96">
        <v>74.150000000000006</v>
      </c>
      <c r="Q215" s="68">
        <v>46.05</v>
      </c>
      <c r="R215" s="68">
        <v>47.66</v>
      </c>
      <c r="S215" s="68">
        <v>96.95</v>
      </c>
      <c r="T215" s="68">
        <v>83.59</v>
      </c>
      <c r="U215" s="68">
        <v>104.61</v>
      </c>
      <c r="V215" s="68">
        <v>273.08999999999997</v>
      </c>
      <c r="W215" s="68">
        <v>56.24</v>
      </c>
      <c r="X215" s="68">
        <v>140.52000000000001</v>
      </c>
      <c r="Y215" s="68">
        <v>115.82</v>
      </c>
      <c r="Z215" s="68">
        <v>221.91</v>
      </c>
      <c r="AA215" s="68">
        <v>320.60000000000002</v>
      </c>
      <c r="AB215" s="68">
        <v>167.97</v>
      </c>
      <c r="AC215" s="68">
        <v>0</v>
      </c>
    </row>
    <row r="216" spans="1:29" x14ac:dyDescent="0.55000000000000004">
      <c r="A216" s="49" t="s">
        <v>534</v>
      </c>
      <c r="B216" s="49" t="s">
        <v>535</v>
      </c>
      <c r="C216" s="49" t="s">
        <v>522</v>
      </c>
      <c r="D216" s="49" t="s">
        <v>147</v>
      </c>
      <c r="E216" s="68">
        <v>2625.06</v>
      </c>
      <c r="F216" s="68">
        <v>6933.94</v>
      </c>
      <c r="G216" s="68">
        <v>3238.77</v>
      </c>
      <c r="H216" s="68">
        <v>4807.53</v>
      </c>
      <c r="I216" s="68">
        <v>1690.52</v>
      </c>
      <c r="J216" s="68">
        <v>946.23</v>
      </c>
      <c r="K216" s="68">
        <v>1746.49</v>
      </c>
      <c r="L216" s="68">
        <v>1610.89</v>
      </c>
      <c r="M216" s="68">
        <v>461.2</v>
      </c>
      <c r="N216" s="68">
        <v>1863.65</v>
      </c>
      <c r="O216" s="68">
        <v>1293.4100000000001</v>
      </c>
      <c r="P216" s="96">
        <v>2804.84</v>
      </c>
      <c r="Q216" s="68">
        <v>4481.84</v>
      </c>
      <c r="R216" s="68">
        <v>796</v>
      </c>
      <c r="S216" s="68">
        <v>4253.0600000000004</v>
      </c>
      <c r="T216" s="68">
        <v>342.26</v>
      </c>
      <c r="U216" s="68">
        <v>4902.74</v>
      </c>
      <c r="V216" s="68">
        <v>5203.1400000000003</v>
      </c>
      <c r="W216" s="68">
        <v>1416.42</v>
      </c>
      <c r="X216" s="68">
        <v>6482.96</v>
      </c>
      <c r="Y216" s="68">
        <v>5708.2</v>
      </c>
      <c r="Z216" s="68">
        <v>1920.2</v>
      </c>
      <c r="AA216" s="68">
        <v>3004.56</v>
      </c>
      <c r="AB216" s="68">
        <v>1205.3</v>
      </c>
      <c r="AC216" s="68">
        <v>0</v>
      </c>
    </row>
    <row r="217" spans="1:29" x14ac:dyDescent="0.55000000000000004">
      <c r="A217" s="49" t="s">
        <v>536</v>
      </c>
      <c r="B217" s="49" t="s">
        <v>537</v>
      </c>
      <c r="C217" s="49" t="s">
        <v>522</v>
      </c>
      <c r="D217" s="49" t="s">
        <v>147</v>
      </c>
      <c r="E217" s="68">
        <v>250</v>
      </c>
      <c r="F217" s="68">
        <v>385.12</v>
      </c>
      <c r="G217" s="68">
        <v>0</v>
      </c>
      <c r="H217" s="68">
        <v>0</v>
      </c>
      <c r="I217" s="68">
        <v>352.76</v>
      </c>
      <c r="J217" s="68">
        <v>0</v>
      </c>
      <c r="K217" s="68">
        <v>0</v>
      </c>
      <c r="L217" s="68">
        <v>0</v>
      </c>
      <c r="M217" s="68">
        <v>2930.29</v>
      </c>
      <c r="N217" s="68">
        <v>0</v>
      </c>
      <c r="O217" s="68">
        <v>0</v>
      </c>
      <c r="P217" s="96">
        <v>35.72</v>
      </c>
      <c r="Q217" s="68">
        <v>0</v>
      </c>
      <c r="R217" s="68">
        <v>0</v>
      </c>
      <c r="S217" s="68">
        <v>1351.73</v>
      </c>
      <c r="T217" s="68">
        <v>0</v>
      </c>
      <c r="U217" s="68">
        <v>0</v>
      </c>
      <c r="V217" s="68">
        <v>0</v>
      </c>
      <c r="W217" s="68">
        <v>0</v>
      </c>
      <c r="X217" s="68">
        <v>523</v>
      </c>
      <c r="Y217" s="68">
        <v>0</v>
      </c>
      <c r="Z217" s="68">
        <v>0</v>
      </c>
      <c r="AA217" s="68">
        <v>0</v>
      </c>
      <c r="AB217" s="68">
        <v>0</v>
      </c>
      <c r="AC217" s="68">
        <v>0</v>
      </c>
    </row>
    <row r="218" spans="1:29" x14ac:dyDescent="0.55000000000000004">
      <c r="A218" s="49" t="s">
        <v>538</v>
      </c>
      <c r="B218" s="49" t="s">
        <v>539</v>
      </c>
      <c r="C218" s="49" t="s">
        <v>522</v>
      </c>
      <c r="D218" s="49" t="s">
        <v>147</v>
      </c>
      <c r="E218" s="68">
        <v>3095.69</v>
      </c>
      <c r="F218" s="68">
        <v>2120</v>
      </c>
      <c r="G218" s="68">
        <v>890.49</v>
      </c>
      <c r="H218" s="68">
        <v>4025.24</v>
      </c>
      <c r="I218" s="68">
        <v>2010</v>
      </c>
      <c r="J218" s="68">
        <v>2040</v>
      </c>
      <c r="K218" s="68">
        <v>0</v>
      </c>
      <c r="L218" s="68">
        <v>268.06</v>
      </c>
      <c r="M218" s="68">
        <v>385</v>
      </c>
      <c r="N218" s="68">
        <v>4546.8999999999996</v>
      </c>
      <c r="O218" s="68">
        <v>520</v>
      </c>
      <c r="P218" s="96">
        <v>724.5</v>
      </c>
      <c r="Q218" s="68">
        <v>5280.49</v>
      </c>
      <c r="R218" s="68">
        <v>1035.1300000000001</v>
      </c>
      <c r="S218" s="68">
        <v>2829.32</v>
      </c>
      <c r="T218" s="68">
        <v>3161.68</v>
      </c>
      <c r="U218" s="68">
        <v>3411.73</v>
      </c>
      <c r="V218" s="68">
        <v>125</v>
      </c>
      <c r="W218" s="68">
        <v>432.72</v>
      </c>
      <c r="X218" s="68">
        <v>5509.04</v>
      </c>
      <c r="Y218" s="68">
        <v>2156.02</v>
      </c>
      <c r="Z218" s="68">
        <v>4450.3599999999997</v>
      </c>
      <c r="AA218" s="68">
        <v>2005.82</v>
      </c>
      <c r="AB218" s="68">
        <v>1113.1099999999999</v>
      </c>
      <c r="AC218" s="68">
        <v>0</v>
      </c>
    </row>
    <row r="219" spans="1:29" x14ac:dyDescent="0.55000000000000004">
      <c r="A219" s="49" t="s">
        <v>540</v>
      </c>
      <c r="B219" s="49" t="s">
        <v>541</v>
      </c>
      <c r="C219" s="49" t="s">
        <v>522</v>
      </c>
      <c r="D219" s="49" t="s">
        <v>147</v>
      </c>
      <c r="E219" s="68">
        <v>0</v>
      </c>
      <c r="F219" s="68">
        <v>0</v>
      </c>
      <c r="G219" s="68">
        <v>0</v>
      </c>
      <c r="H219" s="68">
        <v>0</v>
      </c>
      <c r="I219" s="68">
        <v>0</v>
      </c>
      <c r="J219" s="68">
        <v>0</v>
      </c>
      <c r="K219" s="68">
        <v>390</v>
      </c>
      <c r="L219" s="68">
        <v>0</v>
      </c>
      <c r="M219" s="68">
        <v>305.35000000000002</v>
      </c>
      <c r="N219" s="68">
        <v>2143.38</v>
      </c>
      <c r="O219" s="68">
        <v>0</v>
      </c>
      <c r="P219" s="96">
        <v>0</v>
      </c>
      <c r="Q219" s="68">
        <v>1545.5</v>
      </c>
      <c r="R219" s="68">
        <v>385</v>
      </c>
      <c r="S219" s="68">
        <v>0</v>
      </c>
      <c r="T219" s="68">
        <v>0</v>
      </c>
      <c r="U219" s="68">
        <v>264.13</v>
      </c>
      <c r="V219" s="68">
        <v>0</v>
      </c>
      <c r="W219" s="68">
        <v>0</v>
      </c>
      <c r="X219" s="68">
        <v>0</v>
      </c>
      <c r="Y219" s="68">
        <v>0</v>
      </c>
      <c r="Z219" s="68">
        <v>0</v>
      </c>
      <c r="AA219" s="68">
        <v>0</v>
      </c>
      <c r="AB219" s="68">
        <v>0</v>
      </c>
      <c r="AC219" s="68">
        <v>0</v>
      </c>
    </row>
    <row r="220" spans="1:29" x14ac:dyDescent="0.55000000000000004">
      <c r="A220" s="49" t="s">
        <v>542</v>
      </c>
      <c r="B220" s="49" t="s">
        <v>543</v>
      </c>
      <c r="C220" s="49" t="s">
        <v>522</v>
      </c>
      <c r="D220" s="49" t="s">
        <v>147</v>
      </c>
      <c r="E220" s="68">
        <v>234</v>
      </c>
      <c r="F220" s="68">
        <v>513.54999999999995</v>
      </c>
      <c r="G220" s="68">
        <v>352.72</v>
      </c>
      <c r="H220" s="68">
        <v>448.72</v>
      </c>
      <c r="I220" s="68">
        <v>101</v>
      </c>
      <c r="J220" s="68">
        <v>1117</v>
      </c>
      <c r="K220" s="68">
        <v>210</v>
      </c>
      <c r="L220" s="68">
        <v>208</v>
      </c>
      <c r="M220" s="68">
        <v>556</v>
      </c>
      <c r="N220" s="68">
        <v>308</v>
      </c>
      <c r="O220" s="68">
        <v>0</v>
      </c>
      <c r="P220" s="96">
        <v>188.94</v>
      </c>
      <c r="Q220" s="68">
        <v>450.04</v>
      </c>
      <c r="R220" s="68">
        <v>961</v>
      </c>
      <c r="S220" s="68">
        <v>2201.84</v>
      </c>
      <c r="T220" s="68">
        <v>592</v>
      </c>
      <c r="U220" s="68">
        <v>113</v>
      </c>
      <c r="V220" s="68">
        <v>212.62</v>
      </c>
      <c r="W220" s="68">
        <v>99</v>
      </c>
      <c r="X220" s="68">
        <v>0</v>
      </c>
      <c r="Y220" s="68">
        <v>1056.33</v>
      </c>
      <c r="Z220" s="68">
        <v>23</v>
      </c>
      <c r="AA220" s="68">
        <v>789.01</v>
      </c>
      <c r="AB220" s="68">
        <v>51.4</v>
      </c>
      <c r="AC220" s="68">
        <v>0</v>
      </c>
    </row>
    <row r="221" spans="1:29" x14ac:dyDescent="0.55000000000000004">
      <c r="A221" s="49" t="s">
        <v>544</v>
      </c>
      <c r="B221" s="49" t="s">
        <v>545</v>
      </c>
      <c r="C221" s="49" t="s">
        <v>522</v>
      </c>
      <c r="D221" s="49" t="s">
        <v>147</v>
      </c>
      <c r="E221" s="68">
        <v>400</v>
      </c>
      <c r="F221" s="68">
        <v>0</v>
      </c>
      <c r="G221" s="68">
        <v>1218.18</v>
      </c>
      <c r="H221" s="68">
        <v>750</v>
      </c>
      <c r="I221" s="68">
        <v>1100</v>
      </c>
      <c r="J221" s="68">
        <v>-300</v>
      </c>
      <c r="K221" s="68">
        <v>0</v>
      </c>
      <c r="L221" s="68">
        <v>450</v>
      </c>
      <c r="M221" s="68">
        <v>575</v>
      </c>
      <c r="N221" s="68">
        <v>2190.66</v>
      </c>
      <c r="O221" s="68">
        <v>500</v>
      </c>
      <c r="P221" s="96">
        <v>800</v>
      </c>
      <c r="Q221" s="68">
        <v>350</v>
      </c>
      <c r="R221" s="68">
        <v>158.07</v>
      </c>
      <c r="S221" s="68">
        <v>0</v>
      </c>
      <c r="T221" s="68">
        <v>430.3</v>
      </c>
      <c r="U221" s="68">
        <v>0</v>
      </c>
      <c r="V221" s="68">
        <v>0</v>
      </c>
      <c r="W221" s="68">
        <v>0</v>
      </c>
      <c r="X221" s="68">
        <v>0</v>
      </c>
      <c r="Y221" s="68">
        <v>1400.3</v>
      </c>
      <c r="Z221" s="68">
        <v>0</v>
      </c>
      <c r="AA221" s="68">
        <v>806.94</v>
      </c>
      <c r="AB221" s="68">
        <v>925</v>
      </c>
      <c r="AC221" s="68">
        <v>0</v>
      </c>
    </row>
    <row r="222" spans="1:29" x14ac:dyDescent="0.55000000000000004">
      <c r="A222" s="49" t="s">
        <v>546</v>
      </c>
      <c r="B222" s="49" t="s">
        <v>547</v>
      </c>
      <c r="C222" s="49" t="s">
        <v>522</v>
      </c>
      <c r="D222" s="49" t="s">
        <v>147</v>
      </c>
      <c r="E222" s="68">
        <v>601</v>
      </c>
      <c r="F222" s="68">
        <v>297</v>
      </c>
      <c r="G222" s="68">
        <v>507</v>
      </c>
      <c r="H222" s="68">
        <v>599</v>
      </c>
      <c r="I222" s="68">
        <v>200</v>
      </c>
      <c r="J222" s="68">
        <v>560.15</v>
      </c>
      <c r="K222" s="68">
        <v>180</v>
      </c>
      <c r="L222" s="68">
        <v>200</v>
      </c>
      <c r="M222" s="68">
        <v>77</v>
      </c>
      <c r="N222" s="68">
        <v>0</v>
      </c>
      <c r="O222" s="68">
        <v>190</v>
      </c>
      <c r="P222" s="96">
        <v>805</v>
      </c>
      <c r="Q222" s="68">
        <v>507.16</v>
      </c>
      <c r="R222" s="68">
        <v>860.85</v>
      </c>
      <c r="S222" s="68">
        <v>674</v>
      </c>
      <c r="T222" s="68">
        <v>268.74</v>
      </c>
      <c r="U222" s="68">
        <v>156.16999999999999</v>
      </c>
      <c r="V222" s="68">
        <v>88</v>
      </c>
      <c r="W222" s="68">
        <v>142</v>
      </c>
      <c r="X222" s="68">
        <v>88</v>
      </c>
      <c r="Y222" s="68">
        <v>775.5</v>
      </c>
      <c r="Z222" s="68">
        <v>191.94</v>
      </c>
      <c r="AA222" s="68">
        <v>170.66</v>
      </c>
      <c r="AB222" s="68">
        <v>378.96</v>
      </c>
      <c r="AC222" s="68">
        <v>0</v>
      </c>
    </row>
    <row r="223" spans="1:29" x14ac:dyDescent="0.55000000000000004">
      <c r="A223" s="49" t="s">
        <v>548</v>
      </c>
      <c r="B223" s="49" t="s">
        <v>549</v>
      </c>
      <c r="C223" s="49" t="s">
        <v>522</v>
      </c>
      <c r="D223" s="49" t="s">
        <v>147</v>
      </c>
      <c r="E223" s="68">
        <v>11255.97</v>
      </c>
      <c r="F223" s="68">
        <v>11406.19</v>
      </c>
      <c r="G223" s="68">
        <v>13024.73</v>
      </c>
      <c r="H223" s="68">
        <v>5698.87</v>
      </c>
      <c r="I223" s="68">
        <v>6779.86</v>
      </c>
      <c r="J223" s="68">
        <v>5653.39</v>
      </c>
      <c r="K223" s="68">
        <v>5316.91</v>
      </c>
      <c r="L223" s="68">
        <v>10193.120000000001</v>
      </c>
      <c r="M223" s="68">
        <v>5061.5600000000004</v>
      </c>
      <c r="N223" s="68">
        <v>3280.35</v>
      </c>
      <c r="O223" s="68">
        <v>8088.09</v>
      </c>
      <c r="P223" s="96">
        <v>4640</v>
      </c>
      <c r="Q223" s="68">
        <v>8521.8700000000008</v>
      </c>
      <c r="R223" s="68">
        <v>7547.77</v>
      </c>
      <c r="S223" s="68">
        <v>9938.31</v>
      </c>
      <c r="T223" s="68">
        <v>5269.15</v>
      </c>
      <c r="U223" s="68">
        <v>6603.21</v>
      </c>
      <c r="V223" s="68">
        <v>3970.62</v>
      </c>
      <c r="W223" s="68">
        <v>10251.530000000001</v>
      </c>
      <c r="X223" s="68">
        <v>3379.46</v>
      </c>
      <c r="Y223" s="68">
        <v>4369.9799999999996</v>
      </c>
      <c r="Z223" s="68">
        <v>3139.35</v>
      </c>
      <c r="AA223" s="68">
        <v>4896.18</v>
      </c>
      <c r="AB223" s="68">
        <v>27437.33</v>
      </c>
      <c r="AC223" s="68">
        <v>0</v>
      </c>
    </row>
    <row r="224" spans="1:29" x14ac:dyDescent="0.55000000000000004">
      <c r="A224" s="49" t="s">
        <v>550</v>
      </c>
      <c r="B224" s="49" t="s">
        <v>551</v>
      </c>
      <c r="C224" s="49" t="s">
        <v>522</v>
      </c>
      <c r="D224" s="49" t="s">
        <v>147</v>
      </c>
      <c r="E224" s="68">
        <v>372.9</v>
      </c>
      <c r="F224" s="68">
        <v>1461.8</v>
      </c>
      <c r="G224" s="68">
        <v>1146.03</v>
      </c>
      <c r="H224" s="68">
        <v>1109.3499999999999</v>
      </c>
      <c r="I224" s="68">
        <v>1942.19</v>
      </c>
      <c r="J224" s="68">
        <v>0</v>
      </c>
      <c r="K224" s="68">
        <v>1200.47</v>
      </c>
      <c r="L224" s="68">
        <v>1573.14</v>
      </c>
      <c r="M224" s="68">
        <v>839.12</v>
      </c>
      <c r="N224" s="68">
        <v>896.46</v>
      </c>
      <c r="O224" s="68">
        <v>534.42999999999995</v>
      </c>
      <c r="P224" s="96">
        <v>1525.87</v>
      </c>
      <c r="Q224" s="68">
        <v>1175.24</v>
      </c>
      <c r="R224" s="68">
        <v>812.49</v>
      </c>
      <c r="S224" s="68">
        <v>1592.2</v>
      </c>
      <c r="T224" s="68">
        <v>476.51</v>
      </c>
      <c r="U224" s="68">
        <v>1393.35</v>
      </c>
      <c r="V224" s="68">
        <v>980.28</v>
      </c>
      <c r="W224" s="68">
        <v>962.62</v>
      </c>
      <c r="X224" s="68">
        <v>1213.19</v>
      </c>
      <c r="Y224" s="68">
        <v>862.76</v>
      </c>
      <c r="Z224" s="68">
        <v>1404.42</v>
      </c>
      <c r="AA224" s="68">
        <v>1153.81</v>
      </c>
      <c r="AB224" s="68">
        <v>2286.59</v>
      </c>
      <c r="AC224" s="68">
        <v>0</v>
      </c>
    </row>
    <row r="225" spans="1:29" x14ac:dyDescent="0.55000000000000004">
      <c r="A225" s="49" t="s">
        <v>552</v>
      </c>
      <c r="B225" s="49" t="s">
        <v>553</v>
      </c>
      <c r="C225" s="49" t="s">
        <v>522</v>
      </c>
      <c r="D225" s="49" t="s">
        <v>147</v>
      </c>
      <c r="E225" s="68">
        <v>831.73</v>
      </c>
      <c r="F225" s="68">
        <v>1037.6099999999999</v>
      </c>
      <c r="G225" s="68">
        <v>1590.98</v>
      </c>
      <c r="H225" s="68">
        <v>1005.05</v>
      </c>
      <c r="I225" s="68">
        <v>2725.6</v>
      </c>
      <c r="J225" s="68">
        <v>1608.84</v>
      </c>
      <c r="K225" s="68">
        <v>1405</v>
      </c>
      <c r="L225" s="68">
        <v>2504.31</v>
      </c>
      <c r="M225" s="68">
        <v>572.91</v>
      </c>
      <c r="N225" s="68">
        <v>1072.76</v>
      </c>
      <c r="O225" s="68">
        <v>690.54</v>
      </c>
      <c r="P225" s="96">
        <v>1343.54</v>
      </c>
      <c r="Q225" s="68">
        <v>1250.76</v>
      </c>
      <c r="R225" s="68">
        <v>1490</v>
      </c>
      <c r="S225" s="68">
        <v>2023.44</v>
      </c>
      <c r="T225" s="68">
        <v>645</v>
      </c>
      <c r="U225" s="68">
        <v>2008.1</v>
      </c>
      <c r="V225" s="68">
        <v>477.81</v>
      </c>
      <c r="W225" s="68">
        <v>2064.0700000000002</v>
      </c>
      <c r="X225" s="68">
        <v>3094.93</v>
      </c>
      <c r="Y225" s="68">
        <v>6690</v>
      </c>
      <c r="Z225" s="68">
        <v>12429.75</v>
      </c>
      <c r="AA225" s="68">
        <v>21194.99</v>
      </c>
      <c r="AB225" s="68">
        <v>2050</v>
      </c>
      <c r="AC225" s="68">
        <v>0</v>
      </c>
    </row>
    <row r="226" spans="1:29" x14ac:dyDescent="0.55000000000000004">
      <c r="A226" s="49" t="s">
        <v>911</v>
      </c>
      <c r="B226" s="49" t="s">
        <v>912</v>
      </c>
      <c r="C226" s="49" t="s">
        <v>522</v>
      </c>
      <c r="D226" s="49" t="s">
        <v>147</v>
      </c>
      <c r="E226" s="68">
        <v>0</v>
      </c>
      <c r="F226" s="68">
        <v>0</v>
      </c>
      <c r="G226" s="68">
        <v>0</v>
      </c>
      <c r="H226" s="68">
        <v>0</v>
      </c>
      <c r="I226" s="68">
        <v>0</v>
      </c>
      <c r="J226" s="68">
        <v>118.72</v>
      </c>
      <c r="K226" s="68">
        <v>0</v>
      </c>
      <c r="L226" s="68">
        <v>0</v>
      </c>
      <c r="M226" s="68">
        <v>0</v>
      </c>
      <c r="N226" s="68">
        <v>0</v>
      </c>
      <c r="O226" s="68">
        <v>0</v>
      </c>
      <c r="P226" s="96">
        <v>0</v>
      </c>
      <c r="Q226" s="68">
        <v>0</v>
      </c>
      <c r="R226" s="68">
        <v>0</v>
      </c>
      <c r="S226" s="68">
        <v>0</v>
      </c>
      <c r="T226" s="68">
        <v>0</v>
      </c>
      <c r="U226" s="68">
        <v>0</v>
      </c>
      <c r="V226" s="68">
        <v>0</v>
      </c>
      <c r="W226" s="68">
        <v>0</v>
      </c>
      <c r="X226" s="68">
        <v>0</v>
      </c>
      <c r="Y226" s="68">
        <v>0</v>
      </c>
      <c r="Z226" s="68">
        <v>0</v>
      </c>
      <c r="AA226" s="68">
        <v>0</v>
      </c>
      <c r="AB226" s="68">
        <v>0</v>
      </c>
      <c r="AC226" s="68">
        <v>0</v>
      </c>
    </row>
    <row r="227" spans="1:29" x14ac:dyDescent="0.55000000000000004">
      <c r="A227" s="49" t="s">
        <v>554</v>
      </c>
      <c r="B227" s="49" t="s">
        <v>555</v>
      </c>
      <c r="C227" s="49" t="s">
        <v>522</v>
      </c>
      <c r="D227" s="49" t="s">
        <v>147</v>
      </c>
      <c r="E227" s="68">
        <v>1251.1099999999999</v>
      </c>
      <c r="F227" s="68">
        <v>1878.98</v>
      </c>
      <c r="G227" s="68">
        <v>3984.86</v>
      </c>
      <c r="H227" s="68">
        <v>1265.92</v>
      </c>
      <c r="I227" s="68">
        <v>1344.84</v>
      </c>
      <c r="J227" s="68">
        <v>2924</v>
      </c>
      <c r="K227" s="68">
        <v>1989.38</v>
      </c>
      <c r="L227" s="68">
        <v>2460.9899999999998</v>
      </c>
      <c r="M227" s="68">
        <v>1750</v>
      </c>
      <c r="N227" s="68">
        <v>250</v>
      </c>
      <c r="O227" s="68">
        <v>2225.09</v>
      </c>
      <c r="P227" s="96">
        <v>1603.71</v>
      </c>
      <c r="Q227" s="68">
        <v>3115.44</v>
      </c>
      <c r="R227" s="68">
        <v>3130.75</v>
      </c>
      <c r="S227" s="68">
        <v>3333.02</v>
      </c>
      <c r="T227" s="68">
        <v>400</v>
      </c>
      <c r="U227" s="68">
        <v>6046.42</v>
      </c>
      <c r="V227" s="68">
        <v>2739.23</v>
      </c>
      <c r="W227" s="68">
        <v>2481.14</v>
      </c>
      <c r="X227" s="68">
        <v>7537.07</v>
      </c>
      <c r="Y227" s="68">
        <v>2256.2199999999998</v>
      </c>
      <c r="Z227" s="68">
        <v>3606.38</v>
      </c>
      <c r="AA227" s="68">
        <v>1627.35</v>
      </c>
      <c r="AB227" s="68">
        <v>2277.94</v>
      </c>
      <c r="AC227" s="68">
        <v>0</v>
      </c>
    </row>
    <row r="228" spans="1:29" x14ac:dyDescent="0.55000000000000004">
      <c r="A228" s="49" t="s">
        <v>556</v>
      </c>
      <c r="B228" s="49" t="s">
        <v>557</v>
      </c>
      <c r="C228" s="49" t="s">
        <v>522</v>
      </c>
      <c r="D228" s="49" t="s">
        <v>147</v>
      </c>
      <c r="E228" s="68">
        <v>214.02</v>
      </c>
      <c r="F228" s="68">
        <v>215.7</v>
      </c>
      <c r="G228" s="68">
        <v>1388.13</v>
      </c>
      <c r="H228" s="68">
        <v>147.77000000000001</v>
      </c>
      <c r="I228" s="68">
        <v>0</v>
      </c>
      <c r="J228" s="68">
        <v>1510.17</v>
      </c>
      <c r="K228" s="68">
        <v>0</v>
      </c>
      <c r="L228" s="68">
        <v>0</v>
      </c>
      <c r="M228" s="68">
        <v>67.37</v>
      </c>
      <c r="N228" s="68">
        <v>2228.5700000000002</v>
      </c>
      <c r="O228" s="68">
        <v>267.8</v>
      </c>
      <c r="P228" s="96">
        <v>2676.18</v>
      </c>
      <c r="Q228" s="68">
        <v>1371.31</v>
      </c>
      <c r="R228" s="68">
        <v>0</v>
      </c>
      <c r="S228" s="68">
        <v>2121.98</v>
      </c>
      <c r="T228" s="68">
        <v>5590.27</v>
      </c>
      <c r="U228" s="68">
        <v>0</v>
      </c>
      <c r="V228" s="68">
        <v>1358.06</v>
      </c>
      <c r="W228" s="68">
        <v>2556.3200000000002</v>
      </c>
      <c r="X228" s="68">
        <v>66.150000000000006</v>
      </c>
      <c r="Y228" s="68">
        <v>0</v>
      </c>
      <c r="Z228" s="68">
        <v>0</v>
      </c>
      <c r="AA228" s="68">
        <v>0</v>
      </c>
      <c r="AB228" s="68">
        <v>650</v>
      </c>
      <c r="AC228" s="68">
        <v>0</v>
      </c>
    </row>
    <row r="229" spans="1:29" x14ac:dyDescent="0.55000000000000004">
      <c r="A229" s="49" t="s">
        <v>558</v>
      </c>
      <c r="B229" s="49" t="s">
        <v>559</v>
      </c>
      <c r="C229" s="49" t="s">
        <v>522</v>
      </c>
      <c r="D229" s="49" t="s">
        <v>147</v>
      </c>
      <c r="E229" s="68">
        <v>0</v>
      </c>
      <c r="F229" s="68">
        <v>0</v>
      </c>
      <c r="G229" s="68">
        <v>0</v>
      </c>
      <c r="H229" s="68">
        <v>0</v>
      </c>
      <c r="I229" s="68">
        <v>0</v>
      </c>
      <c r="J229" s="68">
        <v>0</v>
      </c>
      <c r="K229" s="68">
        <v>0</v>
      </c>
      <c r="L229" s="68">
        <v>0</v>
      </c>
      <c r="M229" s="68">
        <v>0</v>
      </c>
      <c r="N229" s="68">
        <v>857.32</v>
      </c>
      <c r="O229" s="68">
        <v>0</v>
      </c>
      <c r="P229" s="96">
        <v>-166.12</v>
      </c>
      <c r="Q229" s="68">
        <v>0</v>
      </c>
      <c r="R229" s="68">
        <v>0</v>
      </c>
      <c r="S229" s="68">
        <v>0</v>
      </c>
      <c r="T229" s="68">
        <v>0</v>
      </c>
      <c r="U229" s="68">
        <v>0</v>
      </c>
      <c r="V229" s="68">
        <v>0</v>
      </c>
      <c r="W229" s="68">
        <v>0</v>
      </c>
      <c r="X229" s="68">
        <v>-160.05000000000001</v>
      </c>
      <c r="Y229" s="68">
        <v>0</v>
      </c>
      <c r="Z229" s="68">
        <v>0</v>
      </c>
      <c r="AA229" s="68">
        <v>0</v>
      </c>
      <c r="AB229" s="68">
        <v>0</v>
      </c>
      <c r="AC229" s="68">
        <v>0</v>
      </c>
    </row>
    <row r="230" spans="1:29" x14ac:dyDescent="0.55000000000000004">
      <c r="A230" s="49" t="s">
        <v>560</v>
      </c>
      <c r="B230" s="49" t="s">
        <v>561</v>
      </c>
      <c r="C230" s="49" t="s">
        <v>562</v>
      </c>
      <c r="D230" s="49" t="s">
        <v>523</v>
      </c>
      <c r="E230" s="68">
        <v>0</v>
      </c>
      <c r="F230" s="68">
        <v>0</v>
      </c>
      <c r="G230" s="68">
        <v>3733.5</v>
      </c>
      <c r="H230" s="68">
        <v>0</v>
      </c>
      <c r="I230" s="68">
        <v>0</v>
      </c>
      <c r="J230" s="68">
        <v>0</v>
      </c>
      <c r="K230" s="68">
        <v>0</v>
      </c>
      <c r="L230" s="68">
        <v>0</v>
      </c>
      <c r="M230" s="68">
        <v>0</v>
      </c>
      <c r="N230" s="68">
        <v>0</v>
      </c>
      <c r="O230" s="68">
        <v>4203.76</v>
      </c>
      <c r="P230" s="96">
        <v>0</v>
      </c>
      <c r="Q230" s="68">
        <v>0</v>
      </c>
      <c r="R230" s="68">
        <v>0</v>
      </c>
      <c r="S230" s="68">
        <v>0</v>
      </c>
      <c r="T230" s="68">
        <v>3643.73</v>
      </c>
      <c r="U230" s="68">
        <v>0</v>
      </c>
      <c r="V230" s="68">
        <v>0</v>
      </c>
      <c r="W230" s="68">
        <v>0</v>
      </c>
      <c r="X230" s="68">
        <v>5029.75</v>
      </c>
      <c r="Y230" s="68">
        <v>4730.09</v>
      </c>
      <c r="Z230" s="68">
        <v>0</v>
      </c>
      <c r="AA230" s="68">
        <v>3423.75</v>
      </c>
      <c r="AB230" s="68">
        <v>4573.9399999999996</v>
      </c>
      <c r="AC230" s="68">
        <v>0</v>
      </c>
    </row>
    <row r="231" spans="1:29" x14ac:dyDescent="0.55000000000000004">
      <c r="A231" s="49" t="s">
        <v>563</v>
      </c>
      <c r="B231" s="49" t="s">
        <v>564</v>
      </c>
      <c r="C231" s="49" t="s">
        <v>562</v>
      </c>
      <c r="D231" s="49" t="s">
        <v>523</v>
      </c>
      <c r="E231" s="68">
        <v>14618.41</v>
      </c>
      <c r="F231" s="68">
        <v>12709.44</v>
      </c>
      <c r="G231" s="68">
        <v>18575.060000000001</v>
      </c>
      <c r="H231" s="68">
        <v>5960.05</v>
      </c>
      <c r="I231" s="68">
        <v>14077.81</v>
      </c>
      <c r="J231" s="68">
        <v>7371.12</v>
      </c>
      <c r="K231" s="68">
        <v>7054.96</v>
      </c>
      <c r="L231" s="68">
        <v>12047.04</v>
      </c>
      <c r="M231" s="68">
        <v>5910.15</v>
      </c>
      <c r="N231" s="68">
        <v>10575.21</v>
      </c>
      <c r="O231" s="68">
        <v>5574.78</v>
      </c>
      <c r="P231" s="96">
        <v>8166.24</v>
      </c>
      <c r="Q231" s="68">
        <v>8011.77</v>
      </c>
      <c r="R231" s="68">
        <v>6823.98</v>
      </c>
      <c r="S231" s="68">
        <v>10151.61</v>
      </c>
      <c r="T231" s="68">
        <v>5681.21</v>
      </c>
      <c r="U231" s="68">
        <v>14637.14</v>
      </c>
      <c r="V231" s="68">
        <v>9856.67</v>
      </c>
      <c r="W231" s="68">
        <v>8889.08</v>
      </c>
      <c r="X231" s="68">
        <v>15443.69</v>
      </c>
      <c r="Y231" s="68">
        <v>16165.33</v>
      </c>
      <c r="Z231" s="68">
        <v>17892.5</v>
      </c>
      <c r="AA231" s="68">
        <v>23342.04</v>
      </c>
      <c r="AB231" s="68">
        <v>14757.62</v>
      </c>
      <c r="AC231" s="68">
        <v>0</v>
      </c>
    </row>
    <row r="232" spans="1:29" x14ac:dyDescent="0.55000000000000004">
      <c r="A232" s="49" t="s">
        <v>565</v>
      </c>
      <c r="B232" s="49" t="s">
        <v>566</v>
      </c>
      <c r="C232" s="49" t="s">
        <v>562</v>
      </c>
      <c r="D232" s="49" t="s">
        <v>523</v>
      </c>
      <c r="E232" s="68">
        <v>1223.98</v>
      </c>
      <c r="F232" s="68">
        <v>1117.71</v>
      </c>
      <c r="G232" s="68">
        <v>1950.2</v>
      </c>
      <c r="H232" s="68">
        <v>449.81</v>
      </c>
      <c r="I232" s="68">
        <v>1132.94</v>
      </c>
      <c r="J232" s="68">
        <v>572.61</v>
      </c>
      <c r="K232" s="68">
        <v>562.65</v>
      </c>
      <c r="L232" s="68">
        <v>1011.95</v>
      </c>
      <c r="M232" s="68">
        <v>454.31</v>
      </c>
      <c r="N232" s="68">
        <v>845.71</v>
      </c>
      <c r="O232" s="68">
        <v>814.14</v>
      </c>
      <c r="P232" s="96">
        <v>691.18</v>
      </c>
      <c r="Q232" s="68">
        <v>647.88</v>
      </c>
      <c r="R232" s="68">
        <v>581.41999999999996</v>
      </c>
      <c r="S232" s="68">
        <v>862.9</v>
      </c>
      <c r="T232" s="68">
        <v>748.51</v>
      </c>
      <c r="U232" s="68">
        <v>1373.94</v>
      </c>
      <c r="V232" s="68">
        <v>784.08</v>
      </c>
      <c r="W232" s="68">
        <v>709.69</v>
      </c>
      <c r="X232" s="68">
        <v>1706.3</v>
      </c>
      <c r="Y232" s="68">
        <v>1777.43</v>
      </c>
      <c r="Z232" s="68">
        <v>1756.85</v>
      </c>
      <c r="AA232" s="68">
        <v>2407.1799999999998</v>
      </c>
      <c r="AB232" s="68">
        <v>1428.46</v>
      </c>
      <c r="AC232" s="68">
        <v>0</v>
      </c>
    </row>
    <row r="233" spans="1:29" x14ac:dyDescent="0.55000000000000004">
      <c r="A233" s="49" t="s">
        <v>567</v>
      </c>
      <c r="B233" s="49" t="s">
        <v>568</v>
      </c>
      <c r="C233" s="49" t="s">
        <v>562</v>
      </c>
      <c r="D233" s="49" t="s">
        <v>523</v>
      </c>
      <c r="E233" s="68">
        <v>1880.41</v>
      </c>
      <c r="F233" s="68">
        <v>1142.76</v>
      </c>
      <c r="G233" s="68">
        <v>3906.95</v>
      </c>
      <c r="H233" s="68">
        <v>316.82</v>
      </c>
      <c r="I233" s="68">
        <v>1045.43</v>
      </c>
      <c r="J233" s="68">
        <v>533.52</v>
      </c>
      <c r="K233" s="68">
        <v>445.25</v>
      </c>
      <c r="L233" s="68">
        <v>1443.74</v>
      </c>
      <c r="M233" s="68">
        <v>265.35000000000002</v>
      </c>
      <c r="N233" s="68">
        <v>1433.47</v>
      </c>
      <c r="O233" s="68">
        <v>724.21</v>
      </c>
      <c r="P233" s="96">
        <v>307.58</v>
      </c>
      <c r="Q233" s="68">
        <v>801.89</v>
      </c>
      <c r="R233" s="68">
        <v>114.12</v>
      </c>
      <c r="S233" s="68">
        <v>979.04</v>
      </c>
      <c r="T233" s="68">
        <v>988.48</v>
      </c>
      <c r="U233" s="68">
        <v>2602.9899999999998</v>
      </c>
      <c r="V233" s="68">
        <v>860.7</v>
      </c>
      <c r="W233" s="68">
        <v>709.46</v>
      </c>
      <c r="X233" s="68">
        <v>1247.9100000000001</v>
      </c>
      <c r="Y233" s="68">
        <v>2111.63</v>
      </c>
      <c r="Z233" s="68">
        <v>2224.39</v>
      </c>
      <c r="AA233" s="68">
        <v>2143.5300000000002</v>
      </c>
      <c r="AB233" s="68">
        <v>901.06</v>
      </c>
      <c r="AC233" s="68">
        <v>0</v>
      </c>
    </row>
    <row r="234" spans="1:29" x14ac:dyDescent="0.55000000000000004">
      <c r="A234" s="49" t="s">
        <v>569</v>
      </c>
      <c r="B234" s="49" t="s">
        <v>570</v>
      </c>
      <c r="C234" s="49" t="s">
        <v>562</v>
      </c>
      <c r="D234" s="49" t="s">
        <v>523</v>
      </c>
      <c r="E234" s="68">
        <v>308.5</v>
      </c>
      <c r="F234" s="68">
        <v>53.9</v>
      </c>
      <c r="G234" s="68">
        <v>742.6</v>
      </c>
      <c r="H234" s="68">
        <v>57.66</v>
      </c>
      <c r="I234" s="68">
        <v>146.63</v>
      </c>
      <c r="J234" s="68">
        <v>0</v>
      </c>
      <c r="K234" s="68">
        <v>0</v>
      </c>
      <c r="L234" s="68">
        <v>149.75</v>
      </c>
      <c r="M234" s="68">
        <v>73.099999999999994</v>
      </c>
      <c r="N234" s="68">
        <v>515.73</v>
      </c>
      <c r="O234" s="68">
        <v>0</v>
      </c>
      <c r="P234" s="96">
        <v>0</v>
      </c>
      <c r="Q234" s="68">
        <v>480.91</v>
      </c>
      <c r="R234" s="68">
        <v>0</v>
      </c>
      <c r="S234" s="68">
        <v>0</v>
      </c>
      <c r="T234" s="68">
        <v>411</v>
      </c>
      <c r="U234" s="68">
        <v>223.01</v>
      </c>
      <c r="V234" s="68">
        <v>848.09</v>
      </c>
      <c r="W234" s="68">
        <v>841.17</v>
      </c>
      <c r="X234" s="68">
        <v>702.81</v>
      </c>
      <c r="Y234" s="68">
        <v>319.37</v>
      </c>
      <c r="Z234" s="68">
        <v>436.52</v>
      </c>
      <c r="AA234" s="68">
        <v>512.38</v>
      </c>
      <c r="AB234" s="68">
        <v>2367.2800000000002</v>
      </c>
      <c r="AC234" s="68">
        <v>0</v>
      </c>
    </row>
    <row r="235" spans="1:29" x14ac:dyDescent="0.55000000000000004">
      <c r="A235" s="49" t="s">
        <v>571</v>
      </c>
      <c r="B235" s="49" t="s">
        <v>572</v>
      </c>
      <c r="C235" s="49" t="s">
        <v>562</v>
      </c>
      <c r="D235" s="49" t="s">
        <v>523</v>
      </c>
      <c r="E235" s="68">
        <v>153.06</v>
      </c>
      <c r="F235" s="68">
        <v>130.18</v>
      </c>
      <c r="G235" s="68">
        <v>3404.95</v>
      </c>
      <c r="H235" s="68">
        <v>56.02</v>
      </c>
      <c r="I235" s="68">
        <v>140.69</v>
      </c>
      <c r="J235" s="68">
        <v>70.36</v>
      </c>
      <c r="K235" s="68">
        <v>69.14</v>
      </c>
      <c r="L235" s="68">
        <v>1671.46</v>
      </c>
      <c r="M235" s="68">
        <v>56.44</v>
      </c>
      <c r="N235" s="68">
        <v>134.37</v>
      </c>
      <c r="O235" s="68">
        <v>100.04</v>
      </c>
      <c r="P235" s="96">
        <v>78.569999999999993</v>
      </c>
      <c r="Q235" s="68">
        <v>78.349999999999994</v>
      </c>
      <c r="R235" s="68">
        <v>64.150000000000006</v>
      </c>
      <c r="S235" s="68">
        <v>102.83</v>
      </c>
      <c r="T235" s="68">
        <v>95.23</v>
      </c>
      <c r="U235" s="68">
        <v>161.9</v>
      </c>
      <c r="V235" s="68">
        <v>98.64</v>
      </c>
      <c r="W235" s="68">
        <v>88.61</v>
      </c>
      <c r="X235" s="68">
        <v>801.82</v>
      </c>
      <c r="Y235" s="68">
        <v>682.37</v>
      </c>
      <c r="Z235" s="68">
        <v>636.91</v>
      </c>
      <c r="AA235" s="68">
        <v>1023.71</v>
      </c>
      <c r="AB235" s="68">
        <v>185.78</v>
      </c>
      <c r="AC235" s="68">
        <v>0</v>
      </c>
    </row>
    <row r="236" spans="1:29" x14ac:dyDescent="0.55000000000000004">
      <c r="A236" s="49" t="s">
        <v>573</v>
      </c>
      <c r="B236" s="49" t="s">
        <v>574</v>
      </c>
      <c r="C236" s="49" t="s">
        <v>562</v>
      </c>
      <c r="D236" s="49" t="s">
        <v>147</v>
      </c>
      <c r="E236" s="68">
        <v>3798.79</v>
      </c>
      <c r="F236" s="68">
        <v>6104.36</v>
      </c>
      <c r="G236" s="68">
        <v>2334.39</v>
      </c>
      <c r="H236" s="68">
        <v>3966.24</v>
      </c>
      <c r="I236" s="68">
        <v>4046.93</v>
      </c>
      <c r="J236" s="68">
        <v>3058.51</v>
      </c>
      <c r="K236" s="68">
        <v>3436.67</v>
      </c>
      <c r="L236" s="68">
        <v>3972.3</v>
      </c>
      <c r="M236" s="68">
        <v>5008.25</v>
      </c>
      <c r="N236" s="68">
        <v>2404.12</v>
      </c>
      <c r="O236" s="68">
        <v>3022.96</v>
      </c>
      <c r="P236" s="96">
        <v>1579.35</v>
      </c>
      <c r="Q236" s="68">
        <v>2070.4699999999998</v>
      </c>
      <c r="R236" s="68">
        <v>545.74</v>
      </c>
      <c r="S236" s="68">
        <v>4970.3100000000004</v>
      </c>
      <c r="T236" s="68">
        <v>10.66</v>
      </c>
      <c r="U236" s="68">
        <v>2796.65</v>
      </c>
      <c r="V236" s="68">
        <v>2361.4499999999998</v>
      </c>
      <c r="W236" s="68">
        <v>2239.73</v>
      </c>
      <c r="X236" s="68">
        <v>4011.18</v>
      </c>
      <c r="Y236" s="68">
        <v>1557.05</v>
      </c>
      <c r="Z236" s="68">
        <v>3500.82</v>
      </c>
      <c r="AA236" s="68">
        <v>4467.78</v>
      </c>
      <c r="AB236" s="68">
        <v>4395.1400000000003</v>
      </c>
      <c r="AC236" s="68">
        <v>0</v>
      </c>
    </row>
    <row r="237" spans="1:29" x14ac:dyDescent="0.55000000000000004">
      <c r="A237" s="49" t="s">
        <v>913</v>
      </c>
      <c r="B237" s="49" t="s">
        <v>914</v>
      </c>
      <c r="C237" s="49" t="s">
        <v>562</v>
      </c>
      <c r="D237" s="49" t="s">
        <v>147</v>
      </c>
      <c r="E237" s="68">
        <v>0</v>
      </c>
      <c r="F237" s="68">
        <v>0</v>
      </c>
      <c r="G237" s="68">
        <v>0</v>
      </c>
      <c r="H237" s="68">
        <v>0</v>
      </c>
      <c r="I237" s="68">
        <v>709.74</v>
      </c>
      <c r="J237" s="68">
        <v>0</v>
      </c>
      <c r="K237" s="68">
        <v>0</v>
      </c>
      <c r="L237" s="68">
        <v>0</v>
      </c>
      <c r="M237" s="68">
        <v>0</v>
      </c>
      <c r="N237" s="68">
        <v>0</v>
      </c>
      <c r="O237" s="68">
        <v>0</v>
      </c>
      <c r="P237" s="96">
        <v>0</v>
      </c>
      <c r="Q237" s="68">
        <v>394.92</v>
      </c>
      <c r="R237" s="68">
        <v>222.53</v>
      </c>
      <c r="S237" s="68">
        <v>0</v>
      </c>
      <c r="T237" s="68">
        <v>0</v>
      </c>
      <c r="U237" s="68">
        <v>0</v>
      </c>
      <c r="V237" s="68">
        <v>0</v>
      </c>
      <c r="W237" s="68">
        <v>0</v>
      </c>
      <c r="X237" s="68">
        <v>0</v>
      </c>
      <c r="Y237" s="68">
        <v>0</v>
      </c>
      <c r="Z237" s="68">
        <v>0</v>
      </c>
      <c r="AA237" s="68">
        <v>0</v>
      </c>
      <c r="AB237" s="68">
        <v>0</v>
      </c>
      <c r="AC237" s="68">
        <v>0</v>
      </c>
    </row>
    <row r="238" spans="1:29" x14ac:dyDescent="0.55000000000000004">
      <c r="A238" s="49" t="s">
        <v>575</v>
      </c>
      <c r="B238" s="49" t="s">
        <v>576</v>
      </c>
      <c r="C238" s="49" t="s">
        <v>562</v>
      </c>
      <c r="D238" s="49" t="s">
        <v>147</v>
      </c>
      <c r="E238" s="68">
        <v>125</v>
      </c>
      <c r="F238" s="68">
        <v>0</v>
      </c>
      <c r="G238" s="68">
        <v>0</v>
      </c>
      <c r="H238" s="68">
        <v>0</v>
      </c>
      <c r="I238" s="68">
        <v>225</v>
      </c>
      <c r="J238" s="68">
        <v>0</v>
      </c>
      <c r="K238" s="68">
        <v>150</v>
      </c>
      <c r="L238" s="68">
        <v>300</v>
      </c>
      <c r="M238" s="68">
        <v>150</v>
      </c>
      <c r="N238" s="68">
        <v>0</v>
      </c>
      <c r="O238" s="68">
        <v>0</v>
      </c>
      <c r="P238" s="96">
        <v>0</v>
      </c>
      <c r="Q238" s="68">
        <v>0</v>
      </c>
      <c r="R238" s="68">
        <v>0</v>
      </c>
      <c r="S238" s="68">
        <v>0</v>
      </c>
      <c r="T238" s="68">
        <v>0</v>
      </c>
      <c r="U238" s="68">
        <v>0</v>
      </c>
      <c r="V238" s="68">
        <v>0</v>
      </c>
      <c r="W238" s="68">
        <v>0</v>
      </c>
      <c r="X238" s="68">
        <v>0</v>
      </c>
      <c r="Y238" s="68">
        <v>752.77</v>
      </c>
      <c r="Z238" s="68">
        <v>0</v>
      </c>
      <c r="AA238" s="68">
        <v>40.46</v>
      </c>
      <c r="AB238" s="68">
        <v>0</v>
      </c>
      <c r="AC238" s="68">
        <v>0</v>
      </c>
    </row>
    <row r="239" spans="1:29" x14ac:dyDescent="0.55000000000000004">
      <c r="A239" s="49" t="s">
        <v>577</v>
      </c>
      <c r="B239" s="49" t="s">
        <v>578</v>
      </c>
      <c r="C239" s="49" t="s">
        <v>562</v>
      </c>
      <c r="D239" s="49" t="s">
        <v>523</v>
      </c>
      <c r="E239" s="68">
        <v>0</v>
      </c>
      <c r="F239" s="68">
        <v>0</v>
      </c>
      <c r="G239" s="68">
        <v>0</v>
      </c>
      <c r="H239" s="68">
        <v>0</v>
      </c>
      <c r="I239" s="68">
        <v>0</v>
      </c>
      <c r="J239" s="68">
        <v>0</v>
      </c>
      <c r="K239" s="68">
        <v>0</v>
      </c>
      <c r="L239" s="68">
        <v>0</v>
      </c>
      <c r="M239" s="68">
        <v>0</v>
      </c>
      <c r="N239" s="68">
        <v>0</v>
      </c>
      <c r="O239" s="68">
        <v>0</v>
      </c>
      <c r="P239" s="96">
        <v>0</v>
      </c>
      <c r="Q239" s="68">
        <v>3810.5</v>
      </c>
      <c r="R239" s="68">
        <v>0</v>
      </c>
      <c r="S239" s="68">
        <v>0</v>
      </c>
      <c r="T239" s="68">
        <v>0</v>
      </c>
      <c r="U239" s="68">
        <v>0</v>
      </c>
      <c r="V239" s="68">
        <v>0</v>
      </c>
      <c r="W239" s="68">
        <v>0</v>
      </c>
      <c r="X239" s="68">
        <v>0</v>
      </c>
      <c r="Y239" s="68">
        <v>0</v>
      </c>
      <c r="Z239" s="68">
        <v>0</v>
      </c>
      <c r="AA239" s="68">
        <v>0</v>
      </c>
      <c r="AB239" s="68">
        <v>0</v>
      </c>
      <c r="AC239" s="68">
        <v>0</v>
      </c>
    </row>
    <row r="240" spans="1:29" x14ac:dyDescent="0.55000000000000004">
      <c r="A240" s="49" t="s">
        <v>579</v>
      </c>
      <c r="B240" s="49" t="s">
        <v>580</v>
      </c>
      <c r="C240" s="49" t="s">
        <v>562</v>
      </c>
      <c r="D240" s="49" t="s">
        <v>523</v>
      </c>
      <c r="E240" s="68">
        <v>0</v>
      </c>
      <c r="F240" s="68">
        <v>7280.88</v>
      </c>
      <c r="G240" s="68">
        <v>6531.64</v>
      </c>
      <c r="H240" s="68">
        <v>10932.95</v>
      </c>
      <c r="I240" s="68">
        <v>8883.6</v>
      </c>
      <c r="J240" s="68">
        <v>5552.7</v>
      </c>
      <c r="K240" s="68">
        <v>5998.62</v>
      </c>
      <c r="L240" s="68">
        <v>9552.9</v>
      </c>
      <c r="M240" s="68">
        <v>5140.8100000000004</v>
      </c>
      <c r="N240" s="68">
        <v>3089.91</v>
      </c>
      <c r="O240" s="68">
        <v>3427.92</v>
      </c>
      <c r="P240" s="96">
        <v>3438.88</v>
      </c>
      <c r="Q240" s="68">
        <v>8449.93</v>
      </c>
      <c r="R240" s="68">
        <v>2558.13</v>
      </c>
      <c r="S240" s="68">
        <v>9465.56</v>
      </c>
      <c r="T240" s="68">
        <v>0</v>
      </c>
      <c r="U240" s="68">
        <v>7392.81</v>
      </c>
      <c r="V240" s="68">
        <v>5820.83</v>
      </c>
      <c r="W240" s="68">
        <v>8269.84</v>
      </c>
      <c r="X240" s="68">
        <v>9881.8799999999992</v>
      </c>
      <c r="Y240" s="68">
        <v>5363.75</v>
      </c>
      <c r="Z240" s="68">
        <v>10910.57</v>
      </c>
      <c r="AA240" s="68">
        <v>0</v>
      </c>
      <c r="AB240" s="68">
        <v>10337.18</v>
      </c>
      <c r="AC240" s="68">
        <v>0</v>
      </c>
    </row>
    <row r="241" spans="1:29" x14ac:dyDescent="0.55000000000000004">
      <c r="A241" s="49" t="s">
        <v>581</v>
      </c>
      <c r="B241" s="49" t="s">
        <v>582</v>
      </c>
      <c r="C241" s="49" t="s">
        <v>562</v>
      </c>
      <c r="D241" s="49" t="s">
        <v>523</v>
      </c>
      <c r="E241" s="68">
        <v>0</v>
      </c>
      <c r="F241" s="68">
        <v>606.24</v>
      </c>
      <c r="G241" s="68">
        <v>566.22</v>
      </c>
      <c r="H241" s="68">
        <v>821.54</v>
      </c>
      <c r="I241" s="68">
        <v>748.01</v>
      </c>
      <c r="J241" s="68">
        <v>465.57</v>
      </c>
      <c r="K241" s="68">
        <v>458.89</v>
      </c>
      <c r="L241" s="68">
        <v>745.49</v>
      </c>
      <c r="M241" s="68">
        <v>428.14</v>
      </c>
      <c r="N241" s="68">
        <v>278.42</v>
      </c>
      <c r="O241" s="68">
        <v>262.24</v>
      </c>
      <c r="P241" s="96">
        <v>269.95999999999998</v>
      </c>
      <c r="Q241" s="68">
        <v>957.4</v>
      </c>
      <c r="R241" s="68">
        <v>195.7</v>
      </c>
      <c r="S241" s="68">
        <v>711.36</v>
      </c>
      <c r="T241" s="68">
        <v>0</v>
      </c>
      <c r="U241" s="68">
        <v>578.73</v>
      </c>
      <c r="V241" s="68">
        <v>474.82</v>
      </c>
      <c r="W241" s="68">
        <v>735.79</v>
      </c>
      <c r="X241" s="68">
        <v>950.74</v>
      </c>
      <c r="Y241" s="68">
        <v>407</v>
      </c>
      <c r="Z241" s="68">
        <v>935.64</v>
      </c>
      <c r="AA241" s="68">
        <v>0</v>
      </c>
      <c r="AB241" s="68">
        <v>774.81</v>
      </c>
      <c r="AC241" s="68">
        <v>0</v>
      </c>
    </row>
    <row r="242" spans="1:29" x14ac:dyDescent="0.55000000000000004">
      <c r="A242" s="49" t="s">
        <v>583</v>
      </c>
      <c r="B242" s="49" t="s">
        <v>584</v>
      </c>
      <c r="C242" s="49" t="s">
        <v>562</v>
      </c>
      <c r="D242" s="49" t="s">
        <v>523</v>
      </c>
      <c r="E242" s="68">
        <v>0</v>
      </c>
      <c r="F242" s="68">
        <v>792.43</v>
      </c>
      <c r="G242" s="68">
        <v>139.01</v>
      </c>
      <c r="H242" s="68">
        <v>296.52999999999997</v>
      </c>
      <c r="I242" s="68">
        <v>985.76</v>
      </c>
      <c r="J242" s="68">
        <v>125.31</v>
      </c>
      <c r="K242" s="68">
        <v>204.11</v>
      </c>
      <c r="L242" s="68">
        <v>299.37</v>
      </c>
      <c r="M242" s="68">
        <v>79.47</v>
      </c>
      <c r="N242" s="68">
        <v>732.72</v>
      </c>
      <c r="O242" s="68">
        <v>-111.85</v>
      </c>
      <c r="P242" s="96">
        <v>233.68</v>
      </c>
      <c r="Q242" s="68">
        <v>750.65</v>
      </c>
      <c r="R242" s="68">
        <v>82.16</v>
      </c>
      <c r="S242" s="68">
        <v>137.47999999999999</v>
      </c>
      <c r="T242" s="68">
        <v>0</v>
      </c>
      <c r="U242" s="68">
        <v>325.7</v>
      </c>
      <c r="V242" s="68">
        <v>282.63</v>
      </c>
      <c r="W242" s="68">
        <v>815.29</v>
      </c>
      <c r="X242" s="68">
        <v>1986.43</v>
      </c>
      <c r="Y242" s="68">
        <v>138.47999999999999</v>
      </c>
      <c r="Z242" s="68">
        <v>317.41000000000003</v>
      </c>
      <c r="AA242" s="68">
        <v>0</v>
      </c>
      <c r="AB242" s="68">
        <v>339.59</v>
      </c>
      <c r="AC242" s="68">
        <v>0</v>
      </c>
    </row>
    <row r="243" spans="1:29" x14ac:dyDescent="0.55000000000000004">
      <c r="A243" s="49" t="s">
        <v>585</v>
      </c>
      <c r="B243" s="49" t="s">
        <v>586</v>
      </c>
      <c r="C243" s="49" t="s">
        <v>562</v>
      </c>
      <c r="D243" s="49" t="s">
        <v>523</v>
      </c>
      <c r="E243" s="68">
        <v>0</v>
      </c>
      <c r="F243" s="68">
        <v>162.82</v>
      </c>
      <c r="G243" s="68">
        <v>158.37</v>
      </c>
      <c r="H243" s="68">
        <v>139.81</v>
      </c>
      <c r="I243" s="68">
        <v>24.28</v>
      </c>
      <c r="J243" s="68">
        <v>0</v>
      </c>
      <c r="K243" s="68">
        <v>0</v>
      </c>
      <c r="L243" s="68">
        <v>0</v>
      </c>
      <c r="M243" s="68">
        <v>0</v>
      </c>
      <c r="N243" s="68">
        <v>59.58</v>
      </c>
      <c r="O243" s="68">
        <v>0</v>
      </c>
      <c r="P243" s="96">
        <v>85.78</v>
      </c>
      <c r="Q243" s="68">
        <v>712.7</v>
      </c>
      <c r="R243" s="68">
        <v>0</v>
      </c>
      <c r="S243" s="68">
        <v>207.08</v>
      </c>
      <c r="T243" s="68">
        <v>0</v>
      </c>
      <c r="U243" s="68">
        <v>144.94999999999999</v>
      </c>
      <c r="V243" s="68">
        <v>8.56</v>
      </c>
      <c r="W243" s="68">
        <v>420.59</v>
      </c>
      <c r="X243" s="68">
        <v>116.37</v>
      </c>
      <c r="Y243" s="68">
        <v>177.06</v>
      </c>
      <c r="Z243" s="68">
        <v>824.75</v>
      </c>
      <c r="AA243" s="68">
        <v>0</v>
      </c>
      <c r="AB243" s="68">
        <v>587.70000000000005</v>
      </c>
      <c r="AC243" s="68">
        <v>0</v>
      </c>
    </row>
    <row r="244" spans="1:29" x14ac:dyDescent="0.55000000000000004">
      <c r="A244" s="49" t="s">
        <v>587</v>
      </c>
      <c r="B244" s="49" t="s">
        <v>588</v>
      </c>
      <c r="C244" s="49" t="s">
        <v>562</v>
      </c>
      <c r="D244" s="49" t="s">
        <v>523</v>
      </c>
      <c r="E244" s="68">
        <v>0</v>
      </c>
      <c r="F244" s="68">
        <v>75.86</v>
      </c>
      <c r="G244" s="68">
        <v>62.47</v>
      </c>
      <c r="H244" s="68">
        <v>102.77</v>
      </c>
      <c r="I244" s="68">
        <v>92.15</v>
      </c>
      <c r="J244" s="68">
        <v>52.2</v>
      </c>
      <c r="K244" s="68">
        <v>56.39</v>
      </c>
      <c r="L244" s="68">
        <v>525.55999999999995</v>
      </c>
      <c r="M244" s="68">
        <v>48.32</v>
      </c>
      <c r="N244" s="68">
        <v>34.840000000000003</v>
      </c>
      <c r="O244" s="68">
        <v>32.22</v>
      </c>
      <c r="P244" s="96">
        <v>34.28</v>
      </c>
      <c r="Q244" s="68">
        <v>118.68</v>
      </c>
      <c r="R244" s="68">
        <v>24.05</v>
      </c>
      <c r="S244" s="68">
        <v>88.98</v>
      </c>
      <c r="T244" s="68">
        <v>0</v>
      </c>
      <c r="U244" s="68">
        <v>72.09</v>
      </c>
      <c r="V244" s="68">
        <v>55.83</v>
      </c>
      <c r="W244" s="68">
        <v>83.85</v>
      </c>
      <c r="X244" s="68">
        <v>401.78</v>
      </c>
      <c r="Y244" s="68">
        <v>204.77</v>
      </c>
      <c r="Z244" s="68">
        <v>430.33</v>
      </c>
      <c r="AA244" s="68">
        <v>0</v>
      </c>
      <c r="AB244" s="68">
        <v>3359.7</v>
      </c>
      <c r="AC244" s="68">
        <v>0</v>
      </c>
    </row>
    <row r="245" spans="1:29" x14ac:dyDescent="0.55000000000000004">
      <c r="A245" s="49" t="s">
        <v>589</v>
      </c>
      <c r="B245" s="49" t="s">
        <v>590</v>
      </c>
      <c r="C245" s="49" t="s">
        <v>562</v>
      </c>
      <c r="D245" s="49" t="s">
        <v>147</v>
      </c>
      <c r="E245" s="68">
        <v>0</v>
      </c>
      <c r="F245" s="68">
        <v>-280.5</v>
      </c>
      <c r="G245" s="68">
        <v>1234.4100000000001</v>
      </c>
      <c r="H245" s="68">
        <v>530.24</v>
      </c>
      <c r="I245" s="68">
        <v>0</v>
      </c>
      <c r="J245" s="68">
        <v>0</v>
      </c>
      <c r="K245" s="68">
        <v>3509.01</v>
      </c>
      <c r="L245" s="68">
        <v>1563.95</v>
      </c>
      <c r="M245" s="68">
        <v>782.37</v>
      </c>
      <c r="N245" s="68">
        <v>0</v>
      </c>
      <c r="O245" s="68">
        <v>498.99</v>
      </c>
      <c r="P245" s="96">
        <v>651.11</v>
      </c>
      <c r="Q245" s="68">
        <v>361.71</v>
      </c>
      <c r="R245" s="68">
        <v>23.54</v>
      </c>
      <c r="S245" s="68">
        <v>0</v>
      </c>
      <c r="T245" s="68">
        <v>151.46</v>
      </c>
      <c r="U245" s="68">
        <v>2058.66</v>
      </c>
      <c r="V245" s="68">
        <v>833.46</v>
      </c>
      <c r="W245" s="68">
        <v>584.97</v>
      </c>
      <c r="X245" s="68">
        <v>529.52</v>
      </c>
      <c r="Y245" s="68">
        <v>707.1</v>
      </c>
      <c r="Z245" s="68">
        <v>-1049.3800000000001</v>
      </c>
      <c r="AA245" s="68">
        <v>0</v>
      </c>
      <c r="AB245" s="68">
        <v>435.63</v>
      </c>
      <c r="AC245" s="68">
        <v>0</v>
      </c>
    </row>
    <row r="246" spans="1:29" x14ac:dyDescent="0.55000000000000004">
      <c r="A246" s="49" t="s">
        <v>915</v>
      </c>
      <c r="B246" s="49" t="s">
        <v>916</v>
      </c>
      <c r="C246" s="49" t="s">
        <v>562</v>
      </c>
      <c r="D246" s="49" t="s">
        <v>147</v>
      </c>
      <c r="E246" s="68">
        <v>0</v>
      </c>
      <c r="F246" s="68">
        <v>0</v>
      </c>
      <c r="G246" s="68">
        <v>0</v>
      </c>
      <c r="H246" s="68">
        <v>0</v>
      </c>
      <c r="I246" s="68">
        <v>520.45000000000005</v>
      </c>
      <c r="J246" s="68">
        <v>0</v>
      </c>
      <c r="K246" s="68">
        <v>0</v>
      </c>
      <c r="L246" s="68">
        <v>0</v>
      </c>
      <c r="M246" s="68">
        <v>0</v>
      </c>
      <c r="N246" s="68">
        <v>0</v>
      </c>
      <c r="O246" s="68">
        <v>0</v>
      </c>
      <c r="P246" s="96">
        <v>0</v>
      </c>
      <c r="Q246" s="68">
        <v>347.01</v>
      </c>
      <c r="R246" s="68">
        <v>0</v>
      </c>
      <c r="S246" s="68">
        <v>0</v>
      </c>
      <c r="T246" s="68">
        <v>0</v>
      </c>
      <c r="U246" s="68">
        <v>0</v>
      </c>
      <c r="V246" s="68">
        <v>0</v>
      </c>
      <c r="W246" s="68">
        <v>0</v>
      </c>
      <c r="X246" s="68">
        <v>0</v>
      </c>
      <c r="Y246" s="68">
        <v>0</v>
      </c>
      <c r="Z246" s="68">
        <v>0</v>
      </c>
      <c r="AA246" s="68">
        <v>0</v>
      </c>
      <c r="AB246" s="68">
        <v>0</v>
      </c>
      <c r="AC246" s="68">
        <v>0</v>
      </c>
    </row>
    <row r="247" spans="1:29" x14ac:dyDescent="0.55000000000000004">
      <c r="A247" s="49" t="s">
        <v>591</v>
      </c>
      <c r="B247" s="49" t="s">
        <v>592</v>
      </c>
      <c r="C247" s="49" t="s">
        <v>562</v>
      </c>
      <c r="D247" s="49" t="s">
        <v>147</v>
      </c>
      <c r="E247" s="68">
        <v>183.84</v>
      </c>
      <c r="F247" s="68">
        <v>0</v>
      </c>
      <c r="G247" s="68">
        <v>667.64</v>
      </c>
      <c r="H247" s="68">
        <v>0</v>
      </c>
      <c r="I247" s="68">
        <v>2656.22</v>
      </c>
      <c r="J247" s="68">
        <v>0</v>
      </c>
      <c r="K247" s="68">
        <v>932.42</v>
      </c>
      <c r="L247" s="68">
        <v>1225.2</v>
      </c>
      <c r="M247" s="68">
        <v>750.38</v>
      </c>
      <c r="N247" s="68">
        <v>1138.8599999999999</v>
      </c>
      <c r="O247" s="68">
        <v>1079.77</v>
      </c>
      <c r="P247" s="96">
        <v>2373.94</v>
      </c>
      <c r="Q247" s="68">
        <v>407.28</v>
      </c>
      <c r="R247" s="68">
        <v>755.93</v>
      </c>
      <c r="S247" s="68">
        <v>1444.56</v>
      </c>
      <c r="T247" s="68">
        <v>0</v>
      </c>
      <c r="U247" s="68">
        <v>311.3</v>
      </c>
      <c r="V247" s="68">
        <v>2939.24</v>
      </c>
      <c r="W247" s="68">
        <v>744.74</v>
      </c>
      <c r="X247" s="68">
        <v>3845.26</v>
      </c>
      <c r="Y247" s="68">
        <v>940.63</v>
      </c>
      <c r="Z247" s="68">
        <v>1196.5999999999999</v>
      </c>
      <c r="AA247" s="68">
        <v>3085.61</v>
      </c>
      <c r="AB247" s="68">
        <v>5637.91</v>
      </c>
      <c r="AC247" s="68">
        <v>0</v>
      </c>
    </row>
    <row r="248" spans="1:29" x14ac:dyDescent="0.55000000000000004">
      <c r="A248" s="49" t="s">
        <v>593</v>
      </c>
      <c r="B248" s="49" t="s">
        <v>594</v>
      </c>
      <c r="C248" s="49" t="s">
        <v>562</v>
      </c>
      <c r="D248" s="49" t="s">
        <v>147</v>
      </c>
      <c r="E248" s="68">
        <v>18450.57</v>
      </c>
      <c r="F248" s="68">
        <v>506.47</v>
      </c>
      <c r="G248" s="68">
        <v>0</v>
      </c>
      <c r="H248" s="68">
        <v>0</v>
      </c>
      <c r="I248" s="68">
        <v>0</v>
      </c>
      <c r="J248" s="68">
        <v>960.59</v>
      </c>
      <c r="K248" s="68">
        <v>0</v>
      </c>
      <c r="L248" s="68">
        <v>0</v>
      </c>
      <c r="M248" s="68">
        <v>0</v>
      </c>
      <c r="N248" s="68">
        <v>1393.52</v>
      </c>
      <c r="O248" s="68">
        <v>0</v>
      </c>
      <c r="P248" s="96">
        <v>0</v>
      </c>
      <c r="Q248" s="68">
        <v>0</v>
      </c>
      <c r="R248" s="68">
        <v>0</v>
      </c>
      <c r="S248" s="68">
        <v>1176.5999999999999</v>
      </c>
      <c r="T248" s="68">
        <v>6552.07</v>
      </c>
      <c r="U248" s="68">
        <v>0</v>
      </c>
      <c r="V248" s="68">
        <v>0</v>
      </c>
      <c r="W248" s="68">
        <v>0</v>
      </c>
      <c r="X248" s="68">
        <v>0</v>
      </c>
      <c r="Y248" s="68">
        <v>0</v>
      </c>
      <c r="Z248" s="68">
        <v>0</v>
      </c>
      <c r="AA248" s="68">
        <v>0</v>
      </c>
      <c r="AB248" s="68">
        <v>0</v>
      </c>
      <c r="AC248" s="68">
        <v>0</v>
      </c>
    </row>
    <row r="249" spans="1:29" x14ac:dyDescent="0.55000000000000004">
      <c r="A249" s="49" t="s">
        <v>595</v>
      </c>
      <c r="B249" s="49" t="s">
        <v>596</v>
      </c>
      <c r="C249" s="49" t="s">
        <v>562</v>
      </c>
      <c r="D249" s="49" t="s">
        <v>147</v>
      </c>
      <c r="E249" s="68">
        <v>0</v>
      </c>
      <c r="F249" s="68">
        <v>0</v>
      </c>
      <c r="G249" s="68">
        <v>-268.37</v>
      </c>
      <c r="H249" s="68">
        <v>0</v>
      </c>
      <c r="I249" s="68">
        <v>0</v>
      </c>
      <c r="J249" s="68">
        <v>0</v>
      </c>
      <c r="K249" s="68">
        <v>0</v>
      </c>
      <c r="L249" s="68">
        <v>0</v>
      </c>
      <c r="M249" s="68">
        <v>0</v>
      </c>
      <c r="N249" s="68">
        <v>0</v>
      </c>
      <c r="O249" s="68">
        <v>0</v>
      </c>
      <c r="P249" s="96">
        <v>623.5</v>
      </c>
      <c r="Q249" s="68">
        <v>0</v>
      </c>
      <c r="R249" s="68">
        <v>0</v>
      </c>
      <c r="S249" s="68">
        <v>0</v>
      </c>
      <c r="T249" s="68">
        <v>0</v>
      </c>
      <c r="U249" s="68">
        <v>-1227.98</v>
      </c>
      <c r="V249" s="68">
        <v>0</v>
      </c>
      <c r="W249" s="68">
        <v>0</v>
      </c>
      <c r="X249" s="68">
        <v>0</v>
      </c>
      <c r="Y249" s="68">
        <v>0</v>
      </c>
      <c r="Z249" s="68">
        <v>0</v>
      </c>
      <c r="AA249" s="68">
        <v>0</v>
      </c>
      <c r="AB249" s="68">
        <v>0</v>
      </c>
      <c r="AC249" s="68">
        <v>0</v>
      </c>
    </row>
    <row r="250" spans="1:29" x14ac:dyDescent="0.55000000000000004">
      <c r="A250" s="49" t="s">
        <v>597</v>
      </c>
      <c r="B250" s="49" t="s">
        <v>598</v>
      </c>
      <c r="C250" s="49" t="s">
        <v>599</v>
      </c>
      <c r="D250" s="49" t="s">
        <v>523</v>
      </c>
      <c r="E250" s="68">
        <v>4506.84</v>
      </c>
      <c r="F250" s="68">
        <v>5546.88</v>
      </c>
      <c r="G250" s="68">
        <v>5492.8</v>
      </c>
      <c r="H250" s="68">
        <v>4877.54</v>
      </c>
      <c r="I250" s="68">
        <v>5546.88</v>
      </c>
      <c r="J250" s="68">
        <v>2079</v>
      </c>
      <c r="K250" s="68">
        <v>3300.16</v>
      </c>
      <c r="L250" s="68">
        <v>5893.56</v>
      </c>
      <c r="M250" s="68">
        <v>6360.48</v>
      </c>
      <c r="N250" s="68">
        <v>7274.96</v>
      </c>
      <c r="O250" s="68">
        <v>6586.92</v>
      </c>
      <c r="P250" s="96">
        <v>5720.22</v>
      </c>
      <c r="Q250" s="68">
        <v>4506.84</v>
      </c>
      <c r="R250" s="68">
        <v>6144</v>
      </c>
      <c r="S250" s="68">
        <v>6586.92</v>
      </c>
      <c r="T250" s="68">
        <v>3686.88</v>
      </c>
      <c r="U250" s="68">
        <v>17556.38</v>
      </c>
      <c r="V250" s="68">
        <v>5200.2</v>
      </c>
      <c r="W250" s="68">
        <v>6150.22</v>
      </c>
      <c r="X250" s="68">
        <v>7242</v>
      </c>
      <c r="Y250" s="68">
        <v>0</v>
      </c>
      <c r="Z250" s="68">
        <v>10176.879999999999</v>
      </c>
      <c r="AA250" s="68">
        <v>4827.38</v>
      </c>
      <c r="AB250" s="68">
        <v>8731.5400000000009</v>
      </c>
      <c r="AC250" s="68">
        <v>0</v>
      </c>
    </row>
    <row r="251" spans="1:29" x14ac:dyDescent="0.55000000000000004">
      <c r="A251" s="49" t="s">
        <v>600</v>
      </c>
      <c r="B251" s="49" t="s">
        <v>601</v>
      </c>
      <c r="C251" s="49" t="s">
        <v>599</v>
      </c>
      <c r="D251" s="49" t="s">
        <v>523</v>
      </c>
      <c r="E251" s="68">
        <v>29032.240000000002</v>
      </c>
      <c r="F251" s="68">
        <v>20354.77</v>
      </c>
      <c r="G251" s="68">
        <v>32042</v>
      </c>
      <c r="H251" s="68">
        <v>19622.240000000002</v>
      </c>
      <c r="I251" s="68">
        <v>17994.23</v>
      </c>
      <c r="J251" s="68">
        <v>21522.31</v>
      </c>
      <c r="K251" s="68">
        <v>14120.28</v>
      </c>
      <c r="L251" s="68">
        <v>31458.53</v>
      </c>
      <c r="M251" s="68">
        <v>14113.09</v>
      </c>
      <c r="N251" s="68">
        <v>27941.14</v>
      </c>
      <c r="O251" s="68">
        <v>16685.05</v>
      </c>
      <c r="P251" s="96">
        <v>14323.09</v>
      </c>
      <c r="Q251" s="68">
        <v>19373.330000000002</v>
      </c>
      <c r="R251" s="68">
        <v>16293.04</v>
      </c>
      <c r="S251" s="68">
        <v>23865.63</v>
      </c>
      <c r="T251" s="68">
        <v>17059.63</v>
      </c>
      <c r="U251" s="68">
        <v>29656.86</v>
      </c>
      <c r="V251" s="68">
        <v>15171.83</v>
      </c>
      <c r="W251" s="68">
        <v>18048.34</v>
      </c>
      <c r="X251" s="68">
        <v>25694.15</v>
      </c>
      <c r="Y251" s="68">
        <v>34205.57</v>
      </c>
      <c r="Z251" s="68">
        <v>25890.95</v>
      </c>
      <c r="AA251" s="68">
        <v>31531.55</v>
      </c>
      <c r="AB251" s="68">
        <v>36903.71</v>
      </c>
      <c r="AC251" s="68">
        <v>0</v>
      </c>
    </row>
    <row r="252" spans="1:29" x14ac:dyDescent="0.55000000000000004">
      <c r="A252" s="49" t="s">
        <v>602</v>
      </c>
      <c r="B252" s="49" t="s">
        <v>603</v>
      </c>
      <c r="C252" s="49" t="s">
        <v>599</v>
      </c>
      <c r="D252" s="49" t="s">
        <v>523</v>
      </c>
      <c r="E252" s="68">
        <v>2734.24</v>
      </c>
      <c r="F252" s="68">
        <v>2220.38</v>
      </c>
      <c r="G252" s="68">
        <v>3187.53</v>
      </c>
      <c r="H252" s="68">
        <v>1977.16</v>
      </c>
      <c r="I252" s="68">
        <v>1876.31</v>
      </c>
      <c r="J252" s="68">
        <v>1931.86</v>
      </c>
      <c r="K252" s="68">
        <v>1607.03</v>
      </c>
      <c r="L252" s="68">
        <v>3074.7</v>
      </c>
      <c r="M252" s="68">
        <v>1731.15</v>
      </c>
      <c r="N252" s="68">
        <v>2860.58</v>
      </c>
      <c r="O252" s="68">
        <v>2036.84</v>
      </c>
      <c r="P252" s="96">
        <v>1554.68</v>
      </c>
      <c r="Q252" s="68">
        <v>1968.64</v>
      </c>
      <c r="R252" s="68">
        <v>1664.91</v>
      </c>
      <c r="S252" s="68">
        <v>2466.31</v>
      </c>
      <c r="T252" s="68">
        <v>1669.49</v>
      </c>
      <c r="U252" s="68">
        <v>3693.46</v>
      </c>
      <c r="V252" s="68">
        <v>1667.77</v>
      </c>
      <c r="W252" s="68">
        <v>1955.49</v>
      </c>
      <c r="X252" s="68">
        <v>2806.79</v>
      </c>
      <c r="Y252" s="68">
        <v>2769.65</v>
      </c>
      <c r="Z252" s="68">
        <v>3608.95</v>
      </c>
      <c r="AA252" s="68">
        <v>3302.04</v>
      </c>
      <c r="AB252" s="68">
        <v>3654.92</v>
      </c>
      <c r="AC252" s="68">
        <v>0</v>
      </c>
    </row>
    <row r="253" spans="1:29" x14ac:dyDescent="0.55000000000000004">
      <c r="A253" s="49" t="s">
        <v>604</v>
      </c>
      <c r="B253" s="49" t="s">
        <v>605</v>
      </c>
      <c r="C253" s="49" t="s">
        <v>599</v>
      </c>
      <c r="D253" s="49" t="s">
        <v>523</v>
      </c>
      <c r="E253" s="68">
        <v>1875.66</v>
      </c>
      <c r="F253" s="68">
        <v>1098.55</v>
      </c>
      <c r="G253" s="68">
        <v>3795.05</v>
      </c>
      <c r="H253" s="68">
        <v>1905.22</v>
      </c>
      <c r="I253" s="68">
        <v>1088.52</v>
      </c>
      <c r="J253" s="68">
        <v>1976.81</v>
      </c>
      <c r="K253" s="68">
        <v>3142.06</v>
      </c>
      <c r="L253" s="68">
        <v>3683.31</v>
      </c>
      <c r="M253" s="68">
        <v>894.94</v>
      </c>
      <c r="N253" s="68">
        <v>3189.29</v>
      </c>
      <c r="O253" s="68">
        <v>2135.09</v>
      </c>
      <c r="P253" s="96">
        <v>1240.8599999999999</v>
      </c>
      <c r="Q253" s="68">
        <v>2811.95</v>
      </c>
      <c r="R253" s="68">
        <v>693.95</v>
      </c>
      <c r="S253" s="68">
        <v>1768.64</v>
      </c>
      <c r="T253" s="68">
        <v>2219.23</v>
      </c>
      <c r="U253" s="68">
        <v>1445.97</v>
      </c>
      <c r="V253" s="68">
        <v>1849.31</v>
      </c>
      <c r="W253" s="68">
        <v>2605.5300000000002</v>
      </c>
      <c r="X253" s="68">
        <v>3206.89</v>
      </c>
      <c r="Y253" s="68">
        <v>1511.03</v>
      </c>
      <c r="Z253" s="68">
        <v>4776.08</v>
      </c>
      <c r="AA253" s="68">
        <v>3716.93</v>
      </c>
      <c r="AB253" s="68">
        <v>2820.97</v>
      </c>
      <c r="AC253" s="68">
        <v>0</v>
      </c>
    </row>
    <row r="254" spans="1:29" x14ac:dyDescent="0.55000000000000004">
      <c r="A254" s="49" t="s">
        <v>606</v>
      </c>
      <c r="B254" s="49" t="s">
        <v>607</v>
      </c>
      <c r="C254" s="49" t="s">
        <v>599</v>
      </c>
      <c r="D254" s="49" t="s">
        <v>523</v>
      </c>
      <c r="E254" s="68">
        <v>363.17</v>
      </c>
      <c r="F254" s="68">
        <v>308.79000000000002</v>
      </c>
      <c r="G254" s="68">
        <v>234.63</v>
      </c>
      <c r="H254" s="68">
        <v>-97.29</v>
      </c>
      <c r="I254" s="68">
        <v>264.99</v>
      </c>
      <c r="J254" s="68">
        <v>521.04999999999995</v>
      </c>
      <c r="K254" s="68">
        <v>426.53</v>
      </c>
      <c r="L254" s="68">
        <v>853.25</v>
      </c>
      <c r="M254" s="68">
        <v>249.65</v>
      </c>
      <c r="N254" s="68">
        <v>326.33</v>
      </c>
      <c r="O254" s="68">
        <v>190.49</v>
      </c>
      <c r="P254" s="96">
        <v>449.49</v>
      </c>
      <c r="Q254" s="68">
        <v>866.79</v>
      </c>
      <c r="R254" s="68">
        <v>1599.87</v>
      </c>
      <c r="S254" s="68">
        <v>215.76</v>
      </c>
      <c r="T254" s="68">
        <v>1019.74</v>
      </c>
      <c r="U254" s="68">
        <v>596.54</v>
      </c>
      <c r="V254" s="68">
        <v>1082.77</v>
      </c>
      <c r="W254" s="68">
        <v>1521.18</v>
      </c>
      <c r="X254" s="68">
        <v>1217.1400000000001</v>
      </c>
      <c r="Y254" s="68">
        <v>788.25</v>
      </c>
      <c r="Z254" s="68">
        <v>1217.5999999999999</v>
      </c>
      <c r="AA254" s="68">
        <v>869.47</v>
      </c>
      <c r="AB254" s="68">
        <v>0</v>
      </c>
      <c r="AC254" s="68">
        <v>0</v>
      </c>
    </row>
    <row r="255" spans="1:29" x14ac:dyDescent="0.55000000000000004">
      <c r="A255" s="49" t="s">
        <v>608</v>
      </c>
      <c r="B255" s="49" t="s">
        <v>609</v>
      </c>
      <c r="C255" s="49" t="s">
        <v>599</v>
      </c>
      <c r="D255" s="49" t="s">
        <v>523</v>
      </c>
      <c r="E255" s="68">
        <v>330.5</v>
      </c>
      <c r="F255" s="68">
        <v>12118.32</v>
      </c>
      <c r="G255" s="68">
        <v>6098.28</v>
      </c>
      <c r="H255" s="68">
        <v>2622.67</v>
      </c>
      <c r="I255" s="68">
        <v>229.18</v>
      </c>
      <c r="J255" s="68">
        <v>886.27</v>
      </c>
      <c r="K255" s="68">
        <v>190.62</v>
      </c>
      <c r="L255" s="68">
        <v>388.66</v>
      </c>
      <c r="M255" s="68">
        <v>198.18</v>
      </c>
      <c r="N255" s="68">
        <v>1975.72</v>
      </c>
      <c r="O255" s="68">
        <v>241.62</v>
      </c>
      <c r="P255" s="96">
        <v>481.35</v>
      </c>
      <c r="Q255" s="68">
        <v>241.16</v>
      </c>
      <c r="R255" s="68">
        <v>210.91</v>
      </c>
      <c r="S255" s="68">
        <v>298.06</v>
      </c>
      <c r="T255" s="68">
        <v>1348.24</v>
      </c>
      <c r="U255" s="68">
        <v>455.45</v>
      </c>
      <c r="V255" s="68">
        <v>204.57</v>
      </c>
      <c r="W255" s="68">
        <v>238.26</v>
      </c>
      <c r="X255" s="68">
        <v>1075.2</v>
      </c>
      <c r="Y255" s="68">
        <v>1114</v>
      </c>
      <c r="Z255" s="68">
        <v>1047.6199999999999</v>
      </c>
      <c r="AA255" s="68">
        <v>1154.28</v>
      </c>
      <c r="AB255" s="68">
        <v>448</v>
      </c>
      <c r="AC255" s="68">
        <v>0</v>
      </c>
    </row>
    <row r="256" spans="1:29" x14ac:dyDescent="0.55000000000000004">
      <c r="A256" s="49" t="s">
        <v>610</v>
      </c>
      <c r="B256" s="49" t="s">
        <v>611</v>
      </c>
      <c r="C256" s="49" t="s">
        <v>599</v>
      </c>
      <c r="D256" s="49" t="s">
        <v>147</v>
      </c>
      <c r="E256" s="68">
        <v>0</v>
      </c>
      <c r="F256" s="68">
        <v>2548</v>
      </c>
      <c r="G256" s="68">
        <v>2909.02</v>
      </c>
      <c r="H256" s="68">
        <v>2000</v>
      </c>
      <c r="I256" s="68">
        <v>3618</v>
      </c>
      <c r="J256" s="68">
        <v>3950</v>
      </c>
      <c r="K256" s="68">
        <v>2522.84</v>
      </c>
      <c r="L256" s="68">
        <v>3834</v>
      </c>
      <c r="M256" s="68">
        <v>0</v>
      </c>
      <c r="N256" s="68">
        <v>480</v>
      </c>
      <c r="O256" s="68">
        <v>3432</v>
      </c>
      <c r="P256" s="96">
        <v>2500</v>
      </c>
      <c r="Q256" s="68">
        <v>4460.25</v>
      </c>
      <c r="R256" s="68">
        <v>1966.5</v>
      </c>
      <c r="S256" s="68">
        <v>4949.79</v>
      </c>
      <c r="T256" s="68">
        <v>2058.2600000000002</v>
      </c>
      <c r="U256" s="68">
        <v>92.43</v>
      </c>
      <c r="V256" s="68">
        <v>3255.51</v>
      </c>
      <c r="W256" s="68">
        <v>2378.5700000000002</v>
      </c>
      <c r="X256" s="68">
        <v>2044.5</v>
      </c>
      <c r="Y256" s="68">
        <v>2990</v>
      </c>
      <c r="Z256" s="68">
        <v>0</v>
      </c>
      <c r="AA256" s="68">
        <v>3290</v>
      </c>
      <c r="AB256" s="68">
        <v>0</v>
      </c>
      <c r="AC256" s="68">
        <v>0</v>
      </c>
    </row>
    <row r="257" spans="1:29" x14ac:dyDescent="0.55000000000000004">
      <c r="A257" s="49" t="s">
        <v>612</v>
      </c>
      <c r="B257" s="49" t="s">
        <v>613</v>
      </c>
      <c r="C257" s="49" t="s">
        <v>599</v>
      </c>
      <c r="D257" s="49" t="s">
        <v>147</v>
      </c>
      <c r="E257" s="68">
        <v>4585.26</v>
      </c>
      <c r="F257" s="68">
        <v>1423.12</v>
      </c>
      <c r="G257" s="68">
        <v>3860.15</v>
      </c>
      <c r="H257" s="68">
        <v>3684.91</v>
      </c>
      <c r="I257" s="68">
        <v>1199.54</v>
      </c>
      <c r="J257" s="68">
        <v>940.78</v>
      </c>
      <c r="K257" s="68">
        <v>2406.5500000000002</v>
      </c>
      <c r="L257" s="68">
        <v>8277.58</v>
      </c>
      <c r="M257" s="68">
        <v>1694.01</v>
      </c>
      <c r="N257" s="68">
        <v>1592.35</v>
      </c>
      <c r="O257" s="68">
        <v>2796.94</v>
      </c>
      <c r="P257" s="96">
        <v>1687.54</v>
      </c>
      <c r="Q257" s="68">
        <v>3766.12</v>
      </c>
      <c r="R257" s="68">
        <v>1712.67</v>
      </c>
      <c r="S257" s="68">
        <v>4738.46</v>
      </c>
      <c r="T257" s="68">
        <v>861.89</v>
      </c>
      <c r="U257" s="68">
        <v>3864</v>
      </c>
      <c r="V257" s="68">
        <v>2430.44</v>
      </c>
      <c r="W257" s="68">
        <v>2232.64</v>
      </c>
      <c r="X257" s="68">
        <v>3783.88</v>
      </c>
      <c r="Y257" s="68">
        <v>2362.41</v>
      </c>
      <c r="Z257" s="68">
        <v>4054.3</v>
      </c>
      <c r="AA257" s="68">
        <v>4039.29</v>
      </c>
      <c r="AB257" s="68">
        <v>3030.43</v>
      </c>
      <c r="AC257" s="68">
        <v>0</v>
      </c>
    </row>
    <row r="258" spans="1:29" x14ac:dyDescent="0.55000000000000004">
      <c r="A258" s="49" t="s">
        <v>614</v>
      </c>
      <c r="B258" s="49" t="s">
        <v>615</v>
      </c>
      <c r="C258" s="49" t="s">
        <v>616</v>
      </c>
      <c r="D258" s="49" t="s">
        <v>147</v>
      </c>
      <c r="E258" s="68">
        <v>23064.74</v>
      </c>
      <c r="F258" s="68">
        <v>18861.259999999998</v>
      </c>
      <c r="G258" s="68">
        <v>8790.07</v>
      </c>
      <c r="H258" s="68">
        <v>14331.62</v>
      </c>
      <c r="I258" s="68">
        <v>18716.23</v>
      </c>
      <c r="J258" s="68">
        <v>7359.25</v>
      </c>
      <c r="K258" s="68">
        <v>16532.79</v>
      </c>
      <c r="L258" s="68">
        <v>22717.62</v>
      </c>
      <c r="M258" s="68">
        <v>10986.78</v>
      </c>
      <c r="N258" s="68">
        <v>17272.849999999999</v>
      </c>
      <c r="O258" s="68">
        <v>10879.3</v>
      </c>
      <c r="P258" s="96">
        <v>14152.91</v>
      </c>
      <c r="Q258" s="68">
        <v>15532.89</v>
      </c>
      <c r="R258" s="68">
        <v>13115.16</v>
      </c>
      <c r="S258" s="68">
        <v>24441.45</v>
      </c>
      <c r="T258" s="68">
        <v>8197.07</v>
      </c>
      <c r="U258" s="68">
        <v>16331.99</v>
      </c>
      <c r="V258" s="68">
        <v>12753.68</v>
      </c>
      <c r="W258" s="68">
        <v>13142.14</v>
      </c>
      <c r="X258" s="68">
        <v>25483.25</v>
      </c>
      <c r="Y258" s="68">
        <v>27167.15</v>
      </c>
      <c r="Z258" s="68">
        <v>22886.49</v>
      </c>
      <c r="AA258" s="68">
        <v>23537.72</v>
      </c>
      <c r="AB258" s="68">
        <v>15283.21</v>
      </c>
      <c r="AC258" s="68">
        <v>0</v>
      </c>
    </row>
    <row r="259" spans="1:29" x14ac:dyDescent="0.55000000000000004">
      <c r="A259" s="49" t="s">
        <v>617</v>
      </c>
      <c r="B259" s="49" t="s">
        <v>618</v>
      </c>
      <c r="C259" s="49" t="s">
        <v>599</v>
      </c>
      <c r="D259" s="49" t="s">
        <v>147</v>
      </c>
      <c r="E259" s="68">
        <v>0</v>
      </c>
      <c r="F259" s="68">
        <v>0</v>
      </c>
      <c r="G259" s="68">
        <v>0</v>
      </c>
      <c r="H259" s="68">
        <v>0</v>
      </c>
      <c r="I259" s="68">
        <v>650.16</v>
      </c>
      <c r="J259" s="68">
        <v>0</v>
      </c>
      <c r="K259" s="68">
        <v>0</v>
      </c>
      <c r="L259" s="68">
        <v>0</v>
      </c>
      <c r="M259" s="68">
        <v>539.82000000000005</v>
      </c>
      <c r="N259" s="68">
        <v>0</v>
      </c>
      <c r="O259" s="68">
        <v>0</v>
      </c>
      <c r="P259" s="96">
        <v>0</v>
      </c>
      <c r="Q259" s="68">
        <v>0</v>
      </c>
      <c r="R259" s="68">
        <v>31.02</v>
      </c>
      <c r="S259" s="68">
        <v>0</v>
      </c>
      <c r="T259" s="68">
        <v>0</v>
      </c>
      <c r="U259" s="68">
        <v>0</v>
      </c>
      <c r="V259" s="68">
        <v>0</v>
      </c>
      <c r="W259" s="68">
        <v>0</v>
      </c>
      <c r="X259" s="68">
        <v>0</v>
      </c>
      <c r="Y259" s="68">
        <v>0</v>
      </c>
      <c r="Z259" s="68">
        <v>0</v>
      </c>
      <c r="AA259" s="68">
        <v>0</v>
      </c>
      <c r="AB259" s="68">
        <v>0</v>
      </c>
      <c r="AC259" s="68">
        <v>0</v>
      </c>
    </row>
    <row r="260" spans="1:29" x14ac:dyDescent="0.55000000000000004">
      <c r="A260" s="49" t="s">
        <v>619</v>
      </c>
      <c r="B260" s="49" t="s">
        <v>620</v>
      </c>
      <c r="C260" s="49" t="s">
        <v>599</v>
      </c>
      <c r="D260" s="49" t="s">
        <v>147</v>
      </c>
      <c r="E260" s="68">
        <v>76.98</v>
      </c>
      <c r="F260" s="68">
        <v>0</v>
      </c>
      <c r="G260" s="68">
        <v>0</v>
      </c>
      <c r="H260" s="68">
        <v>94.88</v>
      </c>
      <c r="I260" s="68">
        <v>0</v>
      </c>
      <c r="J260" s="68">
        <v>0</v>
      </c>
      <c r="K260" s="68">
        <v>0</v>
      </c>
      <c r="L260" s="68">
        <v>1559.55</v>
      </c>
      <c r="M260" s="68">
        <v>129.32</v>
      </c>
      <c r="N260" s="68">
        <v>0</v>
      </c>
      <c r="O260" s="68">
        <v>41.47</v>
      </c>
      <c r="P260" s="96">
        <v>250</v>
      </c>
      <c r="Q260" s="68">
        <v>563.38</v>
      </c>
      <c r="R260" s="68">
        <v>211.35</v>
      </c>
      <c r="S260" s="68">
        <v>0</v>
      </c>
      <c r="T260" s="68">
        <v>0</v>
      </c>
      <c r="U260" s="68">
        <v>0</v>
      </c>
      <c r="V260" s="68">
        <v>0</v>
      </c>
      <c r="W260" s="68">
        <v>0</v>
      </c>
      <c r="X260" s="68">
        <v>0</v>
      </c>
      <c r="Y260" s="68">
        <v>0</v>
      </c>
      <c r="Z260" s="68">
        <v>0</v>
      </c>
      <c r="AA260" s="68">
        <v>1926.75</v>
      </c>
      <c r="AB260" s="68">
        <v>2445.58</v>
      </c>
      <c r="AC260" s="68">
        <v>0</v>
      </c>
    </row>
    <row r="261" spans="1:29" x14ac:dyDescent="0.55000000000000004">
      <c r="A261" s="49" t="s">
        <v>621</v>
      </c>
      <c r="B261" s="49" t="s">
        <v>622</v>
      </c>
      <c r="C261" s="49" t="s">
        <v>599</v>
      </c>
      <c r="D261" s="49" t="s">
        <v>147</v>
      </c>
      <c r="E261" s="68">
        <v>0</v>
      </c>
      <c r="F261" s="68">
        <v>0</v>
      </c>
      <c r="G261" s="68">
        <v>0</v>
      </c>
      <c r="H261" s="68">
        <v>0</v>
      </c>
      <c r="I261" s="68">
        <v>0</v>
      </c>
      <c r="J261" s="68">
        <v>82.54</v>
      </c>
      <c r="K261" s="68">
        <v>169.57</v>
      </c>
      <c r="L261" s="68">
        <v>0</v>
      </c>
      <c r="M261" s="68">
        <v>205.95</v>
      </c>
      <c r="N261" s="68">
        <v>82.81</v>
      </c>
      <c r="O261" s="68">
        <v>0</v>
      </c>
      <c r="P261" s="96">
        <v>0</v>
      </c>
      <c r="Q261" s="68">
        <v>0</v>
      </c>
      <c r="R261" s="68">
        <v>99.29</v>
      </c>
      <c r="S261" s="68">
        <v>0</v>
      </c>
      <c r="T261" s="68">
        <v>146.79</v>
      </c>
      <c r="U261" s="68">
        <v>0</v>
      </c>
      <c r="V261" s="68">
        <v>0</v>
      </c>
      <c r="W261" s="68">
        <v>336.18</v>
      </c>
      <c r="X261" s="68">
        <v>0</v>
      </c>
      <c r="Y261" s="68">
        <v>280.85000000000002</v>
      </c>
      <c r="Z261" s="68">
        <v>0</v>
      </c>
      <c r="AA261" s="68">
        <v>0</v>
      </c>
      <c r="AB261" s="68">
        <v>0</v>
      </c>
      <c r="AC261" s="68">
        <v>0</v>
      </c>
    </row>
    <row r="262" spans="1:29" x14ac:dyDescent="0.55000000000000004">
      <c r="A262" s="49" t="s">
        <v>623</v>
      </c>
      <c r="B262" s="49" t="s">
        <v>624</v>
      </c>
      <c r="C262" s="49" t="s">
        <v>599</v>
      </c>
      <c r="D262" s="49" t="s">
        <v>147</v>
      </c>
      <c r="E262" s="68">
        <v>0</v>
      </c>
      <c r="F262" s="68">
        <v>662.05</v>
      </c>
      <c r="G262" s="68">
        <v>0</v>
      </c>
      <c r="H262" s="68">
        <v>102.84</v>
      </c>
      <c r="I262" s="68">
        <v>650</v>
      </c>
      <c r="J262" s="68">
        <v>70.03</v>
      </c>
      <c r="K262" s="68">
        <v>980</v>
      </c>
      <c r="L262" s="68">
        <v>276.02999999999997</v>
      </c>
      <c r="M262" s="68">
        <v>0</v>
      </c>
      <c r="N262" s="68">
        <v>82.81</v>
      </c>
      <c r="O262" s="68">
        <v>0</v>
      </c>
      <c r="P262" s="96">
        <v>184.02</v>
      </c>
      <c r="Q262" s="68">
        <v>688</v>
      </c>
      <c r="R262" s="68">
        <v>0</v>
      </c>
      <c r="S262" s="68">
        <v>92.01</v>
      </c>
      <c r="T262" s="68">
        <v>1350</v>
      </c>
      <c r="U262" s="68">
        <v>1300</v>
      </c>
      <c r="V262" s="68">
        <v>0</v>
      </c>
      <c r="W262" s="68">
        <v>0</v>
      </c>
      <c r="X262" s="68">
        <v>440</v>
      </c>
      <c r="Y262" s="68">
        <v>0</v>
      </c>
      <c r="Z262" s="68">
        <v>325.08999999999997</v>
      </c>
      <c r="AA262" s="68">
        <v>0</v>
      </c>
      <c r="AB262" s="68">
        <v>862.29</v>
      </c>
      <c r="AC262" s="68">
        <v>0</v>
      </c>
    </row>
    <row r="263" spans="1:29" x14ac:dyDescent="0.55000000000000004">
      <c r="A263" s="49" t="s">
        <v>625</v>
      </c>
      <c r="B263" s="49" t="s">
        <v>626</v>
      </c>
      <c r="C263" s="49" t="s">
        <v>599</v>
      </c>
      <c r="D263" s="49" t="s">
        <v>147</v>
      </c>
      <c r="E263" s="68">
        <v>0</v>
      </c>
      <c r="F263" s="68">
        <v>0</v>
      </c>
      <c r="G263" s="68">
        <v>0</v>
      </c>
      <c r="H263" s="68">
        <v>0</v>
      </c>
      <c r="I263" s="68">
        <v>0</v>
      </c>
      <c r="J263" s="68">
        <v>0</v>
      </c>
      <c r="K263" s="68">
        <v>0</v>
      </c>
      <c r="L263" s="68">
        <v>0</v>
      </c>
      <c r="M263" s="68">
        <v>0</v>
      </c>
      <c r="N263" s="68">
        <v>0</v>
      </c>
      <c r="O263" s="68">
        <v>0</v>
      </c>
      <c r="P263" s="96">
        <v>0</v>
      </c>
      <c r="Q263" s="68">
        <v>0</v>
      </c>
      <c r="R263" s="68">
        <v>0</v>
      </c>
      <c r="S263" s="68">
        <v>0</v>
      </c>
      <c r="T263" s="68">
        <v>0</v>
      </c>
      <c r="U263" s="68">
        <v>1657.98</v>
      </c>
      <c r="V263" s="68">
        <v>0</v>
      </c>
      <c r="W263" s="68">
        <v>0</v>
      </c>
      <c r="X263" s="68">
        <v>0</v>
      </c>
      <c r="Y263" s="68">
        <v>0</v>
      </c>
      <c r="Z263" s="68">
        <v>0</v>
      </c>
      <c r="AA263" s="68">
        <v>0</v>
      </c>
      <c r="AB263" s="68">
        <v>0</v>
      </c>
      <c r="AC263" s="68">
        <v>0</v>
      </c>
    </row>
    <row r="264" spans="1:29" x14ac:dyDescent="0.55000000000000004">
      <c r="A264" s="49" t="s">
        <v>627</v>
      </c>
      <c r="B264" s="49" t="s">
        <v>628</v>
      </c>
      <c r="C264" s="49" t="s">
        <v>629</v>
      </c>
      <c r="D264" s="49" t="s">
        <v>523</v>
      </c>
      <c r="E264" s="68">
        <v>0</v>
      </c>
      <c r="F264" s="68">
        <v>3134.79</v>
      </c>
      <c r="G264" s="68">
        <v>3857.79</v>
      </c>
      <c r="H264" s="68">
        <v>4376.84</v>
      </c>
      <c r="I264" s="68">
        <v>4024.76</v>
      </c>
      <c r="J264" s="68">
        <v>5666.9</v>
      </c>
      <c r="K264" s="68">
        <v>0</v>
      </c>
      <c r="L264" s="68">
        <v>0</v>
      </c>
      <c r="M264" s="68">
        <v>0</v>
      </c>
      <c r="N264" s="68">
        <v>4213.63</v>
      </c>
      <c r="O264" s="68">
        <v>4343.08</v>
      </c>
      <c r="P264" s="96">
        <v>4853.5200000000004</v>
      </c>
      <c r="Q264" s="68">
        <v>5009.03</v>
      </c>
      <c r="R264" s="68">
        <v>0</v>
      </c>
      <c r="S264" s="68">
        <v>0</v>
      </c>
      <c r="T264" s="68">
        <v>0</v>
      </c>
      <c r="U264" s="68">
        <v>0</v>
      </c>
      <c r="V264" s="68">
        <v>4720.2</v>
      </c>
      <c r="W264" s="68">
        <v>4333.5</v>
      </c>
      <c r="X264" s="68">
        <v>5273.88</v>
      </c>
      <c r="Y264" s="68">
        <v>897.75</v>
      </c>
      <c r="Z264" s="68">
        <v>0</v>
      </c>
      <c r="AA264" s="68">
        <v>4680.18</v>
      </c>
      <c r="AB264" s="68">
        <v>0</v>
      </c>
      <c r="AC264" s="68">
        <v>0</v>
      </c>
    </row>
    <row r="265" spans="1:29" x14ac:dyDescent="0.55000000000000004">
      <c r="A265" s="49" t="s">
        <v>630</v>
      </c>
      <c r="B265" s="49" t="s">
        <v>631</v>
      </c>
      <c r="C265" s="49" t="s">
        <v>629</v>
      </c>
      <c r="D265" s="49" t="s">
        <v>523</v>
      </c>
      <c r="E265" s="68">
        <v>5378.48</v>
      </c>
      <c r="F265" s="68">
        <v>1191</v>
      </c>
      <c r="G265" s="68">
        <v>2628.12</v>
      </c>
      <c r="H265" s="68">
        <v>0</v>
      </c>
      <c r="I265" s="68">
        <v>2911.79</v>
      </c>
      <c r="J265" s="68">
        <v>2651.65</v>
      </c>
      <c r="K265" s="68">
        <v>3936.44</v>
      </c>
      <c r="L265" s="68">
        <v>5721.5</v>
      </c>
      <c r="M265" s="68">
        <v>6914.89</v>
      </c>
      <c r="N265" s="68">
        <v>2834.2</v>
      </c>
      <c r="O265" s="68">
        <v>0</v>
      </c>
      <c r="P265" s="96">
        <v>0</v>
      </c>
      <c r="Q265" s="68">
        <v>2147.09</v>
      </c>
      <c r="R265" s="68">
        <v>5711.56</v>
      </c>
      <c r="S265" s="68">
        <v>11419.64</v>
      </c>
      <c r="T265" s="68">
        <v>0</v>
      </c>
      <c r="U265" s="68">
        <v>20236.060000000001</v>
      </c>
      <c r="V265" s="68">
        <v>0</v>
      </c>
      <c r="W265" s="68">
        <v>0</v>
      </c>
      <c r="X265" s="68">
        <v>3197.25</v>
      </c>
      <c r="Y265" s="68">
        <v>6817.57</v>
      </c>
      <c r="Z265" s="68">
        <v>15359.63</v>
      </c>
      <c r="AA265" s="68">
        <v>3875</v>
      </c>
      <c r="AB265" s="68">
        <v>4857.26</v>
      </c>
      <c r="AC265" s="68">
        <v>0</v>
      </c>
    </row>
    <row r="266" spans="1:29" x14ac:dyDescent="0.55000000000000004">
      <c r="A266" s="49" t="s">
        <v>632</v>
      </c>
      <c r="B266" s="49" t="s">
        <v>633</v>
      </c>
      <c r="C266" s="49" t="s">
        <v>629</v>
      </c>
      <c r="D266" s="49" t="s">
        <v>523</v>
      </c>
      <c r="E266" s="68">
        <v>463.1</v>
      </c>
      <c r="F266" s="68">
        <v>317.83</v>
      </c>
      <c r="G266" s="68">
        <v>488.07</v>
      </c>
      <c r="H266" s="68">
        <v>334.84</v>
      </c>
      <c r="I266" s="68">
        <v>488.75</v>
      </c>
      <c r="J266" s="68">
        <v>658.66</v>
      </c>
      <c r="K266" s="68">
        <v>311.19</v>
      </c>
      <c r="L266" s="68">
        <v>437.69</v>
      </c>
      <c r="M266" s="68">
        <v>528.99</v>
      </c>
      <c r="N266" s="68">
        <v>554.77</v>
      </c>
      <c r="O266" s="68">
        <v>340.28</v>
      </c>
      <c r="P266" s="96">
        <v>347.91</v>
      </c>
      <c r="Q266" s="68">
        <v>542.47</v>
      </c>
      <c r="R266" s="68">
        <v>371.21</v>
      </c>
      <c r="S266" s="68">
        <v>817.69</v>
      </c>
      <c r="T266" s="68">
        <v>0</v>
      </c>
      <c r="U266" s="68">
        <v>1502.68</v>
      </c>
      <c r="V266" s="68">
        <v>385.35</v>
      </c>
      <c r="W266" s="68">
        <v>331.52</v>
      </c>
      <c r="X266" s="68">
        <v>773.71</v>
      </c>
      <c r="Y266" s="68">
        <v>764.67</v>
      </c>
      <c r="Z266" s="68">
        <v>1530.84</v>
      </c>
      <c r="AA266" s="68">
        <v>737.36</v>
      </c>
      <c r="AB266" s="68">
        <v>392.28</v>
      </c>
      <c r="AC266" s="68">
        <v>0</v>
      </c>
    </row>
    <row r="267" spans="1:29" x14ac:dyDescent="0.55000000000000004">
      <c r="A267" s="49" t="s">
        <v>634</v>
      </c>
      <c r="B267" s="49" t="s">
        <v>635</v>
      </c>
      <c r="C267" s="49" t="s">
        <v>629</v>
      </c>
      <c r="D267" s="49" t="s">
        <v>523</v>
      </c>
      <c r="E267" s="68">
        <v>75.67</v>
      </c>
      <c r="F267" s="68">
        <v>1.79</v>
      </c>
      <c r="G267" s="68">
        <v>784.42</v>
      </c>
      <c r="H267" s="68">
        <v>109.98</v>
      </c>
      <c r="I267" s="68">
        <v>517.4</v>
      </c>
      <c r="J267" s="68">
        <v>977.61</v>
      </c>
      <c r="K267" s="68">
        <v>371.21</v>
      </c>
      <c r="L267" s="68">
        <v>75.58</v>
      </c>
      <c r="M267" s="68">
        <v>0</v>
      </c>
      <c r="N267" s="68">
        <v>329.63</v>
      </c>
      <c r="O267" s="68">
        <v>817.64</v>
      </c>
      <c r="P267" s="96">
        <v>356.78</v>
      </c>
      <c r="Q267" s="68">
        <v>231.03</v>
      </c>
      <c r="R267" s="68">
        <v>402.69</v>
      </c>
      <c r="S267" s="68">
        <v>94.59</v>
      </c>
      <c r="T267" s="68">
        <v>32.840000000000003</v>
      </c>
      <c r="U267" s="68">
        <v>83.65</v>
      </c>
      <c r="V267" s="68">
        <v>860.61</v>
      </c>
      <c r="W267" s="68">
        <v>53.93</v>
      </c>
      <c r="X267" s="68">
        <v>1511.89</v>
      </c>
      <c r="Y267" s="68">
        <v>2102.63</v>
      </c>
      <c r="Z267" s="68">
        <v>2214.44</v>
      </c>
      <c r="AA267" s="68">
        <v>434.96</v>
      </c>
      <c r="AB267" s="68">
        <v>31.13</v>
      </c>
      <c r="AC267" s="68">
        <v>0</v>
      </c>
    </row>
    <row r="268" spans="1:29" x14ac:dyDescent="0.55000000000000004">
      <c r="A268" s="49" t="s">
        <v>636</v>
      </c>
      <c r="B268" s="49" t="s">
        <v>637</v>
      </c>
      <c r="C268" s="49" t="s">
        <v>629</v>
      </c>
      <c r="D268" s="49" t="s">
        <v>523</v>
      </c>
      <c r="E268" s="68">
        <v>0</v>
      </c>
      <c r="F268" s="68">
        <v>192.01</v>
      </c>
      <c r="G268" s="68">
        <v>-553.45000000000005</v>
      </c>
      <c r="H268" s="68">
        <v>0</v>
      </c>
      <c r="I268" s="68">
        <v>893.85</v>
      </c>
      <c r="J268" s="68">
        <v>232.5</v>
      </c>
      <c r="K268" s="68">
        <v>37.130000000000003</v>
      </c>
      <c r="L268" s="68">
        <v>0</v>
      </c>
      <c r="M268" s="68">
        <v>0</v>
      </c>
      <c r="N268" s="68">
        <v>0</v>
      </c>
      <c r="O268" s="68">
        <v>929.82</v>
      </c>
      <c r="P268" s="96">
        <v>222.24</v>
      </c>
      <c r="Q268" s="68">
        <v>1085.0999999999999</v>
      </c>
      <c r="R268" s="68">
        <v>1460.15</v>
      </c>
      <c r="S268" s="68">
        <v>906.45</v>
      </c>
      <c r="T268" s="68">
        <v>0</v>
      </c>
      <c r="U268" s="68">
        <v>826.51</v>
      </c>
      <c r="V268" s="68">
        <v>322.89</v>
      </c>
      <c r="W268" s="68">
        <v>0</v>
      </c>
      <c r="X268" s="68">
        <v>40.03</v>
      </c>
      <c r="Y268" s="68">
        <v>138.38</v>
      </c>
      <c r="Z268" s="68">
        <v>474.72</v>
      </c>
      <c r="AA268" s="68">
        <v>56.24</v>
      </c>
      <c r="AB268" s="68">
        <v>0</v>
      </c>
      <c r="AC268" s="68">
        <v>0</v>
      </c>
    </row>
    <row r="269" spans="1:29" x14ac:dyDescent="0.55000000000000004">
      <c r="A269" s="49" t="s">
        <v>638</v>
      </c>
      <c r="B269" s="49" t="s">
        <v>639</v>
      </c>
      <c r="C269" s="49" t="s">
        <v>629</v>
      </c>
      <c r="D269" s="49" t="s">
        <v>523</v>
      </c>
      <c r="E269" s="68">
        <v>50.56</v>
      </c>
      <c r="F269" s="68">
        <v>40.659999999999997</v>
      </c>
      <c r="G269" s="68">
        <v>67.81</v>
      </c>
      <c r="H269" s="68">
        <v>211.14</v>
      </c>
      <c r="I269" s="68">
        <v>69.05</v>
      </c>
      <c r="J269" s="68">
        <v>83.35</v>
      </c>
      <c r="K269" s="68">
        <v>38.64</v>
      </c>
      <c r="L269" s="68">
        <v>53.78</v>
      </c>
      <c r="M269" s="68">
        <v>65</v>
      </c>
      <c r="N269" s="68">
        <v>68.17</v>
      </c>
      <c r="O269" s="68">
        <v>49.34</v>
      </c>
      <c r="P269" s="96">
        <v>45.62</v>
      </c>
      <c r="Q269" s="68">
        <v>68.25</v>
      </c>
      <c r="R269" s="68">
        <v>53.69</v>
      </c>
      <c r="S269" s="68">
        <v>107.34</v>
      </c>
      <c r="T269" s="68">
        <v>0</v>
      </c>
      <c r="U269" s="68">
        <v>190.22</v>
      </c>
      <c r="V269" s="68">
        <v>48.88</v>
      </c>
      <c r="W269" s="68">
        <v>40.729999999999997</v>
      </c>
      <c r="X269" s="68">
        <v>160.59</v>
      </c>
      <c r="Y269" s="68">
        <v>181.49</v>
      </c>
      <c r="Z269" s="68">
        <v>281.98</v>
      </c>
      <c r="AA269" s="68">
        <v>201.06</v>
      </c>
      <c r="AB269" s="68">
        <v>45.66</v>
      </c>
      <c r="AC269" s="68">
        <v>0</v>
      </c>
    </row>
    <row r="270" spans="1:29" x14ac:dyDescent="0.55000000000000004">
      <c r="A270" s="49" t="s">
        <v>640</v>
      </c>
      <c r="B270" s="49" t="s">
        <v>641</v>
      </c>
      <c r="C270" s="49" t="s">
        <v>629</v>
      </c>
      <c r="D270" s="49" t="s">
        <v>523</v>
      </c>
      <c r="E270" s="68">
        <v>0</v>
      </c>
      <c r="F270" s="68">
        <v>0</v>
      </c>
      <c r="G270" s="68">
        <v>295</v>
      </c>
      <c r="H270" s="68">
        <v>0</v>
      </c>
      <c r="I270" s="68">
        <v>294</v>
      </c>
      <c r="J270" s="68">
        <v>0</v>
      </c>
      <c r="K270" s="68">
        <v>180</v>
      </c>
      <c r="L270" s="68">
        <v>0</v>
      </c>
      <c r="M270" s="68">
        <v>0</v>
      </c>
      <c r="N270" s="68">
        <v>0</v>
      </c>
      <c r="O270" s="68">
        <v>0</v>
      </c>
      <c r="P270" s="96">
        <v>0</v>
      </c>
      <c r="Q270" s="68">
        <v>0</v>
      </c>
      <c r="R270" s="68">
        <v>0</v>
      </c>
      <c r="S270" s="68">
        <v>450</v>
      </c>
      <c r="T270" s="68">
        <v>0</v>
      </c>
      <c r="U270" s="68">
        <v>700</v>
      </c>
      <c r="V270" s="68">
        <v>0</v>
      </c>
      <c r="W270" s="68">
        <v>0</v>
      </c>
      <c r="X270" s="68">
        <v>98.75</v>
      </c>
      <c r="Y270" s="68">
        <v>86.9</v>
      </c>
      <c r="Z270" s="68">
        <v>0</v>
      </c>
      <c r="AA270" s="68">
        <v>0</v>
      </c>
      <c r="AB270" s="68">
        <v>177</v>
      </c>
      <c r="AC270" s="68">
        <v>0</v>
      </c>
    </row>
    <row r="271" spans="1:29" x14ac:dyDescent="0.55000000000000004">
      <c r="A271" s="49" t="s">
        <v>642</v>
      </c>
      <c r="B271" s="49" t="s">
        <v>643</v>
      </c>
      <c r="C271" s="49" t="s">
        <v>629</v>
      </c>
      <c r="D271" s="49" t="s">
        <v>147</v>
      </c>
      <c r="E271" s="68">
        <v>64.510000000000005</v>
      </c>
      <c r="F271" s="68">
        <v>0</v>
      </c>
      <c r="G271" s="68">
        <v>0</v>
      </c>
      <c r="H271" s="68">
        <v>0</v>
      </c>
      <c r="I271" s="68">
        <v>0</v>
      </c>
      <c r="J271" s="68">
        <v>0</v>
      </c>
      <c r="K271" s="68">
        <v>0</v>
      </c>
      <c r="L271" s="68">
        <v>0</v>
      </c>
      <c r="M271" s="68">
        <v>0</v>
      </c>
      <c r="N271" s="68">
        <v>0</v>
      </c>
      <c r="O271" s="68">
        <v>0</v>
      </c>
      <c r="P271" s="96">
        <v>0</v>
      </c>
      <c r="Q271" s="68">
        <v>0</v>
      </c>
      <c r="R271" s="68">
        <v>0</v>
      </c>
      <c r="S271" s="68">
        <v>0</v>
      </c>
      <c r="T271" s="68">
        <v>0</v>
      </c>
      <c r="U271" s="68">
        <v>0</v>
      </c>
      <c r="V271" s="68">
        <v>0</v>
      </c>
      <c r="W271" s="68">
        <v>0</v>
      </c>
      <c r="X271" s="68">
        <v>0</v>
      </c>
      <c r="Y271" s="68">
        <v>0</v>
      </c>
      <c r="Z271" s="68">
        <v>0</v>
      </c>
      <c r="AA271" s="68">
        <v>0</v>
      </c>
      <c r="AB271" s="68">
        <v>0</v>
      </c>
      <c r="AC271" s="68">
        <v>0</v>
      </c>
    </row>
    <row r="272" spans="1:29" x14ac:dyDescent="0.55000000000000004">
      <c r="A272" s="49" t="s">
        <v>644</v>
      </c>
      <c r="B272" s="49" t="s">
        <v>645</v>
      </c>
      <c r="C272" s="49" t="s">
        <v>629</v>
      </c>
      <c r="D272" s="49" t="s">
        <v>523</v>
      </c>
      <c r="E272" s="68">
        <v>4050.84</v>
      </c>
      <c r="F272" s="68">
        <v>3466.8</v>
      </c>
      <c r="G272" s="68">
        <v>3802.82</v>
      </c>
      <c r="H272" s="68">
        <v>4246.84</v>
      </c>
      <c r="I272" s="68">
        <v>2066.7800000000002</v>
      </c>
      <c r="J272" s="68">
        <v>2811.38</v>
      </c>
      <c r="K272" s="68">
        <v>3890.88</v>
      </c>
      <c r="L272" s="68">
        <v>4506.84</v>
      </c>
      <c r="M272" s="68">
        <v>3389.82</v>
      </c>
      <c r="N272" s="68">
        <v>5200.2</v>
      </c>
      <c r="O272" s="68">
        <v>0</v>
      </c>
      <c r="P272" s="96">
        <v>3955.62</v>
      </c>
      <c r="Q272" s="68">
        <v>3141.46</v>
      </c>
      <c r="R272" s="68">
        <v>3391.56</v>
      </c>
      <c r="S272" s="68">
        <v>5200.2</v>
      </c>
      <c r="T272" s="68">
        <v>3549.04</v>
      </c>
      <c r="U272" s="68">
        <v>6922.96</v>
      </c>
      <c r="V272" s="68">
        <v>2271.3000000000002</v>
      </c>
      <c r="W272" s="68">
        <v>4691.5</v>
      </c>
      <c r="X272" s="68">
        <v>4459</v>
      </c>
      <c r="Y272" s="68">
        <v>3783.5</v>
      </c>
      <c r="Z272" s="68">
        <v>5328.13</v>
      </c>
      <c r="AA272" s="68">
        <v>4068.13</v>
      </c>
      <c r="AB272" s="68">
        <v>6125.9</v>
      </c>
      <c r="AC272" s="68">
        <v>0</v>
      </c>
    </row>
    <row r="273" spans="1:29" x14ac:dyDescent="0.55000000000000004">
      <c r="A273" s="49" t="s">
        <v>646</v>
      </c>
      <c r="B273" s="49" t="s">
        <v>647</v>
      </c>
      <c r="C273" s="49" t="s">
        <v>629</v>
      </c>
      <c r="D273" s="49" t="s">
        <v>523</v>
      </c>
      <c r="E273" s="68">
        <v>4830.9399999999996</v>
      </c>
      <c r="F273" s="68">
        <v>6745.81</v>
      </c>
      <c r="G273" s="68">
        <v>6448.66</v>
      </c>
      <c r="H273" s="68">
        <v>3049.18</v>
      </c>
      <c r="I273" s="68">
        <v>6882.36</v>
      </c>
      <c r="J273" s="68">
        <v>2979.72</v>
      </c>
      <c r="K273" s="68">
        <v>777.64</v>
      </c>
      <c r="L273" s="68">
        <v>14904.42</v>
      </c>
      <c r="M273" s="68">
        <v>1141.08</v>
      </c>
      <c r="N273" s="68">
        <v>3560.62</v>
      </c>
      <c r="O273" s="68">
        <v>6008.16</v>
      </c>
      <c r="P273" s="96">
        <v>3877.95</v>
      </c>
      <c r="Q273" s="68">
        <v>3594.19</v>
      </c>
      <c r="R273" s="68">
        <v>1236.31</v>
      </c>
      <c r="S273" s="68">
        <v>7251.92</v>
      </c>
      <c r="T273" s="68">
        <v>3088.12</v>
      </c>
      <c r="U273" s="68">
        <v>7331.29</v>
      </c>
      <c r="V273" s="68">
        <v>4593.5200000000004</v>
      </c>
      <c r="W273" s="68">
        <v>3429.85</v>
      </c>
      <c r="X273" s="68">
        <v>7435.12</v>
      </c>
      <c r="Y273" s="68">
        <v>4863.25</v>
      </c>
      <c r="Z273" s="68">
        <v>9565.3799999999992</v>
      </c>
      <c r="AA273" s="68">
        <v>7122.29</v>
      </c>
      <c r="AB273" s="68">
        <v>10166.61</v>
      </c>
      <c r="AC273" s="68">
        <v>0</v>
      </c>
    </row>
    <row r="274" spans="1:29" x14ac:dyDescent="0.55000000000000004">
      <c r="A274" s="49" t="s">
        <v>648</v>
      </c>
      <c r="B274" s="49" t="s">
        <v>649</v>
      </c>
      <c r="C274" s="49" t="s">
        <v>629</v>
      </c>
      <c r="D274" s="49" t="s">
        <v>523</v>
      </c>
      <c r="E274" s="68">
        <v>751.54</v>
      </c>
      <c r="F274" s="68">
        <v>837.97</v>
      </c>
      <c r="G274" s="68">
        <v>792.96</v>
      </c>
      <c r="H274" s="68">
        <v>574.01</v>
      </c>
      <c r="I274" s="68">
        <v>759.21</v>
      </c>
      <c r="J274" s="68">
        <v>443.01</v>
      </c>
      <c r="K274" s="68">
        <v>357.13</v>
      </c>
      <c r="L274" s="68">
        <v>1568.04</v>
      </c>
      <c r="M274" s="68">
        <v>392.85</v>
      </c>
      <c r="N274" s="68">
        <v>702.78</v>
      </c>
      <c r="O274" s="68">
        <v>396.1</v>
      </c>
      <c r="P274" s="96">
        <v>662.68</v>
      </c>
      <c r="Q274" s="68">
        <v>574.07000000000005</v>
      </c>
      <c r="R274" s="68">
        <v>442.49</v>
      </c>
      <c r="S274" s="68">
        <v>1048.08</v>
      </c>
      <c r="T274" s="68">
        <v>562.1</v>
      </c>
      <c r="U274" s="68">
        <v>1180.06</v>
      </c>
      <c r="V274" s="68">
        <v>533.9</v>
      </c>
      <c r="W274" s="68">
        <v>640.79999999999995</v>
      </c>
      <c r="X274" s="68">
        <v>1167.32</v>
      </c>
      <c r="Y274" s="68">
        <v>726.34</v>
      </c>
      <c r="Z274" s="68">
        <v>1477.29</v>
      </c>
      <c r="AA274" s="68">
        <v>1000.33</v>
      </c>
      <c r="AB274" s="68">
        <v>1285.1600000000001</v>
      </c>
      <c r="AC274" s="68">
        <v>0</v>
      </c>
    </row>
    <row r="275" spans="1:29" x14ac:dyDescent="0.55000000000000004">
      <c r="A275" s="49" t="s">
        <v>650</v>
      </c>
      <c r="B275" s="49" t="s">
        <v>651</v>
      </c>
      <c r="C275" s="49" t="s">
        <v>629</v>
      </c>
      <c r="D275" s="49" t="s">
        <v>523</v>
      </c>
      <c r="E275" s="68">
        <v>1226.67</v>
      </c>
      <c r="F275" s="68">
        <v>517.04999999999995</v>
      </c>
      <c r="G275" s="68">
        <v>475.36</v>
      </c>
      <c r="H275" s="68">
        <v>479.57</v>
      </c>
      <c r="I275" s="68">
        <v>1136.29</v>
      </c>
      <c r="J275" s="68">
        <v>167.54</v>
      </c>
      <c r="K275" s="68">
        <v>95.92</v>
      </c>
      <c r="L275" s="68">
        <v>998.25</v>
      </c>
      <c r="M275" s="68">
        <v>585.54</v>
      </c>
      <c r="N275" s="68">
        <v>977.05</v>
      </c>
      <c r="O275" s="68">
        <v>173.08</v>
      </c>
      <c r="P275" s="96">
        <v>404.72</v>
      </c>
      <c r="Q275" s="68">
        <v>564.52</v>
      </c>
      <c r="R275" s="68">
        <v>719.74</v>
      </c>
      <c r="S275" s="68">
        <v>666.79</v>
      </c>
      <c r="T275" s="68">
        <v>37.67</v>
      </c>
      <c r="U275" s="68">
        <v>887.64</v>
      </c>
      <c r="V275" s="68">
        <v>584.88</v>
      </c>
      <c r="W275" s="68">
        <v>787.09</v>
      </c>
      <c r="X275" s="68">
        <v>3084.75</v>
      </c>
      <c r="Y275" s="68">
        <v>608.84</v>
      </c>
      <c r="Z275" s="68">
        <v>2395.31</v>
      </c>
      <c r="AA275" s="68">
        <v>667.2</v>
      </c>
      <c r="AB275" s="68">
        <v>307.37</v>
      </c>
      <c r="AC275" s="68">
        <v>0</v>
      </c>
    </row>
    <row r="276" spans="1:29" x14ac:dyDescent="0.55000000000000004">
      <c r="A276" s="49" t="s">
        <v>652</v>
      </c>
      <c r="B276" s="49" t="s">
        <v>653</v>
      </c>
      <c r="C276" s="49" t="s">
        <v>629</v>
      </c>
      <c r="D276" s="49" t="s">
        <v>523</v>
      </c>
      <c r="E276" s="68">
        <v>332.42</v>
      </c>
      <c r="F276" s="68">
        <v>318.58</v>
      </c>
      <c r="G276" s="68">
        <v>363.68</v>
      </c>
      <c r="H276" s="68">
        <v>188.82</v>
      </c>
      <c r="I276" s="68">
        <v>88.73</v>
      </c>
      <c r="J276" s="68">
        <v>0</v>
      </c>
      <c r="K276" s="68">
        <v>0</v>
      </c>
      <c r="L276" s="68">
        <v>468.64</v>
      </c>
      <c r="M276" s="68">
        <v>289.82</v>
      </c>
      <c r="N276" s="68">
        <v>453.23</v>
      </c>
      <c r="O276" s="68">
        <v>1224.82</v>
      </c>
      <c r="P276" s="96">
        <v>0</v>
      </c>
      <c r="Q276" s="68">
        <v>288.93</v>
      </c>
      <c r="R276" s="68">
        <v>0</v>
      </c>
      <c r="S276" s="68">
        <v>384.53</v>
      </c>
      <c r="T276" s="68">
        <v>0</v>
      </c>
      <c r="U276" s="68">
        <v>217.43</v>
      </c>
      <c r="V276" s="68">
        <v>509.1</v>
      </c>
      <c r="W276" s="68">
        <v>1617.2</v>
      </c>
      <c r="X276" s="68">
        <v>464.78</v>
      </c>
      <c r="Y276" s="68">
        <v>677.01</v>
      </c>
      <c r="Z276" s="68">
        <v>878.15</v>
      </c>
      <c r="AA276" s="68">
        <v>94.49</v>
      </c>
      <c r="AB276" s="68">
        <v>458.62</v>
      </c>
      <c r="AC276" s="68">
        <v>0</v>
      </c>
    </row>
    <row r="277" spans="1:29" x14ac:dyDescent="0.55000000000000004">
      <c r="A277" s="49" t="s">
        <v>654</v>
      </c>
      <c r="B277" s="49" t="s">
        <v>655</v>
      </c>
      <c r="C277" s="49" t="s">
        <v>629</v>
      </c>
      <c r="D277" s="49" t="s">
        <v>523</v>
      </c>
      <c r="E277" s="68">
        <v>94.54</v>
      </c>
      <c r="F277" s="68">
        <v>100.81</v>
      </c>
      <c r="G277" s="68">
        <v>100.35</v>
      </c>
      <c r="H277" s="68">
        <v>68.58</v>
      </c>
      <c r="I277" s="68">
        <v>94.18</v>
      </c>
      <c r="J277" s="68">
        <v>54.44</v>
      </c>
      <c r="K277" s="68">
        <v>43.88</v>
      </c>
      <c r="L277" s="68">
        <v>188.78</v>
      </c>
      <c r="M277" s="68">
        <v>47.33</v>
      </c>
      <c r="N277" s="68">
        <v>87.23</v>
      </c>
      <c r="O277" s="68">
        <v>58.58</v>
      </c>
      <c r="P277" s="96">
        <v>75.89</v>
      </c>
      <c r="Q277" s="68">
        <v>66.849999999999994</v>
      </c>
      <c r="R277" s="68">
        <v>48.51</v>
      </c>
      <c r="S277" s="68">
        <v>121.45</v>
      </c>
      <c r="T277" s="68">
        <v>62.39</v>
      </c>
      <c r="U277" s="68">
        <v>141.96</v>
      </c>
      <c r="V277" s="68">
        <v>68.02</v>
      </c>
      <c r="W277" s="68">
        <v>81.45</v>
      </c>
      <c r="X277" s="68">
        <v>339.69</v>
      </c>
      <c r="Y277" s="68">
        <v>278.8</v>
      </c>
      <c r="Z277" s="68">
        <v>353.09</v>
      </c>
      <c r="AA277" s="68">
        <v>366.57</v>
      </c>
      <c r="AB277" s="68">
        <v>153.15</v>
      </c>
      <c r="AC277" s="68">
        <v>0</v>
      </c>
    </row>
    <row r="278" spans="1:29" x14ac:dyDescent="0.55000000000000004">
      <c r="A278" s="49" t="s">
        <v>656</v>
      </c>
      <c r="B278" s="49" t="s">
        <v>657</v>
      </c>
      <c r="C278" s="49" t="s">
        <v>629</v>
      </c>
      <c r="D278" s="49" t="s">
        <v>523</v>
      </c>
      <c r="E278" s="68">
        <v>454</v>
      </c>
      <c r="F278" s="68">
        <v>0</v>
      </c>
      <c r="G278" s="68">
        <v>475</v>
      </c>
      <c r="H278" s="68">
        <v>85</v>
      </c>
      <c r="I278" s="68">
        <v>220</v>
      </c>
      <c r="J278" s="68">
        <v>0</v>
      </c>
      <c r="K278" s="68">
        <v>725</v>
      </c>
      <c r="L278" s="68">
        <v>375</v>
      </c>
      <c r="M278" s="68">
        <v>160</v>
      </c>
      <c r="N278" s="68">
        <v>0</v>
      </c>
      <c r="O278" s="68">
        <v>250</v>
      </c>
      <c r="P278" s="96">
        <v>180</v>
      </c>
      <c r="Q278" s="68">
        <v>315</v>
      </c>
      <c r="R278" s="68">
        <v>160</v>
      </c>
      <c r="S278" s="68">
        <v>0</v>
      </c>
      <c r="T278" s="68">
        <v>270</v>
      </c>
      <c r="U278" s="68">
        <v>30.98</v>
      </c>
      <c r="V278" s="68">
        <v>0</v>
      </c>
      <c r="W278" s="68">
        <v>0</v>
      </c>
      <c r="X278" s="68">
        <v>450</v>
      </c>
      <c r="Y278" s="68">
        <v>691</v>
      </c>
      <c r="Z278" s="68">
        <v>250</v>
      </c>
      <c r="AA278" s="68">
        <v>310</v>
      </c>
      <c r="AB278" s="68">
        <v>540</v>
      </c>
      <c r="AC278" s="68">
        <v>0</v>
      </c>
    </row>
    <row r="279" spans="1:29" x14ac:dyDescent="0.55000000000000004">
      <c r="A279" s="49" t="s">
        <v>658</v>
      </c>
      <c r="B279" s="49" t="s">
        <v>659</v>
      </c>
      <c r="C279" s="49" t="s">
        <v>629</v>
      </c>
      <c r="D279" s="49" t="s">
        <v>147</v>
      </c>
      <c r="E279" s="68">
        <v>-424.74</v>
      </c>
      <c r="F279" s="68">
        <v>0</v>
      </c>
      <c r="G279" s="68">
        <v>994.69</v>
      </c>
      <c r="H279" s="68">
        <v>466.4</v>
      </c>
      <c r="I279" s="68">
        <v>377.42</v>
      </c>
      <c r="J279" s="68">
        <v>0</v>
      </c>
      <c r="K279" s="68">
        <v>0</v>
      </c>
      <c r="L279" s="68">
        <v>72.760000000000005</v>
      </c>
      <c r="M279" s="68">
        <v>201.68</v>
      </c>
      <c r="N279" s="68">
        <v>1137.78</v>
      </c>
      <c r="O279" s="68">
        <v>1037.25</v>
      </c>
      <c r="P279" s="96">
        <v>590.76</v>
      </c>
      <c r="Q279" s="68">
        <v>298.24</v>
      </c>
      <c r="R279" s="68">
        <v>300.25</v>
      </c>
      <c r="S279" s="68">
        <v>422.82</v>
      </c>
      <c r="T279" s="68">
        <v>1129.6600000000001</v>
      </c>
      <c r="U279" s="68">
        <v>1690.5</v>
      </c>
      <c r="V279" s="68">
        <v>293.55</v>
      </c>
      <c r="W279" s="68">
        <v>531.91999999999996</v>
      </c>
      <c r="X279" s="68">
        <v>393.3</v>
      </c>
      <c r="Y279" s="68">
        <v>100</v>
      </c>
      <c r="Z279" s="68">
        <v>580.79</v>
      </c>
      <c r="AA279" s="68">
        <v>734.05</v>
      </c>
      <c r="AB279" s="68">
        <v>532.08000000000004</v>
      </c>
      <c r="AC279" s="68">
        <v>0</v>
      </c>
    </row>
    <row r="280" spans="1:29" x14ac:dyDescent="0.55000000000000004">
      <c r="A280" s="49" t="s">
        <v>917</v>
      </c>
      <c r="B280" s="49" t="s">
        <v>918</v>
      </c>
      <c r="C280" s="49" t="s">
        <v>629</v>
      </c>
      <c r="D280" s="49" t="s">
        <v>147</v>
      </c>
      <c r="E280" s="68">
        <v>0</v>
      </c>
      <c r="F280" s="68">
        <v>0</v>
      </c>
      <c r="G280" s="68">
        <v>0</v>
      </c>
      <c r="H280" s="68">
        <v>0</v>
      </c>
      <c r="I280" s="68">
        <v>0</v>
      </c>
      <c r="J280" s="68">
        <v>0</v>
      </c>
      <c r="K280" s="68">
        <v>0</v>
      </c>
      <c r="L280" s="68">
        <v>0</v>
      </c>
      <c r="M280" s="68">
        <v>0</v>
      </c>
      <c r="N280" s="68">
        <v>0</v>
      </c>
      <c r="O280" s="68">
        <v>0</v>
      </c>
      <c r="P280" s="96">
        <v>0</v>
      </c>
      <c r="Q280" s="68">
        <v>0</v>
      </c>
      <c r="R280" s="68">
        <v>20.98</v>
      </c>
      <c r="S280" s="68">
        <v>0</v>
      </c>
      <c r="T280" s="68">
        <v>0</v>
      </c>
      <c r="U280" s="68">
        <v>0</v>
      </c>
      <c r="V280" s="68">
        <v>0</v>
      </c>
      <c r="W280" s="68">
        <v>0</v>
      </c>
      <c r="X280" s="68">
        <v>0</v>
      </c>
      <c r="Y280" s="68">
        <v>0</v>
      </c>
      <c r="Z280" s="68">
        <v>0</v>
      </c>
      <c r="AA280" s="68">
        <v>0</v>
      </c>
      <c r="AB280" s="68">
        <v>0</v>
      </c>
      <c r="AC280" s="68">
        <v>0</v>
      </c>
    </row>
    <row r="281" spans="1:29" x14ac:dyDescent="0.55000000000000004">
      <c r="A281" s="49" t="s">
        <v>660</v>
      </c>
      <c r="B281" s="49" t="s">
        <v>661</v>
      </c>
      <c r="C281" s="49" t="s">
        <v>629</v>
      </c>
      <c r="D281" s="49" t="s">
        <v>523</v>
      </c>
      <c r="E281" s="68">
        <v>6413.58</v>
      </c>
      <c r="F281" s="68">
        <v>5893.56</v>
      </c>
      <c r="G281" s="68">
        <v>6448.26</v>
      </c>
      <c r="H281" s="68">
        <v>3040.2</v>
      </c>
      <c r="I281" s="68">
        <v>4712.2</v>
      </c>
      <c r="J281" s="68">
        <v>10195.700000000001</v>
      </c>
      <c r="K281" s="68">
        <v>6066.9</v>
      </c>
      <c r="L281" s="68">
        <v>0</v>
      </c>
      <c r="M281" s="68">
        <v>6500.26</v>
      </c>
      <c r="N281" s="68">
        <v>6846.93</v>
      </c>
      <c r="O281" s="68">
        <v>5200.2</v>
      </c>
      <c r="P281" s="96">
        <v>350</v>
      </c>
      <c r="Q281" s="68">
        <v>3597.46</v>
      </c>
      <c r="R281" s="68">
        <v>0</v>
      </c>
      <c r="S281" s="68">
        <v>5720.22</v>
      </c>
      <c r="T281" s="68">
        <v>5243.87</v>
      </c>
      <c r="U281" s="68">
        <v>8597.68</v>
      </c>
      <c r="V281" s="68">
        <v>3035.6</v>
      </c>
      <c r="W281" s="68">
        <v>5200.2</v>
      </c>
      <c r="X281" s="68">
        <v>5000</v>
      </c>
      <c r="Y281" s="68">
        <v>7219.5</v>
      </c>
      <c r="Z281" s="68">
        <v>8667</v>
      </c>
      <c r="AA281" s="68">
        <v>7519.63</v>
      </c>
      <c r="AB281" s="68">
        <v>6933.6</v>
      </c>
      <c r="AC281" s="68">
        <v>0</v>
      </c>
    </row>
    <row r="282" spans="1:29" x14ac:dyDescent="0.55000000000000004">
      <c r="A282" s="49" t="s">
        <v>662</v>
      </c>
      <c r="B282" s="49" t="s">
        <v>663</v>
      </c>
      <c r="C282" s="49" t="s">
        <v>629</v>
      </c>
      <c r="D282" s="49" t="s">
        <v>523</v>
      </c>
      <c r="E282" s="68">
        <v>523.86</v>
      </c>
      <c r="F282" s="68">
        <v>450.86</v>
      </c>
      <c r="G282" s="68">
        <v>517.16</v>
      </c>
      <c r="H282" s="68">
        <v>218.91</v>
      </c>
      <c r="I282" s="68">
        <v>347.1</v>
      </c>
      <c r="J282" s="68">
        <v>719.49</v>
      </c>
      <c r="K282" s="68">
        <v>545.73</v>
      </c>
      <c r="L282" s="68">
        <v>128.54</v>
      </c>
      <c r="M282" s="68">
        <v>570.26</v>
      </c>
      <c r="N282" s="68">
        <v>462.51</v>
      </c>
      <c r="O282" s="68">
        <v>389.86</v>
      </c>
      <c r="P282" s="96">
        <v>124.45</v>
      </c>
      <c r="Q282" s="68">
        <v>535.29999999999995</v>
      </c>
      <c r="R282" s="68">
        <v>0</v>
      </c>
      <c r="S282" s="68">
        <v>565.92999999999995</v>
      </c>
      <c r="T282" s="68">
        <v>402.99</v>
      </c>
      <c r="U282" s="68">
        <v>647.54</v>
      </c>
      <c r="V282" s="68">
        <v>446.42</v>
      </c>
      <c r="W282" s="68">
        <v>397.83</v>
      </c>
      <c r="X282" s="68">
        <v>382.5</v>
      </c>
      <c r="Y282" s="68">
        <v>578.79999999999995</v>
      </c>
      <c r="Z282" s="68">
        <v>613.84</v>
      </c>
      <c r="AA282" s="68">
        <v>510.61</v>
      </c>
      <c r="AB282" s="68">
        <v>493.59</v>
      </c>
      <c r="AC282" s="68">
        <v>0</v>
      </c>
    </row>
    <row r="283" spans="1:29" x14ac:dyDescent="0.55000000000000004">
      <c r="A283" s="49" t="s">
        <v>664</v>
      </c>
      <c r="B283" s="49" t="s">
        <v>665</v>
      </c>
      <c r="C283" s="49" t="s">
        <v>629</v>
      </c>
      <c r="D283" s="49" t="s">
        <v>523</v>
      </c>
      <c r="E283" s="68">
        <v>851.92</v>
      </c>
      <c r="F283" s="68">
        <v>0</v>
      </c>
      <c r="G283" s="68">
        <v>320.73</v>
      </c>
      <c r="H283" s="68">
        <v>206.79</v>
      </c>
      <c r="I283" s="68">
        <v>241.96</v>
      </c>
      <c r="J283" s="68">
        <v>0</v>
      </c>
      <c r="K283" s="68">
        <v>1066.8</v>
      </c>
      <c r="L283" s="68">
        <v>1680.28</v>
      </c>
      <c r="M283" s="68">
        <v>1258.32</v>
      </c>
      <c r="N283" s="68">
        <v>711.7</v>
      </c>
      <c r="O283" s="68">
        <v>-79.760000000000005</v>
      </c>
      <c r="P283" s="96">
        <v>1321.29</v>
      </c>
      <c r="Q283" s="68">
        <v>3399.86</v>
      </c>
      <c r="R283" s="68">
        <v>0</v>
      </c>
      <c r="S283" s="68">
        <v>14.89</v>
      </c>
      <c r="T283" s="68">
        <v>18.05</v>
      </c>
      <c r="U283" s="68">
        <v>447.61</v>
      </c>
      <c r="V283" s="68">
        <v>3138.04</v>
      </c>
      <c r="W283" s="68">
        <v>98.7</v>
      </c>
      <c r="X283" s="68">
        <v>18.93</v>
      </c>
      <c r="Y283" s="68">
        <v>859.39</v>
      </c>
      <c r="Z283" s="68">
        <v>0</v>
      </c>
      <c r="AA283" s="68">
        <v>0</v>
      </c>
      <c r="AB283" s="68">
        <v>193.51</v>
      </c>
      <c r="AC283" s="68">
        <v>0</v>
      </c>
    </row>
    <row r="284" spans="1:29" x14ac:dyDescent="0.55000000000000004">
      <c r="A284" s="49" t="s">
        <v>666</v>
      </c>
      <c r="B284" s="49" t="s">
        <v>667</v>
      </c>
      <c r="C284" s="49" t="s">
        <v>629</v>
      </c>
      <c r="D284" s="49" t="s">
        <v>523</v>
      </c>
      <c r="E284" s="68">
        <v>332.42</v>
      </c>
      <c r="F284" s="68">
        <v>0</v>
      </c>
      <c r="G284" s="68">
        <v>0</v>
      </c>
      <c r="H284" s="68">
        <v>128.81</v>
      </c>
      <c r="I284" s="68">
        <v>376.39</v>
      </c>
      <c r="J284" s="68">
        <v>715.95</v>
      </c>
      <c r="K284" s="68">
        <v>0</v>
      </c>
      <c r="L284" s="68">
        <v>0</v>
      </c>
      <c r="M284" s="68">
        <v>192.3</v>
      </c>
      <c r="N284" s="68">
        <v>712.24</v>
      </c>
      <c r="O284" s="68">
        <v>120.8</v>
      </c>
      <c r="P284" s="96">
        <v>9.57</v>
      </c>
      <c r="Q284" s="68">
        <v>0</v>
      </c>
      <c r="R284" s="68">
        <v>0</v>
      </c>
      <c r="S284" s="68">
        <v>0</v>
      </c>
      <c r="T284" s="68">
        <v>0</v>
      </c>
      <c r="U284" s="68">
        <v>765.19</v>
      </c>
      <c r="V284" s="68">
        <v>669.55</v>
      </c>
      <c r="W284" s="68">
        <v>0</v>
      </c>
      <c r="X284" s="68">
        <v>544.91999999999996</v>
      </c>
      <c r="Y284" s="68">
        <v>172.08</v>
      </c>
      <c r="Z284" s="68">
        <v>621.69000000000005</v>
      </c>
      <c r="AA284" s="68">
        <v>638.44000000000005</v>
      </c>
      <c r="AB284" s="68">
        <v>881.56</v>
      </c>
      <c r="AC284" s="68">
        <v>0</v>
      </c>
    </row>
    <row r="285" spans="1:29" x14ac:dyDescent="0.55000000000000004">
      <c r="A285" s="49" t="s">
        <v>668</v>
      </c>
      <c r="B285" s="49" t="s">
        <v>669</v>
      </c>
      <c r="C285" s="49" t="s">
        <v>629</v>
      </c>
      <c r="D285" s="49" t="s">
        <v>523</v>
      </c>
      <c r="E285" s="68">
        <v>67.239999999999995</v>
      </c>
      <c r="F285" s="68">
        <v>55.4</v>
      </c>
      <c r="G285" s="68">
        <v>63.55</v>
      </c>
      <c r="H285" s="68">
        <v>28.58</v>
      </c>
      <c r="I285" s="68">
        <v>46.44</v>
      </c>
      <c r="J285" s="68">
        <v>95.84</v>
      </c>
      <c r="K285" s="68">
        <v>67.06</v>
      </c>
      <c r="L285" s="68">
        <v>15.79</v>
      </c>
      <c r="M285" s="68">
        <v>71.680000000000007</v>
      </c>
      <c r="N285" s="68">
        <v>64.36</v>
      </c>
      <c r="O285" s="68">
        <v>48.88</v>
      </c>
      <c r="P285" s="96">
        <v>15.42</v>
      </c>
      <c r="Q285" s="68">
        <v>65.77</v>
      </c>
      <c r="R285" s="68">
        <v>0</v>
      </c>
      <c r="S285" s="68">
        <v>53.77</v>
      </c>
      <c r="T285" s="68">
        <v>49.29</v>
      </c>
      <c r="U285" s="68">
        <v>84.73</v>
      </c>
      <c r="V285" s="68">
        <v>58.03</v>
      </c>
      <c r="W285" s="68">
        <v>48.88</v>
      </c>
      <c r="X285" s="68">
        <v>0</v>
      </c>
      <c r="Y285" s="68">
        <v>109.25</v>
      </c>
      <c r="Z285" s="68">
        <v>106.05</v>
      </c>
      <c r="AA285" s="68">
        <v>99.31</v>
      </c>
      <c r="AB285" s="68">
        <v>65.180000000000007</v>
      </c>
      <c r="AC285" s="68">
        <v>0</v>
      </c>
    </row>
    <row r="286" spans="1:29" x14ac:dyDescent="0.55000000000000004">
      <c r="A286" s="49" t="s">
        <v>670</v>
      </c>
      <c r="B286" s="49" t="s">
        <v>671</v>
      </c>
      <c r="C286" s="49" t="s">
        <v>629</v>
      </c>
      <c r="D286" s="49" t="s">
        <v>523</v>
      </c>
      <c r="E286" s="68">
        <v>14139.37</v>
      </c>
      <c r="F286" s="68">
        <v>11051.72</v>
      </c>
      <c r="G286" s="68">
        <v>10535.42</v>
      </c>
      <c r="H286" s="68">
        <v>8167.32</v>
      </c>
      <c r="I286" s="68">
        <v>7840.95</v>
      </c>
      <c r="J286" s="68">
        <v>9248.5499999999993</v>
      </c>
      <c r="K286" s="68">
        <v>8130.16</v>
      </c>
      <c r="L286" s="68">
        <v>12388.45</v>
      </c>
      <c r="M286" s="68">
        <v>5540.06</v>
      </c>
      <c r="N286" s="68">
        <v>12784.67</v>
      </c>
      <c r="O286" s="68">
        <v>3113.42</v>
      </c>
      <c r="P286" s="96">
        <v>10620.38</v>
      </c>
      <c r="Q286" s="68">
        <v>9892.4599999999991</v>
      </c>
      <c r="R286" s="68">
        <v>1340</v>
      </c>
      <c r="S286" s="68">
        <v>16007.87</v>
      </c>
      <c r="T286" s="68">
        <v>7636.65</v>
      </c>
      <c r="U286" s="68">
        <v>19853.2</v>
      </c>
      <c r="V286" s="68">
        <v>11909.45</v>
      </c>
      <c r="W286" s="68">
        <v>6706.44</v>
      </c>
      <c r="X286" s="68">
        <v>9834.01</v>
      </c>
      <c r="Y286" s="68">
        <v>13739.69</v>
      </c>
      <c r="Z286" s="68">
        <v>10871.89</v>
      </c>
      <c r="AA286" s="68">
        <v>16382.89</v>
      </c>
      <c r="AB286" s="68">
        <v>18022.09</v>
      </c>
      <c r="AC286" s="68">
        <v>0</v>
      </c>
    </row>
    <row r="287" spans="1:29" x14ac:dyDescent="0.55000000000000004">
      <c r="A287" s="49" t="s">
        <v>672</v>
      </c>
      <c r="B287" s="49" t="s">
        <v>673</v>
      </c>
      <c r="C287" s="49" t="s">
        <v>629</v>
      </c>
      <c r="D287" s="49" t="s">
        <v>523</v>
      </c>
      <c r="E287" s="68">
        <v>1059.8699999999999</v>
      </c>
      <c r="F287" s="68">
        <v>905.09</v>
      </c>
      <c r="G287" s="68">
        <v>849.7</v>
      </c>
      <c r="H287" s="68">
        <v>677.74</v>
      </c>
      <c r="I287" s="68">
        <v>599.85</v>
      </c>
      <c r="J287" s="68">
        <v>753.01</v>
      </c>
      <c r="K287" s="68">
        <v>630.83000000000004</v>
      </c>
      <c r="L287" s="68">
        <v>973</v>
      </c>
      <c r="M287" s="68">
        <v>595.64</v>
      </c>
      <c r="N287" s="68">
        <v>983.69</v>
      </c>
      <c r="O287" s="68">
        <v>226.93</v>
      </c>
      <c r="P287" s="96">
        <v>889.57</v>
      </c>
      <c r="Q287" s="68">
        <v>763.12</v>
      </c>
      <c r="R287" s="68">
        <v>138.69</v>
      </c>
      <c r="S287" s="68">
        <v>1221.45</v>
      </c>
      <c r="T287" s="68">
        <v>643.45000000000005</v>
      </c>
      <c r="U287" s="68">
        <v>1560.31</v>
      </c>
      <c r="V287" s="68">
        <v>888.28</v>
      </c>
      <c r="W287" s="68">
        <v>591.98</v>
      </c>
      <c r="X287" s="68">
        <v>766.95</v>
      </c>
      <c r="Y287" s="68">
        <v>1065.17</v>
      </c>
      <c r="Z287" s="68">
        <v>899.98</v>
      </c>
      <c r="AA287" s="68">
        <v>1332.77</v>
      </c>
      <c r="AB287" s="68">
        <v>1434.46</v>
      </c>
      <c r="AC287" s="68">
        <v>0</v>
      </c>
    </row>
    <row r="288" spans="1:29" x14ac:dyDescent="0.55000000000000004">
      <c r="A288" s="49" t="s">
        <v>674</v>
      </c>
      <c r="B288" s="49" t="s">
        <v>675</v>
      </c>
      <c r="C288" s="49" t="s">
        <v>629</v>
      </c>
      <c r="D288" s="49" t="s">
        <v>523</v>
      </c>
      <c r="E288" s="68">
        <v>328.25</v>
      </c>
      <c r="F288" s="68">
        <v>0.49</v>
      </c>
      <c r="G288" s="68">
        <v>497.51</v>
      </c>
      <c r="H288" s="68">
        <v>200.91</v>
      </c>
      <c r="I288" s="68">
        <v>24.69</v>
      </c>
      <c r="J288" s="68">
        <v>1305.07</v>
      </c>
      <c r="K288" s="68">
        <v>197.43</v>
      </c>
      <c r="L288" s="68">
        <v>903.59</v>
      </c>
      <c r="M288" s="68">
        <v>2388.81</v>
      </c>
      <c r="N288" s="68">
        <v>1387.36</v>
      </c>
      <c r="O288" s="68">
        <v>-150.69999999999999</v>
      </c>
      <c r="P288" s="96">
        <v>975.49</v>
      </c>
      <c r="Q288" s="68">
        <v>218.08</v>
      </c>
      <c r="R288" s="68">
        <v>9</v>
      </c>
      <c r="S288" s="68">
        <v>477.56</v>
      </c>
      <c r="T288" s="68">
        <v>924.39</v>
      </c>
      <c r="U288" s="68">
        <v>929.35</v>
      </c>
      <c r="V288" s="68">
        <v>400.88</v>
      </c>
      <c r="W288" s="68">
        <v>229.77</v>
      </c>
      <c r="X288" s="68">
        <v>413.6</v>
      </c>
      <c r="Y288" s="68">
        <v>485.49</v>
      </c>
      <c r="Z288" s="68">
        <v>892.41</v>
      </c>
      <c r="AA288" s="68">
        <v>527.80999999999995</v>
      </c>
      <c r="AB288" s="68">
        <v>652.58000000000004</v>
      </c>
      <c r="AC288" s="68">
        <v>0</v>
      </c>
    </row>
    <row r="289" spans="1:29" x14ac:dyDescent="0.55000000000000004">
      <c r="A289" s="49" t="s">
        <v>676</v>
      </c>
      <c r="B289" s="49" t="s">
        <v>677</v>
      </c>
      <c r="C289" s="49" t="s">
        <v>629</v>
      </c>
      <c r="D289" s="49" t="s">
        <v>523</v>
      </c>
      <c r="E289" s="68">
        <v>964.47</v>
      </c>
      <c r="F289" s="68">
        <v>385.15</v>
      </c>
      <c r="G289" s="68">
        <v>526.74</v>
      </c>
      <c r="H289" s="68">
        <v>119.63</v>
      </c>
      <c r="I289" s="68">
        <v>0</v>
      </c>
      <c r="J289" s="68">
        <v>359.55</v>
      </c>
      <c r="K289" s="68">
        <v>0</v>
      </c>
      <c r="L289" s="68">
        <v>510.09</v>
      </c>
      <c r="M289" s="68">
        <v>73.099999999999994</v>
      </c>
      <c r="N289" s="68">
        <v>626.38</v>
      </c>
      <c r="O289" s="68">
        <v>260.3</v>
      </c>
      <c r="P289" s="96">
        <v>175.92</v>
      </c>
      <c r="Q289" s="68">
        <v>0</v>
      </c>
      <c r="R289" s="68">
        <v>0</v>
      </c>
      <c r="S289" s="68">
        <v>497.37</v>
      </c>
      <c r="T289" s="68">
        <v>0</v>
      </c>
      <c r="U289" s="68">
        <v>469.7</v>
      </c>
      <c r="V289" s="68">
        <v>590.30999999999995</v>
      </c>
      <c r="W289" s="68">
        <v>0</v>
      </c>
      <c r="X289" s="68">
        <v>593.44000000000005</v>
      </c>
      <c r="Y289" s="68">
        <v>447.69</v>
      </c>
      <c r="Z289" s="68">
        <v>324.70999999999998</v>
      </c>
      <c r="AA289" s="68">
        <v>816.8</v>
      </c>
      <c r="AB289" s="68">
        <v>2805.92</v>
      </c>
      <c r="AC289" s="68">
        <v>0</v>
      </c>
    </row>
    <row r="290" spans="1:29" x14ac:dyDescent="0.55000000000000004">
      <c r="A290" s="49" t="s">
        <v>678</v>
      </c>
      <c r="B290" s="49" t="s">
        <v>679</v>
      </c>
      <c r="C290" s="49" t="s">
        <v>629</v>
      </c>
      <c r="D290" s="49" t="s">
        <v>523</v>
      </c>
      <c r="E290" s="68">
        <v>132.91</v>
      </c>
      <c r="F290" s="68">
        <v>103.89</v>
      </c>
      <c r="G290" s="68">
        <v>99.03</v>
      </c>
      <c r="H290" s="68">
        <v>76.77</v>
      </c>
      <c r="I290" s="68">
        <v>73.7</v>
      </c>
      <c r="J290" s="68">
        <v>86.94</v>
      </c>
      <c r="K290" s="68">
        <v>76.42</v>
      </c>
      <c r="L290" s="68">
        <v>116.45</v>
      </c>
      <c r="M290" s="68">
        <v>52.08</v>
      </c>
      <c r="N290" s="68">
        <v>120.18</v>
      </c>
      <c r="O290" s="68">
        <v>29.27</v>
      </c>
      <c r="P290" s="96">
        <v>99.83</v>
      </c>
      <c r="Q290" s="68">
        <v>92.99</v>
      </c>
      <c r="R290" s="68">
        <v>12.6</v>
      </c>
      <c r="S290" s="68">
        <v>1793.74</v>
      </c>
      <c r="T290" s="68">
        <v>71.78</v>
      </c>
      <c r="U290" s="68">
        <v>186.62</v>
      </c>
      <c r="V290" s="68">
        <v>111.95</v>
      </c>
      <c r="W290" s="68">
        <v>63.04</v>
      </c>
      <c r="X290" s="68">
        <v>57.5</v>
      </c>
      <c r="Y290" s="68">
        <v>76.400000000000006</v>
      </c>
      <c r="Z290" s="68">
        <v>49.79</v>
      </c>
      <c r="AA290" s="68">
        <v>96.26</v>
      </c>
      <c r="AB290" s="68">
        <v>169.41</v>
      </c>
      <c r="AC290" s="68">
        <v>0</v>
      </c>
    </row>
    <row r="291" spans="1:29" x14ac:dyDescent="0.55000000000000004">
      <c r="A291" s="49" t="s">
        <v>680</v>
      </c>
      <c r="B291" s="49" t="s">
        <v>681</v>
      </c>
      <c r="C291" s="49" t="s">
        <v>629</v>
      </c>
      <c r="D291" s="49" t="s">
        <v>147</v>
      </c>
      <c r="E291" s="68">
        <v>-354</v>
      </c>
      <c r="F291" s="68">
        <v>1076.25</v>
      </c>
      <c r="G291" s="68">
        <v>830</v>
      </c>
      <c r="H291" s="68">
        <v>1740</v>
      </c>
      <c r="I291" s="68">
        <v>649.38</v>
      </c>
      <c r="J291" s="68">
        <v>150</v>
      </c>
      <c r="K291" s="68">
        <v>656</v>
      </c>
      <c r="L291" s="68">
        <v>908.36</v>
      </c>
      <c r="M291" s="68">
        <v>716.85</v>
      </c>
      <c r="N291" s="68">
        <v>1660.54</v>
      </c>
      <c r="O291" s="68">
        <v>0</v>
      </c>
      <c r="P291" s="96">
        <v>486</v>
      </c>
      <c r="Q291" s="68">
        <v>1375</v>
      </c>
      <c r="R291" s="68">
        <v>549.52</v>
      </c>
      <c r="S291" s="68">
        <v>-493.12</v>
      </c>
      <c r="T291" s="68">
        <v>2189.7600000000002</v>
      </c>
      <c r="U291" s="68">
        <v>864.12</v>
      </c>
      <c r="V291" s="68">
        <v>877.38</v>
      </c>
      <c r="W291" s="68">
        <v>672</v>
      </c>
      <c r="X291" s="68">
        <v>0</v>
      </c>
      <c r="Y291" s="68">
        <v>0</v>
      </c>
      <c r="Z291" s="68">
        <v>0</v>
      </c>
      <c r="AA291" s="68">
        <v>0</v>
      </c>
      <c r="AB291" s="68">
        <v>640</v>
      </c>
      <c r="AC291" s="68">
        <v>0</v>
      </c>
    </row>
    <row r="292" spans="1:29" x14ac:dyDescent="0.55000000000000004">
      <c r="A292" s="49" t="s">
        <v>682</v>
      </c>
      <c r="B292" s="49" t="s">
        <v>683</v>
      </c>
      <c r="C292" s="49" t="s">
        <v>629</v>
      </c>
      <c r="D292" s="49" t="s">
        <v>147</v>
      </c>
      <c r="E292" s="68">
        <v>1705.29</v>
      </c>
      <c r="F292" s="68">
        <v>1395.9</v>
      </c>
      <c r="G292" s="68">
        <v>184.42</v>
      </c>
      <c r="H292" s="68">
        <v>159.30000000000001</v>
      </c>
      <c r="I292" s="68">
        <v>65.7</v>
      </c>
      <c r="J292" s="68">
        <v>0</v>
      </c>
      <c r="K292" s="68">
        <v>1398.1</v>
      </c>
      <c r="L292" s="68">
        <v>345.26</v>
      </c>
      <c r="M292" s="68">
        <v>171.43</v>
      </c>
      <c r="N292" s="68">
        <v>229.17</v>
      </c>
      <c r="O292" s="68">
        <v>-44.98</v>
      </c>
      <c r="P292" s="96">
        <v>1168.5899999999999</v>
      </c>
      <c r="Q292" s="68">
        <v>912.33</v>
      </c>
      <c r="R292" s="68">
        <v>274.99</v>
      </c>
      <c r="S292" s="68">
        <v>590.97</v>
      </c>
      <c r="T292" s="68">
        <v>386.15</v>
      </c>
      <c r="U292" s="68">
        <v>3078.35</v>
      </c>
      <c r="V292" s="68">
        <v>372.68</v>
      </c>
      <c r="W292" s="68">
        <v>217.02</v>
      </c>
      <c r="X292" s="68">
        <v>856.02</v>
      </c>
      <c r="Y292" s="68">
        <v>-99.68</v>
      </c>
      <c r="Z292" s="68">
        <v>1115.25</v>
      </c>
      <c r="AA292" s="68">
        <v>946.44</v>
      </c>
      <c r="AB292" s="68">
        <v>971.79</v>
      </c>
      <c r="AC292" s="68">
        <v>0</v>
      </c>
    </row>
    <row r="293" spans="1:29" x14ac:dyDescent="0.55000000000000004">
      <c r="A293" s="49" t="s">
        <v>684</v>
      </c>
      <c r="B293" s="49" t="s">
        <v>685</v>
      </c>
      <c r="C293" s="49" t="s">
        <v>629</v>
      </c>
      <c r="D293" s="49" t="s">
        <v>147</v>
      </c>
      <c r="E293" s="68">
        <v>0</v>
      </c>
      <c r="F293" s="68">
        <v>0</v>
      </c>
      <c r="G293" s="68">
        <v>1388.27</v>
      </c>
      <c r="H293" s="68">
        <v>231.44</v>
      </c>
      <c r="I293" s="68">
        <v>0</v>
      </c>
      <c r="J293" s="68">
        <v>0</v>
      </c>
      <c r="K293" s="68">
        <v>482.7</v>
      </c>
      <c r="L293" s="68">
        <v>0</v>
      </c>
      <c r="M293" s="68">
        <v>0</v>
      </c>
      <c r="N293" s="68">
        <v>0</v>
      </c>
      <c r="O293" s="68">
        <v>0</v>
      </c>
      <c r="P293" s="96">
        <v>0</v>
      </c>
      <c r="Q293" s="68">
        <v>0</v>
      </c>
      <c r="R293" s="68">
        <v>0</v>
      </c>
      <c r="S293" s="68">
        <v>0</v>
      </c>
      <c r="T293" s="68">
        <v>0</v>
      </c>
      <c r="U293" s="68">
        <v>1250.25</v>
      </c>
      <c r="V293" s="68">
        <v>296.17</v>
      </c>
      <c r="W293" s="68">
        <v>409.26</v>
      </c>
      <c r="X293" s="68">
        <v>0</v>
      </c>
      <c r="Y293" s="68">
        <v>0</v>
      </c>
      <c r="Z293" s="68">
        <v>1223.43</v>
      </c>
      <c r="AA293" s="68">
        <v>0</v>
      </c>
      <c r="AB293" s="68">
        <v>1214.68</v>
      </c>
      <c r="AC293" s="68">
        <v>0</v>
      </c>
    </row>
    <row r="294" spans="1:29" x14ac:dyDescent="0.55000000000000004">
      <c r="A294" s="49" t="s">
        <v>686</v>
      </c>
      <c r="B294" s="49" t="s">
        <v>687</v>
      </c>
      <c r="C294" s="49" t="s">
        <v>485</v>
      </c>
      <c r="D294" s="49" t="s">
        <v>523</v>
      </c>
      <c r="E294" s="68">
        <v>12501.28</v>
      </c>
      <c r="F294" s="68">
        <v>24907.98</v>
      </c>
      <c r="G294" s="68">
        <v>34809.599999999999</v>
      </c>
      <c r="H294" s="68">
        <v>27475.72</v>
      </c>
      <c r="I294" s="68">
        <v>17826.310000000001</v>
      </c>
      <c r="J294" s="68">
        <v>23236.18</v>
      </c>
      <c r="K294" s="68">
        <v>10001.719999999999</v>
      </c>
      <c r="L294" s="68">
        <v>11251.5</v>
      </c>
      <c r="M294" s="68">
        <v>31941.759999999998</v>
      </c>
      <c r="N294" s="68">
        <v>15527.14</v>
      </c>
      <c r="O294" s="68">
        <v>8334.18</v>
      </c>
      <c r="P294" s="96">
        <v>36140.78</v>
      </c>
      <c r="Q294" s="68">
        <v>11249.76</v>
      </c>
      <c r="R294" s="68">
        <v>18801.28</v>
      </c>
      <c r="S294" s="68">
        <v>9616.48</v>
      </c>
      <c r="T294" s="68">
        <v>11665.78</v>
      </c>
      <c r="U294" s="68">
        <v>12501.28</v>
      </c>
      <c r="V294" s="68">
        <v>0</v>
      </c>
      <c r="W294" s="68">
        <v>10001.719999999999</v>
      </c>
      <c r="X294" s="68">
        <v>10257.84</v>
      </c>
      <c r="Y294" s="68">
        <v>13347.18</v>
      </c>
      <c r="Z294" s="68">
        <v>13335.04</v>
      </c>
      <c r="AA294" s="68">
        <v>10833.76</v>
      </c>
      <c r="AB294" s="68">
        <v>11667.52</v>
      </c>
      <c r="AC294" s="68">
        <v>0</v>
      </c>
    </row>
    <row r="295" spans="1:29" x14ac:dyDescent="0.55000000000000004">
      <c r="A295" s="49" t="s">
        <v>688</v>
      </c>
      <c r="B295" s="49" t="s">
        <v>689</v>
      </c>
      <c r="C295" s="49" t="s">
        <v>485</v>
      </c>
      <c r="D295" s="49" t="s">
        <v>523</v>
      </c>
      <c r="E295" s="68">
        <v>0</v>
      </c>
      <c r="F295" s="68">
        <v>0</v>
      </c>
      <c r="G295" s="68">
        <v>0</v>
      </c>
      <c r="H295" s="68">
        <v>0</v>
      </c>
      <c r="I295" s="68">
        <v>0</v>
      </c>
      <c r="J295" s="68">
        <v>0</v>
      </c>
      <c r="K295" s="68">
        <v>0</v>
      </c>
      <c r="L295" s="68">
        <v>0</v>
      </c>
      <c r="M295" s="68">
        <v>0</v>
      </c>
      <c r="N295" s="68">
        <v>0</v>
      </c>
      <c r="O295" s="68">
        <v>0</v>
      </c>
      <c r="P295" s="96">
        <v>0</v>
      </c>
      <c r="Q295" s="68">
        <v>0</v>
      </c>
      <c r="R295" s="68">
        <v>0</v>
      </c>
      <c r="S295" s="68">
        <v>0</v>
      </c>
      <c r="T295" s="68">
        <v>0</v>
      </c>
      <c r="U295" s="68">
        <v>0</v>
      </c>
      <c r="V295" s="68">
        <v>0</v>
      </c>
      <c r="W295" s="68">
        <v>0</v>
      </c>
      <c r="X295" s="68">
        <v>0</v>
      </c>
      <c r="Y295" s="68">
        <v>0</v>
      </c>
      <c r="Z295" s="68">
        <v>0</v>
      </c>
      <c r="AA295" s="68">
        <v>0</v>
      </c>
      <c r="AB295" s="68">
        <v>4360.2299999999996</v>
      </c>
      <c r="AC295" s="68">
        <v>0</v>
      </c>
    </row>
    <row r="296" spans="1:29" x14ac:dyDescent="0.55000000000000004">
      <c r="A296" s="49" t="s">
        <v>690</v>
      </c>
      <c r="B296" s="49" t="s">
        <v>691</v>
      </c>
      <c r="C296" s="49" t="s">
        <v>485</v>
      </c>
      <c r="D296" s="49" t="s">
        <v>523</v>
      </c>
      <c r="E296" s="68">
        <v>63048.57</v>
      </c>
      <c r="F296" s="68">
        <v>21463.37</v>
      </c>
      <c r="G296" s="68">
        <v>52524.84</v>
      </c>
      <c r="H296" s="68">
        <v>33394.89</v>
      </c>
      <c r="I296" s="68">
        <v>27394.92</v>
      </c>
      <c r="J296" s="68">
        <v>35107.72</v>
      </c>
      <c r="K296" s="68">
        <v>31309.78</v>
      </c>
      <c r="L296" s="68">
        <v>32261.3</v>
      </c>
      <c r="M296" s="68">
        <v>29813.42</v>
      </c>
      <c r="N296" s="68">
        <v>44232</v>
      </c>
      <c r="O296" s="68">
        <v>19066.7</v>
      </c>
      <c r="P296" s="96">
        <v>37191.72</v>
      </c>
      <c r="Q296" s="68">
        <v>22192.42</v>
      </c>
      <c r="R296" s="68">
        <v>19905.060000000001</v>
      </c>
      <c r="S296" s="68">
        <v>24878.29</v>
      </c>
      <c r="T296" s="68">
        <v>28661.91</v>
      </c>
      <c r="U296" s="68">
        <v>77216.070000000007</v>
      </c>
      <c r="V296" s="68">
        <v>33438.870000000003</v>
      </c>
      <c r="W296" s="68">
        <v>20700.02</v>
      </c>
      <c r="X296" s="68">
        <v>26390.49</v>
      </c>
      <c r="Y296" s="68">
        <v>20119.32</v>
      </c>
      <c r="Z296" s="68">
        <v>28392.14</v>
      </c>
      <c r="AA296" s="68">
        <v>16789.259999999998</v>
      </c>
      <c r="AB296" s="68">
        <v>40584.769999999997</v>
      </c>
      <c r="AC296" s="68">
        <v>0</v>
      </c>
    </row>
    <row r="297" spans="1:29" x14ac:dyDescent="0.55000000000000004">
      <c r="A297" s="49" t="s">
        <v>692</v>
      </c>
      <c r="B297" s="49" t="s">
        <v>693</v>
      </c>
      <c r="C297" s="49" t="s">
        <v>485</v>
      </c>
      <c r="D297" s="49" t="s">
        <v>523</v>
      </c>
      <c r="E297" s="68">
        <v>0</v>
      </c>
      <c r="F297" s="68">
        <v>7607</v>
      </c>
      <c r="G297" s="68">
        <v>9695.25</v>
      </c>
      <c r="H297" s="68">
        <v>7574</v>
      </c>
      <c r="I297" s="68">
        <v>0</v>
      </c>
      <c r="J297" s="68">
        <v>6434</v>
      </c>
      <c r="K297" s="68">
        <v>21624</v>
      </c>
      <c r="L297" s="68">
        <v>0</v>
      </c>
      <c r="M297" s="68">
        <v>9430</v>
      </c>
      <c r="N297" s="68">
        <v>0</v>
      </c>
      <c r="O297" s="68">
        <v>0</v>
      </c>
      <c r="P297" s="96">
        <v>8790</v>
      </c>
      <c r="Q297" s="68">
        <v>0</v>
      </c>
      <c r="R297" s="68">
        <v>3150</v>
      </c>
      <c r="S297" s="68">
        <v>0</v>
      </c>
      <c r="T297" s="68">
        <v>0</v>
      </c>
      <c r="U297" s="68">
        <v>0</v>
      </c>
      <c r="V297" s="68">
        <v>26786</v>
      </c>
      <c r="W297" s="68">
        <v>15347</v>
      </c>
      <c r="X297" s="68">
        <v>0</v>
      </c>
      <c r="Y297" s="68">
        <v>0</v>
      </c>
      <c r="Z297" s="68">
        <v>12207</v>
      </c>
      <c r="AA297" s="68">
        <v>0</v>
      </c>
      <c r="AB297" s="68">
        <v>0</v>
      </c>
      <c r="AC297" s="68">
        <v>0</v>
      </c>
    </row>
    <row r="298" spans="1:29" x14ac:dyDescent="0.55000000000000004">
      <c r="A298" s="49" t="s">
        <v>694</v>
      </c>
      <c r="B298" s="49" t="s">
        <v>695</v>
      </c>
      <c r="C298" s="49" t="s">
        <v>485</v>
      </c>
      <c r="D298" s="49" t="s">
        <v>523</v>
      </c>
      <c r="E298" s="68">
        <v>5401.79</v>
      </c>
      <c r="F298" s="68">
        <v>2152.21</v>
      </c>
      <c r="G298" s="68">
        <v>6950.06</v>
      </c>
      <c r="H298" s="68">
        <v>4618.3100000000004</v>
      </c>
      <c r="I298" s="68">
        <v>3926.41</v>
      </c>
      <c r="J298" s="68">
        <v>3448.42</v>
      </c>
      <c r="K298" s="68">
        <v>2630.96</v>
      </c>
      <c r="L298" s="68">
        <v>3523.6</v>
      </c>
      <c r="M298" s="68">
        <v>2910.4</v>
      </c>
      <c r="N298" s="68">
        <v>5727.25</v>
      </c>
      <c r="O298" s="68">
        <v>2079.81</v>
      </c>
      <c r="P298" s="96">
        <v>3593.42</v>
      </c>
      <c r="Q298" s="68">
        <v>2611.64</v>
      </c>
      <c r="R298" s="68">
        <v>2171.4299999999998</v>
      </c>
      <c r="S298" s="68">
        <v>2416.2399999999998</v>
      </c>
      <c r="T298" s="68">
        <v>2609.7800000000002</v>
      </c>
      <c r="U298" s="68">
        <v>6767.04</v>
      </c>
      <c r="V298" s="68">
        <v>2619.91</v>
      </c>
      <c r="W298" s="68">
        <v>3002.05</v>
      </c>
      <c r="X298" s="68">
        <v>3233.4</v>
      </c>
      <c r="Y298" s="68">
        <v>2367.0100000000002</v>
      </c>
      <c r="Z298" s="68">
        <v>2744.05</v>
      </c>
      <c r="AA298" s="68">
        <v>2309.4699999999998</v>
      </c>
      <c r="AB298" s="68">
        <v>4719.25</v>
      </c>
      <c r="AC298" s="68">
        <v>0</v>
      </c>
    </row>
    <row r="299" spans="1:29" x14ac:dyDescent="0.55000000000000004">
      <c r="A299" s="49" t="s">
        <v>696</v>
      </c>
      <c r="B299" s="49" t="s">
        <v>697</v>
      </c>
      <c r="C299" s="49" t="s">
        <v>485</v>
      </c>
      <c r="D299" s="49" t="s">
        <v>523</v>
      </c>
      <c r="E299" s="68">
        <v>8072.05</v>
      </c>
      <c r="F299" s="68">
        <v>2858.52</v>
      </c>
      <c r="G299" s="68">
        <v>5543.64</v>
      </c>
      <c r="H299" s="68">
        <v>3586.47</v>
      </c>
      <c r="I299" s="68">
        <v>4557.17</v>
      </c>
      <c r="J299" s="68">
        <v>3365.81</v>
      </c>
      <c r="K299" s="68">
        <v>2250.16</v>
      </c>
      <c r="L299" s="68">
        <v>3208.24</v>
      </c>
      <c r="M299" s="68">
        <v>1891.22</v>
      </c>
      <c r="N299" s="68">
        <v>4835.24</v>
      </c>
      <c r="O299" s="68">
        <v>717.87</v>
      </c>
      <c r="P299" s="96">
        <v>2632.89</v>
      </c>
      <c r="Q299" s="68">
        <v>1682.03</v>
      </c>
      <c r="R299" s="68">
        <v>2657.99</v>
      </c>
      <c r="S299" s="68">
        <v>5654.79</v>
      </c>
      <c r="T299" s="68">
        <v>1936.72</v>
      </c>
      <c r="U299" s="68">
        <v>1863.38</v>
      </c>
      <c r="V299" s="68">
        <v>1004.04</v>
      </c>
      <c r="W299" s="68">
        <v>1339.59</v>
      </c>
      <c r="X299" s="68">
        <v>4341.53</v>
      </c>
      <c r="Y299" s="68">
        <v>5631.81</v>
      </c>
      <c r="Z299" s="68">
        <v>1421.44</v>
      </c>
      <c r="AA299" s="68">
        <v>985.88</v>
      </c>
      <c r="AB299" s="68">
        <v>4465.28</v>
      </c>
      <c r="AC299" s="68">
        <v>0</v>
      </c>
    </row>
    <row r="300" spans="1:29" x14ac:dyDescent="0.55000000000000004">
      <c r="A300" s="49" t="s">
        <v>698</v>
      </c>
      <c r="B300" s="49" t="s">
        <v>699</v>
      </c>
      <c r="C300" s="49" t="s">
        <v>485</v>
      </c>
      <c r="D300" s="49" t="s">
        <v>523</v>
      </c>
      <c r="E300" s="68">
        <v>4275.38</v>
      </c>
      <c r="F300" s="68">
        <v>1979.29</v>
      </c>
      <c r="G300" s="68">
        <v>2460.0700000000002</v>
      </c>
      <c r="H300" s="68">
        <v>1926.88</v>
      </c>
      <c r="I300" s="68">
        <v>827.71</v>
      </c>
      <c r="J300" s="68">
        <v>1849.39</v>
      </c>
      <c r="K300" s="68">
        <v>444.73</v>
      </c>
      <c r="L300" s="68">
        <v>1548.13</v>
      </c>
      <c r="M300" s="68">
        <v>1290.6600000000001</v>
      </c>
      <c r="N300" s="68">
        <v>1439.85</v>
      </c>
      <c r="O300" s="68">
        <v>244.3</v>
      </c>
      <c r="P300" s="96">
        <v>908.7</v>
      </c>
      <c r="Q300" s="68">
        <v>1293.57</v>
      </c>
      <c r="R300" s="68">
        <v>2975.54</v>
      </c>
      <c r="S300" s="68">
        <v>627.62</v>
      </c>
      <c r="T300" s="68">
        <v>1407.41</v>
      </c>
      <c r="U300" s="68">
        <v>4423.53</v>
      </c>
      <c r="V300" s="68">
        <v>1527.29</v>
      </c>
      <c r="W300" s="68">
        <v>6699.04</v>
      </c>
      <c r="X300" s="68">
        <v>1308.8</v>
      </c>
      <c r="Y300" s="68">
        <v>618.19000000000005</v>
      </c>
      <c r="Z300" s="68">
        <v>1561.6</v>
      </c>
      <c r="AA300" s="68">
        <v>273.47000000000003</v>
      </c>
      <c r="AB300" s="68">
        <v>-50594.54</v>
      </c>
      <c r="AC300" s="68">
        <v>0</v>
      </c>
    </row>
    <row r="301" spans="1:29" x14ac:dyDescent="0.55000000000000004">
      <c r="A301" s="49" t="s">
        <v>700</v>
      </c>
      <c r="B301" s="49" t="s">
        <v>701</v>
      </c>
      <c r="C301" s="49" t="s">
        <v>485</v>
      </c>
      <c r="D301" s="49" t="s">
        <v>523</v>
      </c>
      <c r="E301" s="68">
        <v>687.09</v>
      </c>
      <c r="F301" s="68">
        <v>177.87</v>
      </c>
      <c r="G301" s="68">
        <v>409.78</v>
      </c>
      <c r="H301" s="68">
        <v>336.88</v>
      </c>
      <c r="I301" s="68">
        <v>440.38</v>
      </c>
      <c r="J301" s="68">
        <v>657.11</v>
      </c>
      <c r="K301" s="68">
        <v>324.02999999999997</v>
      </c>
      <c r="L301" s="68">
        <v>382.43</v>
      </c>
      <c r="M301" s="68">
        <v>292.04000000000002</v>
      </c>
      <c r="N301" s="68">
        <v>508.04</v>
      </c>
      <c r="O301" s="68">
        <v>278.2</v>
      </c>
      <c r="P301" s="96">
        <v>509.65</v>
      </c>
      <c r="Q301" s="68">
        <v>154.25</v>
      </c>
      <c r="R301" s="68">
        <v>377.6</v>
      </c>
      <c r="S301" s="68">
        <v>490.65</v>
      </c>
      <c r="T301" s="68">
        <v>409.88</v>
      </c>
      <c r="U301" s="68">
        <v>1262.81</v>
      </c>
      <c r="V301" s="68">
        <v>278.33</v>
      </c>
      <c r="W301" s="68">
        <v>392.45</v>
      </c>
      <c r="X301" s="68">
        <v>315.12</v>
      </c>
      <c r="Y301" s="68">
        <v>345.15</v>
      </c>
      <c r="Z301" s="68">
        <v>1388.72</v>
      </c>
      <c r="AA301" s="68">
        <v>137.07</v>
      </c>
      <c r="AB301" s="68">
        <v>1040.19</v>
      </c>
      <c r="AC301" s="68">
        <v>0</v>
      </c>
    </row>
    <row r="302" spans="1:29" x14ac:dyDescent="0.55000000000000004">
      <c r="A302" s="49" t="s">
        <v>702</v>
      </c>
      <c r="B302" s="49" t="s">
        <v>703</v>
      </c>
      <c r="C302" s="49" t="s">
        <v>485</v>
      </c>
      <c r="D302" s="49" t="s">
        <v>523</v>
      </c>
      <c r="E302" s="68">
        <v>2091.3000000000002</v>
      </c>
      <c r="F302" s="68">
        <v>1829.78</v>
      </c>
      <c r="G302" s="68">
        <v>2656.51</v>
      </c>
      <c r="H302" s="68">
        <v>3626.43</v>
      </c>
      <c r="I302" s="68">
        <v>1819.01</v>
      </c>
      <c r="J302" s="68">
        <v>1257.07</v>
      </c>
      <c r="K302" s="68">
        <v>1388.72</v>
      </c>
      <c r="L302" s="68">
        <v>2501.3000000000002</v>
      </c>
      <c r="M302" s="68">
        <v>1440.31</v>
      </c>
      <c r="N302" s="68">
        <v>1942.88</v>
      </c>
      <c r="O302" s="68">
        <v>1091.71</v>
      </c>
      <c r="P302" s="96">
        <v>1752.45</v>
      </c>
      <c r="Q302" s="68">
        <v>1688.93</v>
      </c>
      <c r="R302" s="68">
        <v>1120.47</v>
      </c>
      <c r="S302" s="68">
        <v>1753.11</v>
      </c>
      <c r="T302" s="68">
        <v>1217.76</v>
      </c>
      <c r="U302" s="68">
        <v>1806.08</v>
      </c>
      <c r="V302" s="68">
        <v>1139.08</v>
      </c>
      <c r="W302" s="68">
        <v>1530.59</v>
      </c>
      <c r="X302" s="68">
        <v>537.20000000000005</v>
      </c>
      <c r="Y302" s="68">
        <v>581.86</v>
      </c>
      <c r="Z302" s="68">
        <v>578.11</v>
      </c>
      <c r="AA302" s="68">
        <v>601.5</v>
      </c>
      <c r="AB302" s="68">
        <v>2704.39</v>
      </c>
      <c r="AC302" s="68">
        <v>0</v>
      </c>
    </row>
    <row r="303" spans="1:29" x14ac:dyDescent="0.55000000000000004">
      <c r="A303" s="49" t="s">
        <v>704</v>
      </c>
      <c r="B303" s="49" t="s">
        <v>705</v>
      </c>
      <c r="C303" s="49" t="s">
        <v>485</v>
      </c>
      <c r="D303" s="49" t="s">
        <v>523</v>
      </c>
      <c r="E303" s="68">
        <v>-2016.88</v>
      </c>
      <c r="F303" s="68">
        <v>0</v>
      </c>
      <c r="G303" s="68">
        <v>-253.12</v>
      </c>
      <c r="H303" s="68">
        <v>0</v>
      </c>
      <c r="I303" s="68">
        <v>132.41999999999999</v>
      </c>
      <c r="J303" s="68">
        <v>0</v>
      </c>
      <c r="K303" s="68">
        <v>0</v>
      </c>
      <c r="L303" s="68">
        <v>0</v>
      </c>
      <c r="M303" s="68">
        <v>-177.58</v>
      </c>
      <c r="N303" s="68">
        <v>0</v>
      </c>
      <c r="O303" s="68">
        <v>586.61</v>
      </c>
      <c r="P303" s="96">
        <v>32.1</v>
      </c>
      <c r="Q303" s="68">
        <v>488.34</v>
      </c>
      <c r="R303" s="68">
        <v>171.43</v>
      </c>
      <c r="S303" s="68">
        <v>0</v>
      </c>
      <c r="T303" s="68">
        <v>909.98</v>
      </c>
      <c r="U303" s="68">
        <v>1510.33</v>
      </c>
      <c r="V303" s="68">
        <v>0</v>
      </c>
      <c r="W303" s="68">
        <v>742.64</v>
      </c>
      <c r="X303" s="68">
        <v>1015.18</v>
      </c>
      <c r="Y303" s="68">
        <v>435.35</v>
      </c>
      <c r="Z303" s="68">
        <v>1148.5899999999999</v>
      </c>
      <c r="AA303" s="68">
        <v>671.56</v>
      </c>
      <c r="AB303" s="68">
        <v>-45.9</v>
      </c>
      <c r="AC303" s="68">
        <v>0</v>
      </c>
    </row>
    <row r="304" spans="1:29" x14ac:dyDescent="0.55000000000000004">
      <c r="A304" s="49" t="s">
        <v>706</v>
      </c>
      <c r="B304" s="49" t="s">
        <v>707</v>
      </c>
      <c r="C304" s="49" t="s">
        <v>485</v>
      </c>
      <c r="D304" s="49" t="s">
        <v>523</v>
      </c>
      <c r="E304" s="68">
        <v>0</v>
      </c>
      <c r="F304" s="68">
        <v>0</v>
      </c>
      <c r="G304" s="68">
        <v>345</v>
      </c>
      <c r="H304" s="68">
        <v>0</v>
      </c>
      <c r="I304" s="68">
        <v>442</v>
      </c>
      <c r="J304" s="68">
        <v>0</v>
      </c>
      <c r="K304" s="68">
        <v>0</v>
      </c>
      <c r="L304" s="68">
        <v>490</v>
      </c>
      <c r="M304" s="68">
        <v>0</v>
      </c>
      <c r="N304" s="68">
        <v>70</v>
      </c>
      <c r="O304" s="68">
        <v>1431</v>
      </c>
      <c r="P304" s="96">
        <v>2997</v>
      </c>
      <c r="Q304" s="68">
        <v>0</v>
      </c>
      <c r="R304" s="68">
        <v>0</v>
      </c>
      <c r="S304" s="68">
        <v>1640</v>
      </c>
      <c r="T304" s="68">
        <v>35</v>
      </c>
      <c r="U304" s="68">
        <v>717.5</v>
      </c>
      <c r="V304" s="68">
        <v>682.5</v>
      </c>
      <c r="W304" s="68">
        <v>0</v>
      </c>
      <c r="X304" s="68">
        <v>25</v>
      </c>
      <c r="Y304" s="68">
        <v>0</v>
      </c>
      <c r="Z304" s="68">
        <v>0</v>
      </c>
      <c r="AA304" s="68">
        <v>25</v>
      </c>
      <c r="AB304" s="68">
        <v>758</v>
      </c>
      <c r="AC304" s="68">
        <v>0</v>
      </c>
    </row>
    <row r="305" spans="1:29" x14ac:dyDescent="0.55000000000000004">
      <c r="A305" s="49" t="s">
        <v>708</v>
      </c>
      <c r="B305" s="49" t="s">
        <v>709</v>
      </c>
      <c r="C305" s="49" t="s">
        <v>710</v>
      </c>
      <c r="D305" s="49" t="s">
        <v>147</v>
      </c>
      <c r="E305" s="68">
        <v>3665</v>
      </c>
      <c r="F305" s="68">
        <v>2450</v>
      </c>
      <c r="G305" s="68">
        <v>0</v>
      </c>
      <c r="H305" s="68">
        <v>1074.0999999999999</v>
      </c>
      <c r="I305" s="68">
        <v>350</v>
      </c>
      <c r="J305" s="68">
        <v>0</v>
      </c>
      <c r="K305" s="68">
        <v>0</v>
      </c>
      <c r="L305" s="68">
        <v>6095.78</v>
      </c>
      <c r="M305" s="68">
        <v>1181.6199999999999</v>
      </c>
      <c r="N305" s="68">
        <v>0</v>
      </c>
      <c r="O305" s="68">
        <v>602.5</v>
      </c>
      <c r="P305" s="96">
        <v>13111.25</v>
      </c>
      <c r="Q305" s="68">
        <v>0</v>
      </c>
      <c r="R305" s="68">
        <v>0</v>
      </c>
      <c r="S305" s="68">
        <v>0</v>
      </c>
      <c r="T305" s="68">
        <v>0</v>
      </c>
      <c r="U305" s="68">
        <v>0</v>
      </c>
      <c r="V305" s="68">
        <v>0</v>
      </c>
      <c r="W305" s="68">
        <v>0</v>
      </c>
      <c r="X305" s="68">
        <v>1274</v>
      </c>
      <c r="Y305" s="68">
        <v>980</v>
      </c>
      <c r="Z305" s="68">
        <v>330</v>
      </c>
      <c r="AA305" s="68">
        <v>851.61</v>
      </c>
      <c r="AB305" s="68">
        <v>650</v>
      </c>
      <c r="AC305" s="68">
        <v>0</v>
      </c>
    </row>
    <row r="306" spans="1:29" x14ac:dyDescent="0.55000000000000004">
      <c r="A306" s="49" t="s">
        <v>711</v>
      </c>
      <c r="B306" s="49" t="s">
        <v>712</v>
      </c>
      <c r="C306" s="49" t="s">
        <v>485</v>
      </c>
      <c r="D306" s="49" t="s">
        <v>147</v>
      </c>
      <c r="E306" s="68">
        <v>3570.88</v>
      </c>
      <c r="F306" s="68">
        <v>3570.88</v>
      </c>
      <c r="G306" s="68">
        <v>3570.88</v>
      </c>
      <c r="H306" s="68">
        <v>3570.88</v>
      </c>
      <c r="I306" s="68">
        <v>3570.88</v>
      </c>
      <c r="J306" s="68">
        <v>3570.88</v>
      </c>
      <c r="K306" s="68">
        <v>3570.88</v>
      </c>
      <c r="L306" s="68">
        <v>3570.88</v>
      </c>
      <c r="M306" s="68">
        <v>3570.88</v>
      </c>
      <c r="N306" s="68">
        <v>3570.88</v>
      </c>
      <c r="O306" s="68">
        <v>3570.88</v>
      </c>
      <c r="P306" s="96">
        <v>3583.51</v>
      </c>
      <c r="Q306" s="68">
        <v>3570.88</v>
      </c>
      <c r="R306" s="68">
        <v>3570.88</v>
      </c>
      <c r="S306" s="68">
        <v>3570.88</v>
      </c>
      <c r="T306" s="68">
        <v>3570.88</v>
      </c>
      <c r="U306" s="68">
        <v>3570.88</v>
      </c>
      <c r="V306" s="68">
        <v>2737.9</v>
      </c>
      <c r="W306" s="68">
        <v>3570.88</v>
      </c>
      <c r="X306" s="68">
        <v>3570.88</v>
      </c>
      <c r="Y306" s="68">
        <v>6354.77</v>
      </c>
      <c r="Z306" s="68">
        <v>3570.88</v>
      </c>
      <c r="AA306" s="68">
        <v>3570.88</v>
      </c>
      <c r="AB306" s="68">
        <v>3570.88</v>
      </c>
      <c r="AC306" s="68">
        <v>0</v>
      </c>
    </row>
    <row r="307" spans="1:29" x14ac:dyDescent="0.55000000000000004">
      <c r="A307" s="49" t="s">
        <v>713</v>
      </c>
      <c r="B307" s="49" t="s">
        <v>714</v>
      </c>
      <c r="C307" s="49" t="s">
        <v>485</v>
      </c>
      <c r="D307" s="49" t="s">
        <v>147</v>
      </c>
      <c r="E307" s="68">
        <v>-1072.5999999999999</v>
      </c>
      <c r="F307" s="68">
        <v>269.57</v>
      </c>
      <c r="G307" s="68">
        <v>5926.61</v>
      </c>
      <c r="H307" s="68">
        <v>1529.65</v>
      </c>
      <c r="I307" s="68">
        <v>276.49</v>
      </c>
      <c r="J307" s="68">
        <v>0</v>
      </c>
      <c r="K307" s="68">
        <v>0</v>
      </c>
      <c r="L307" s="68">
        <v>1446.83</v>
      </c>
      <c r="M307" s="68">
        <v>2202.77</v>
      </c>
      <c r="N307" s="68">
        <v>3029.42</v>
      </c>
      <c r="O307" s="68">
        <v>313.2</v>
      </c>
      <c r="P307" s="96">
        <v>5171.01</v>
      </c>
      <c r="Q307" s="68">
        <v>320.75</v>
      </c>
      <c r="R307" s="68">
        <v>941.63</v>
      </c>
      <c r="S307" s="68">
        <v>1641.01</v>
      </c>
      <c r="T307" s="68">
        <v>645.4</v>
      </c>
      <c r="U307" s="68">
        <v>3129.82</v>
      </c>
      <c r="V307" s="68">
        <v>60.58</v>
      </c>
      <c r="W307" s="68">
        <v>-1217.1500000000001</v>
      </c>
      <c r="X307" s="68">
        <v>583.48</v>
      </c>
      <c r="Y307" s="68">
        <v>170.14</v>
      </c>
      <c r="Z307" s="68">
        <v>886.39</v>
      </c>
      <c r="AA307" s="68">
        <v>306.14</v>
      </c>
      <c r="AB307" s="68">
        <v>1353.25</v>
      </c>
      <c r="AC307" s="68">
        <v>0</v>
      </c>
    </row>
    <row r="308" spans="1:29" x14ac:dyDescent="0.55000000000000004">
      <c r="A308" s="49" t="s">
        <v>715</v>
      </c>
      <c r="B308" s="49" t="s">
        <v>716</v>
      </c>
      <c r="C308" s="49" t="s">
        <v>485</v>
      </c>
      <c r="D308" s="49" t="s">
        <v>147</v>
      </c>
      <c r="E308" s="68">
        <v>4527.49</v>
      </c>
      <c r="F308" s="68">
        <v>1339.29</v>
      </c>
      <c r="G308" s="68">
        <v>2287.62</v>
      </c>
      <c r="H308" s="68">
        <v>2609.48</v>
      </c>
      <c r="I308" s="68">
        <v>2512.09</v>
      </c>
      <c r="J308" s="68">
        <v>2844.28</v>
      </c>
      <c r="K308" s="68">
        <v>2009.69</v>
      </c>
      <c r="L308" s="68">
        <v>8972.39</v>
      </c>
      <c r="M308" s="68">
        <v>1082.67</v>
      </c>
      <c r="N308" s="68">
        <v>2630.26</v>
      </c>
      <c r="O308" s="68">
        <v>3906</v>
      </c>
      <c r="P308" s="96">
        <v>1784.11</v>
      </c>
      <c r="Q308" s="68">
        <v>1884.33</v>
      </c>
      <c r="R308" s="68">
        <v>1693.79</v>
      </c>
      <c r="S308" s="68">
        <v>4556.22</v>
      </c>
      <c r="T308" s="68">
        <v>3824.74</v>
      </c>
      <c r="U308" s="68">
        <v>4146.9399999999996</v>
      </c>
      <c r="V308" s="68">
        <v>4790.34</v>
      </c>
      <c r="W308" s="68">
        <v>5849.85</v>
      </c>
      <c r="X308" s="68">
        <v>5248.89</v>
      </c>
      <c r="Y308" s="68">
        <v>2299.4</v>
      </c>
      <c r="Z308" s="68">
        <v>3730.09</v>
      </c>
      <c r="AA308" s="68">
        <v>421.43</v>
      </c>
      <c r="AB308" s="68">
        <v>1285.31</v>
      </c>
      <c r="AC308" s="68">
        <v>0</v>
      </c>
    </row>
    <row r="309" spans="1:29" x14ac:dyDescent="0.55000000000000004">
      <c r="A309" s="49" t="s">
        <v>717</v>
      </c>
      <c r="B309" s="49" t="s">
        <v>718</v>
      </c>
      <c r="C309" s="49" t="s">
        <v>485</v>
      </c>
      <c r="D309" s="49" t="s">
        <v>147</v>
      </c>
      <c r="E309" s="68">
        <v>636.82000000000005</v>
      </c>
      <c r="F309" s="68">
        <v>555.1</v>
      </c>
      <c r="G309" s="68">
        <v>557.20000000000005</v>
      </c>
      <c r="H309" s="68">
        <v>380.47</v>
      </c>
      <c r="I309" s="68">
        <v>474.88</v>
      </c>
      <c r="J309" s="68">
        <v>54.28</v>
      </c>
      <c r="K309" s="68">
        <v>274.02999999999997</v>
      </c>
      <c r="L309" s="68">
        <v>437.81</v>
      </c>
      <c r="M309" s="68">
        <v>329.79</v>
      </c>
      <c r="N309" s="68">
        <v>134.59</v>
      </c>
      <c r="O309" s="68">
        <v>811.93</v>
      </c>
      <c r="P309" s="96">
        <v>769.84</v>
      </c>
      <c r="Q309" s="68">
        <v>200</v>
      </c>
      <c r="R309" s="68">
        <v>220</v>
      </c>
      <c r="S309" s="68">
        <v>119.33</v>
      </c>
      <c r="T309" s="68">
        <v>205.08</v>
      </c>
      <c r="U309" s="68">
        <v>269.54000000000002</v>
      </c>
      <c r="V309" s="68">
        <v>13.88</v>
      </c>
      <c r="W309" s="68">
        <v>-38.53</v>
      </c>
      <c r="X309" s="68">
        <v>230.12</v>
      </c>
      <c r="Y309" s="68">
        <v>748.78</v>
      </c>
      <c r="Z309" s="68">
        <v>229.46</v>
      </c>
      <c r="AA309" s="68">
        <v>843.48</v>
      </c>
      <c r="AB309" s="68">
        <v>393.62</v>
      </c>
      <c r="AC309" s="68">
        <v>0</v>
      </c>
    </row>
    <row r="310" spans="1:29" x14ac:dyDescent="0.55000000000000004">
      <c r="A310" s="49" t="s">
        <v>719</v>
      </c>
      <c r="B310" s="49" t="s">
        <v>720</v>
      </c>
      <c r="C310" s="49" t="s">
        <v>485</v>
      </c>
      <c r="D310" s="49" t="s">
        <v>147</v>
      </c>
      <c r="E310" s="68">
        <v>0</v>
      </c>
      <c r="F310" s="68">
        <v>0</v>
      </c>
      <c r="G310" s="68">
        <v>3030.19</v>
      </c>
      <c r="H310" s="68">
        <v>211.43</v>
      </c>
      <c r="I310" s="68">
        <v>0</v>
      </c>
      <c r="J310" s="68">
        <v>0</v>
      </c>
      <c r="K310" s="68">
        <v>0</v>
      </c>
      <c r="L310" s="68">
        <v>0</v>
      </c>
      <c r="M310" s="68">
        <v>0</v>
      </c>
      <c r="N310" s="68">
        <v>0</v>
      </c>
      <c r="O310" s="68">
        <v>0</v>
      </c>
      <c r="P310" s="96">
        <v>811.61</v>
      </c>
      <c r="Q310" s="68">
        <v>0</v>
      </c>
      <c r="R310" s="68">
        <v>0</v>
      </c>
      <c r="S310" s="68">
        <v>0</v>
      </c>
      <c r="T310" s="68">
        <v>0</v>
      </c>
      <c r="U310" s="68">
        <v>0</v>
      </c>
      <c r="V310" s="68">
        <v>0</v>
      </c>
      <c r="W310" s="68">
        <v>0</v>
      </c>
      <c r="X310" s="68">
        <v>0</v>
      </c>
      <c r="Y310" s="68">
        <v>0</v>
      </c>
      <c r="Z310" s="68">
        <v>0</v>
      </c>
      <c r="AA310" s="68">
        <v>0</v>
      </c>
      <c r="AB310" s="68">
        <v>2442.7199999999998</v>
      </c>
      <c r="AC310" s="68">
        <v>0</v>
      </c>
    </row>
    <row r="311" spans="1:29" x14ac:dyDescent="0.55000000000000004">
      <c r="A311" s="49" t="s">
        <v>721</v>
      </c>
      <c r="B311" s="49" t="s">
        <v>722</v>
      </c>
      <c r="C311" s="49" t="s">
        <v>485</v>
      </c>
      <c r="D311" s="49" t="s">
        <v>147</v>
      </c>
      <c r="E311" s="68">
        <v>1094.6400000000001</v>
      </c>
      <c r="F311" s="68">
        <v>3553.57</v>
      </c>
      <c r="G311" s="68">
        <v>0</v>
      </c>
      <c r="H311" s="68">
        <v>507.1</v>
      </c>
      <c r="I311" s="68">
        <v>230.31</v>
      </c>
      <c r="J311" s="68">
        <v>0</v>
      </c>
      <c r="K311" s="68">
        <v>1720.08</v>
      </c>
      <c r="L311" s="68">
        <v>1294.5999999999999</v>
      </c>
      <c r="M311" s="68">
        <v>1653.26</v>
      </c>
      <c r="N311" s="68">
        <v>2450.46</v>
      </c>
      <c r="O311" s="68">
        <v>336.13</v>
      </c>
      <c r="P311" s="96">
        <v>575.75</v>
      </c>
      <c r="Q311" s="68">
        <v>0</v>
      </c>
      <c r="R311" s="68">
        <v>387.69</v>
      </c>
      <c r="S311" s="68">
        <v>1203.57</v>
      </c>
      <c r="T311" s="68">
        <v>1355.49</v>
      </c>
      <c r="U311" s="68">
        <v>1473.52</v>
      </c>
      <c r="V311" s="68">
        <v>0</v>
      </c>
      <c r="W311" s="68">
        <v>0</v>
      </c>
      <c r="X311" s="68">
        <v>505.9</v>
      </c>
      <c r="Y311" s="68">
        <v>0</v>
      </c>
      <c r="Z311" s="68">
        <v>431.25</v>
      </c>
      <c r="AA311" s="68">
        <v>1243.1199999999999</v>
      </c>
      <c r="AB311" s="68">
        <v>0</v>
      </c>
      <c r="AC311" s="68">
        <v>0</v>
      </c>
    </row>
    <row r="312" spans="1:29" x14ac:dyDescent="0.55000000000000004">
      <c r="A312" s="49" t="s">
        <v>723</v>
      </c>
      <c r="B312" s="49" t="s">
        <v>724</v>
      </c>
      <c r="C312" s="49" t="s">
        <v>485</v>
      </c>
      <c r="D312" s="49" t="s">
        <v>147</v>
      </c>
      <c r="E312" s="68">
        <v>408.89</v>
      </c>
      <c r="F312" s="68">
        <v>0</v>
      </c>
      <c r="G312" s="68">
        <v>99.73</v>
      </c>
      <c r="H312" s="68">
        <v>150.69999999999999</v>
      </c>
      <c r="I312" s="68">
        <v>0</v>
      </c>
      <c r="J312" s="68">
        <v>0</v>
      </c>
      <c r="K312" s="68">
        <v>0</v>
      </c>
      <c r="L312" s="68">
        <v>17</v>
      </c>
      <c r="M312" s="68">
        <v>0</v>
      </c>
      <c r="N312" s="68">
        <v>0</v>
      </c>
      <c r="O312" s="68">
        <v>17</v>
      </c>
      <c r="P312" s="96">
        <v>487.52</v>
      </c>
      <c r="Q312" s="68">
        <v>852.34</v>
      </c>
      <c r="R312" s="68">
        <v>0</v>
      </c>
      <c r="S312" s="68">
        <v>288.88</v>
      </c>
      <c r="T312" s="68">
        <v>389.79</v>
      </c>
      <c r="U312" s="68">
        <v>600</v>
      </c>
      <c r="V312" s="68">
        <v>450.55</v>
      </c>
      <c r="W312" s="68">
        <v>1493.26</v>
      </c>
      <c r="X312" s="68">
        <v>780.13</v>
      </c>
      <c r="Y312" s="68">
        <v>2487.94</v>
      </c>
      <c r="Z312" s="68">
        <v>670.43</v>
      </c>
      <c r="AA312" s="68">
        <v>0</v>
      </c>
      <c r="AB312" s="68">
        <v>1169.6500000000001</v>
      </c>
      <c r="AC312" s="68">
        <v>0</v>
      </c>
    </row>
    <row r="313" spans="1:29" x14ac:dyDescent="0.55000000000000004">
      <c r="A313" s="49" t="s">
        <v>725</v>
      </c>
      <c r="B313" s="49" t="s">
        <v>726</v>
      </c>
      <c r="C313" s="49" t="s">
        <v>485</v>
      </c>
      <c r="D313" s="49" t="s">
        <v>147</v>
      </c>
      <c r="E313" s="68">
        <v>3979.64</v>
      </c>
      <c r="F313" s="68">
        <v>4027.1</v>
      </c>
      <c r="G313" s="68">
        <v>6777.54</v>
      </c>
      <c r="H313" s="68">
        <v>3560.99</v>
      </c>
      <c r="I313" s="68">
        <v>3427.58</v>
      </c>
      <c r="J313" s="68">
        <v>1334.28</v>
      </c>
      <c r="K313" s="68">
        <v>4083.97</v>
      </c>
      <c r="L313" s="68">
        <v>6989.69</v>
      </c>
      <c r="M313" s="68">
        <v>2432.8000000000002</v>
      </c>
      <c r="N313" s="68">
        <v>8918.33</v>
      </c>
      <c r="O313" s="68">
        <v>2458.23</v>
      </c>
      <c r="P313" s="96">
        <v>10472.52</v>
      </c>
      <c r="Q313" s="68">
        <v>3959.43</v>
      </c>
      <c r="R313" s="68">
        <v>2560.91</v>
      </c>
      <c r="S313" s="68">
        <v>6375.99</v>
      </c>
      <c r="T313" s="68">
        <v>4122.04</v>
      </c>
      <c r="U313" s="68">
        <v>4940.51</v>
      </c>
      <c r="V313" s="68">
        <v>2244</v>
      </c>
      <c r="W313" s="68">
        <v>7803.38</v>
      </c>
      <c r="X313" s="68">
        <v>5278.82</v>
      </c>
      <c r="Y313" s="68">
        <v>6403.07</v>
      </c>
      <c r="Z313" s="68">
        <v>3934.64</v>
      </c>
      <c r="AA313" s="68">
        <v>-14924.09</v>
      </c>
      <c r="AB313" s="68">
        <v>12508.82</v>
      </c>
      <c r="AC313" s="68">
        <v>0</v>
      </c>
    </row>
    <row r="314" spans="1:29" x14ac:dyDescent="0.55000000000000004">
      <c r="A314" s="49" t="s">
        <v>727</v>
      </c>
      <c r="B314" s="49" t="s">
        <v>728</v>
      </c>
      <c r="C314" s="49" t="s">
        <v>485</v>
      </c>
      <c r="D314" s="49" t="s">
        <v>147</v>
      </c>
      <c r="E314" s="68">
        <v>975.93</v>
      </c>
      <c r="F314" s="68">
        <v>237.75</v>
      </c>
      <c r="G314" s="68">
        <v>6977.84</v>
      </c>
      <c r="H314" s="68">
        <v>855.3</v>
      </c>
      <c r="I314" s="68">
        <v>3404.91</v>
      </c>
      <c r="J314" s="68">
        <v>7629.7</v>
      </c>
      <c r="K314" s="68">
        <v>2106.7600000000002</v>
      </c>
      <c r="L314" s="68">
        <v>3740.05</v>
      </c>
      <c r="M314" s="68">
        <v>2956.74</v>
      </c>
      <c r="N314" s="68">
        <v>7542.81</v>
      </c>
      <c r="O314" s="68">
        <v>-1001.45</v>
      </c>
      <c r="P314" s="96">
        <v>1733.15</v>
      </c>
      <c r="Q314" s="68">
        <v>507.48</v>
      </c>
      <c r="R314" s="68">
        <v>587.95000000000005</v>
      </c>
      <c r="S314" s="68">
        <v>-20.329999999999998</v>
      </c>
      <c r="T314" s="68">
        <v>617.61</v>
      </c>
      <c r="U314" s="68">
        <v>5931.47</v>
      </c>
      <c r="V314" s="68">
        <v>594.38</v>
      </c>
      <c r="W314" s="68">
        <v>1065.94</v>
      </c>
      <c r="X314" s="68">
        <v>391.61</v>
      </c>
      <c r="Y314" s="68">
        <v>963.52</v>
      </c>
      <c r="Z314" s="68">
        <v>834.58</v>
      </c>
      <c r="AA314" s="68">
        <v>133.12334000000001</v>
      </c>
      <c r="AB314" s="68">
        <v>2794.04</v>
      </c>
      <c r="AC314" s="68">
        <v>0</v>
      </c>
    </row>
    <row r="315" spans="1:29" x14ac:dyDescent="0.55000000000000004">
      <c r="A315" s="49" t="s">
        <v>729</v>
      </c>
      <c r="B315" s="49" t="s">
        <v>730</v>
      </c>
      <c r="C315" s="49" t="s">
        <v>731</v>
      </c>
      <c r="D315" s="49" t="s">
        <v>147</v>
      </c>
      <c r="E315" s="68">
        <v>800</v>
      </c>
      <c r="F315" s="68">
        <v>35</v>
      </c>
      <c r="G315" s="68">
        <v>0</v>
      </c>
      <c r="H315" s="68">
        <v>35</v>
      </c>
      <c r="I315" s="68">
        <v>-151.63</v>
      </c>
      <c r="J315" s="68">
        <v>214.98</v>
      </c>
      <c r="K315" s="68">
        <v>0</v>
      </c>
      <c r="L315" s="68">
        <v>0</v>
      </c>
      <c r="M315" s="68">
        <v>410</v>
      </c>
      <c r="N315" s="68">
        <v>1000</v>
      </c>
      <c r="O315" s="68">
        <v>1209.67</v>
      </c>
      <c r="P315" s="96">
        <v>0</v>
      </c>
      <c r="Q315" s="68">
        <v>0</v>
      </c>
      <c r="R315" s="68">
        <v>0</v>
      </c>
      <c r="S315" s="68">
        <v>0</v>
      </c>
      <c r="T315" s="68">
        <v>0</v>
      </c>
      <c r="U315" s="68">
        <v>5277.81</v>
      </c>
      <c r="V315" s="68">
        <v>0</v>
      </c>
      <c r="W315" s="68">
        <v>0</v>
      </c>
      <c r="X315" s="68">
        <v>16.12</v>
      </c>
      <c r="Y315" s="68">
        <v>0</v>
      </c>
      <c r="Z315" s="68">
        <v>0</v>
      </c>
      <c r="AA315" s="68">
        <v>0</v>
      </c>
      <c r="AB315" s="68">
        <v>0</v>
      </c>
      <c r="AC315" s="68">
        <v>0</v>
      </c>
    </row>
    <row r="316" spans="1:29" x14ac:dyDescent="0.55000000000000004">
      <c r="A316" s="49" t="s">
        <v>732</v>
      </c>
      <c r="B316" s="49" t="s">
        <v>733</v>
      </c>
      <c r="C316" s="49" t="s">
        <v>734</v>
      </c>
      <c r="D316" s="49" t="s">
        <v>147</v>
      </c>
      <c r="E316" s="68">
        <v>0</v>
      </c>
      <c r="F316" s="68">
        <v>0</v>
      </c>
      <c r="G316" s="68">
        <v>135.41999999999999</v>
      </c>
      <c r="H316" s="68">
        <v>0</v>
      </c>
      <c r="I316" s="68">
        <v>125</v>
      </c>
      <c r="J316" s="68">
        <v>1429.39</v>
      </c>
      <c r="K316" s="68">
        <v>0</v>
      </c>
      <c r="L316" s="68">
        <v>166.67</v>
      </c>
      <c r="M316" s="68">
        <v>0</v>
      </c>
      <c r="N316" s="68">
        <v>0</v>
      </c>
      <c r="O316" s="68">
        <v>0</v>
      </c>
      <c r="P316" s="96">
        <v>83.33</v>
      </c>
      <c r="Q316" s="68">
        <v>156.25</v>
      </c>
      <c r="R316" s="68">
        <v>0</v>
      </c>
      <c r="S316" s="68">
        <v>0</v>
      </c>
      <c r="T316" s="68">
        <v>0</v>
      </c>
      <c r="U316" s="68">
        <v>0</v>
      </c>
      <c r="V316" s="68">
        <v>0</v>
      </c>
      <c r="W316" s="68">
        <v>125</v>
      </c>
      <c r="X316" s="68">
        <v>0</v>
      </c>
      <c r="Y316" s="68">
        <v>0</v>
      </c>
      <c r="Z316" s="68">
        <v>0</v>
      </c>
      <c r="AA316" s="68">
        <v>0</v>
      </c>
      <c r="AB316" s="68">
        <v>0</v>
      </c>
      <c r="AC316" s="68">
        <v>0</v>
      </c>
    </row>
    <row r="317" spans="1:29" x14ac:dyDescent="0.55000000000000004">
      <c r="A317" s="49" t="s">
        <v>735</v>
      </c>
      <c r="B317" s="49" t="s">
        <v>736</v>
      </c>
      <c r="C317" s="49" t="s">
        <v>447</v>
      </c>
      <c r="D317" s="49" t="s">
        <v>147</v>
      </c>
      <c r="E317" s="68">
        <v>30837.93</v>
      </c>
      <c r="F317" s="68">
        <v>30.15</v>
      </c>
      <c r="G317" s="68">
        <v>0</v>
      </c>
      <c r="H317" s="68">
        <v>59982.04</v>
      </c>
      <c r="I317" s="68">
        <v>0</v>
      </c>
      <c r="J317" s="68">
        <v>0</v>
      </c>
      <c r="K317" s="68">
        <v>202.5</v>
      </c>
      <c r="L317" s="68">
        <v>-2761.19</v>
      </c>
      <c r="M317" s="68">
        <v>2187.66</v>
      </c>
      <c r="N317" s="68">
        <v>25517</v>
      </c>
      <c r="O317" s="68">
        <v>15022</v>
      </c>
      <c r="P317" s="96">
        <v>13024.51</v>
      </c>
      <c r="Q317" s="68">
        <v>0</v>
      </c>
      <c r="R317" s="68">
        <v>0</v>
      </c>
      <c r="S317" s="68">
        <v>560</v>
      </c>
      <c r="T317" s="68">
        <v>0</v>
      </c>
      <c r="U317" s="68">
        <v>0</v>
      </c>
      <c r="V317" s="68">
        <v>0</v>
      </c>
      <c r="W317" s="68">
        <v>0</v>
      </c>
      <c r="X317" s="68">
        <v>0</v>
      </c>
      <c r="Y317" s="68">
        <v>0</v>
      </c>
      <c r="Z317" s="68">
        <v>0</v>
      </c>
      <c r="AA317" s="68">
        <v>364.39</v>
      </c>
      <c r="AB317" s="68">
        <v>3041.21</v>
      </c>
      <c r="AC317" s="68">
        <v>0</v>
      </c>
    </row>
    <row r="318" spans="1:29" x14ac:dyDescent="0.55000000000000004">
      <c r="A318" s="49" t="s">
        <v>737</v>
      </c>
      <c r="B318" s="49" t="s">
        <v>738</v>
      </c>
      <c r="C318" s="49" t="s">
        <v>485</v>
      </c>
      <c r="D318" s="49" t="s">
        <v>147</v>
      </c>
      <c r="E318" s="68">
        <v>1370.4</v>
      </c>
      <c r="F318" s="68">
        <v>845.2</v>
      </c>
      <c r="G318" s="68">
        <v>496.85</v>
      </c>
      <c r="H318" s="68">
        <v>1430.4</v>
      </c>
      <c r="I318" s="68">
        <v>0</v>
      </c>
      <c r="J318" s="68">
        <v>0</v>
      </c>
      <c r="K318" s="68">
        <v>685.2</v>
      </c>
      <c r="L318" s="68">
        <v>0</v>
      </c>
      <c r="M318" s="68">
        <v>1430.4</v>
      </c>
      <c r="N318" s="68">
        <v>0</v>
      </c>
      <c r="O318" s="68">
        <v>0</v>
      </c>
      <c r="P318" s="96">
        <v>1300.4000000000001</v>
      </c>
      <c r="Q318" s="68">
        <v>0</v>
      </c>
      <c r="R318" s="68">
        <v>561.92999999999995</v>
      </c>
      <c r="S318" s="68">
        <v>1631.36</v>
      </c>
      <c r="T318" s="68">
        <v>0</v>
      </c>
      <c r="U318" s="68">
        <v>26</v>
      </c>
      <c r="V318" s="68">
        <v>0</v>
      </c>
      <c r="W318" s="68">
        <v>0</v>
      </c>
      <c r="X318" s="68">
        <v>0</v>
      </c>
      <c r="Y318" s="68">
        <v>0</v>
      </c>
      <c r="Z318" s="68">
        <v>0</v>
      </c>
      <c r="AA318" s="68">
        <v>0</v>
      </c>
      <c r="AB318" s="68">
        <v>160</v>
      </c>
      <c r="AC318" s="68">
        <v>0</v>
      </c>
    </row>
    <row r="319" spans="1:29" x14ac:dyDescent="0.55000000000000004">
      <c r="A319" s="49" t="s">
        <v>967</v>
      </c>
      <c r="B319" s="49" t="s">
        <v>968</v>
      </c>
      <c r="C319" s="49" t="s">
        <v>485</v>
      </c>
      <c r="D319" s="49" t="s">
        <v>147</v>
      </c>
      <c r="E319" s="68">
        <v>0</v>
      </c>
      <c r="F319" s="68">
        <v>0</v>
      </c>
      <c r="G319" s="68">
        <v>0</v>
      </c>
      <c r="H319" s="68">
        <v>0</v>
      </c>
      <c r="I319" s="68">
        <v>0</v>
      </c>
      <c r="J319" s="68">
        <v>0</v>
      </c>
      <c r="K319" s="68">
        <v>0</v>
      </c>
      <c r="L319" s="68">
        <v>0</v>
      </c>
      <c r="M319" s="68">
        <v>0</v>
      </c>
      <c r="N319" s="68">
        <v>0</v>
      </c>
      <c r="O319" s="68">
        <v>0</v>
      </c>
      <c r="P319" s="96">
        <v>3000</v>
      </c>
      <c r="Q319" s="68">
        <v>0</v>
      </c>
      <c r="R319" s="68">
        <v>0</v>
      </c>
      <c r="S319" s="68">
        <v>0</v>
      </c>
      <c r="T319" s="68">
        <v>0</v>
      </c>
      <c r="U319" s="68">
        <v>0</v>
      </c>
      <c r="V319" s="68">
        <v>0</v>
      </c>
      <c r="W319" s="68">
        <v>0</v>
      </c>
      <c r="X319" s="68">
        <v>0</v>
      </c>
      <c r="Y319" s="68">
        <v>0</v>
      </c>
      <c r="Z319" s="68">
        <v>0</v>
      </c>
      <c r="AA319" s="68">
        <v>0</v>
      </c>
      <c r="AB319" s="68">
        <v>0</v>
      </c>
      <c r="AC319" s="68">
        <v>0</v>
      </c>
    </row>
    <row r="320" spans="1:29" x14ac:dyDescent="0.55000000000000004">
      <c r="A320" s="49" t="s">
        <v>739</v>
      </c>
      <c r="B320" s="49" t="s">
        <v>740</v>
      </c>
      <c r="C320" s="49" t="s">
        <v>485</v>
      </c>
      <c r="D320" s="49" t="s">
        <v>147</v>
      </c>
      <c r="E320" s="68">
        <v>2809.55</v>
      </c>
      <c r="F320" s="68">
        <v>2320.75</v>
      </c>
      <c r="G320" s="68">
        <v>2047.82</v>
      </c>
      <c r="H320" s="68">
        <v>2413.67</v>
      </c>
      <c r="I320" s="68">
        <v>2573.7399999999998</v>
      </c>
      <c r="J320" s="68">
        <v>1869.69</v>
      </c>
      <c r="K320" s="68">
        <v>1795.7</v>
      </c>
      <c r="L320" s="68">
        <v>1918.4</v>
      </c>
      <c r="M320" s="68">
        <v>2407.9899999999998</v>
      </c>
      <c r="N320" s="68">
        <v>2322.31</v>
      </c>
      <c r="O320" s="68">
        <v>2748.31</v>
      </c>
      <c r="P320" s="96">
        <v>4028.41</v>
      </c>
      <c r="Q320" s="68">
        <v>2002.4</v>
      </c>
      <c r="R320" s="68">
        <v>2888.94</v>
      </c>
      <c r="S320" s="68">
        <v>2517.0100000000002</v>
      </c>
      <c r="T320" s="68">
        <v>3540.57</v>
      </c>
      <c r="U320" s="68">
        <v>2071.4899999999998</v>
      </c>
      <c r="V320" s="68">
        <v>2539.87</v>
      </c>
      <c r="W320" s="68">
        <v>2122.6</v>
      </c>
      <c r="X320" s="68">
        <v>3086.27</v>
      </c>
      <c r="Y320" s="68">
        <v>2757.09</v>
      </c>
      <c r="Z320" s="68">
        <v>4571.45</v>
      </c>
      <c r="AA320" s="68">
        <v>4715.7299999999996</v>
      </c>
      <c r="AB320" s="68">
        <v>3100.48</v>
      </c>
      <c r="AC320" s="68">
        <v>0</v>
      </c>
    </row>
    <row r="321" spans="1:29" x14ac:dyDescent="0.55000000000000004">
      <c r="A321" s="49" t="s">
        <v>741</v>
      </c>
      <c r="B321" s="49" t="s">
        <v>742</v>
      </c>
      <c r="C321" s="49" t="s">
        <v>485</v>
      </c>
      <c r="D321" s="49" t="s">
        <v>147</v>
      </c>
      <c r="E321" s="68">
        <v>1217.8699999999999</v>
      </c>
      <c r="F321" s="68">
        <v>609.58000000000004</v>
      </c>
      <c r="G321" s="68">
        <v>957.48</v>
      </c>
      <c r="H321" s="68">
        <v>519.75</v>
      </c>
      <c r="I321" s="68">
        <v>728.57</v>
      </c>
      <c r="J321" s="68">
        <v>320.83</v>
      </c>
      <c r="K321" s="68">
        <v>510.58</v>
      </c>
      <c r="L321" s="68">
        <v>1371.29</v>
      </c>
      <c r="M321" s="68">
        <v>721.81</v>
      </c>
      <c r="N321" s="68">
        <v>682.8</v>
      </c>
      <c r="O321" s="68">
        <v>488.58</v>
      </c>
      <c r="P321" s="96">
        <v>1496.69</v>
      </c>
      <c r="Q321" s="68">
        <v>628.83000000000004</v>
      </c>
      <c r="R321" s="68">
        <v>1173.24</v>
      </c>
      <c r="S321" s="68">
        <v>994.14</v>
      </c>
      <c r="T321" s="68">
        <v>688.83</v>
      </c>
      <c r="U321" s="68">
        <v>718.2</v>
      </c>
      <c r="V321" s="68">
        <v>623.58000000000004</v>
      </c>
      <c r="W321" s="68">
        <v>583.91999999999996</v>
      </c>
      <c r="X321" s="68">
        <v>2076.1</v>
      </c>
      <c r="Y321" s="68">
        <v>2196.88</v>
      </c>
      <c r="Z321" s="68">
        <v>1512.68</v>
      </c>
      <c r="AA321" s="68">
        <v>1331.45</v>
      </c>
      <c r="AB321" s="68">
        <v>2006.94</v>
      </c>
      <c r="AC321" s="68">
        <v>0</v>
      </c>
    </row>
    <row r="322" spans="1:29" x14ac:dyDescent="0.55000000000000004">
      <c r="A322" s="49" t="s">
        <v>743</v>
      </c>
      <c r="B322" s="49" t="s">
        <v>744</v>
      </c>
      <c r="C322" s="49" t="s">
        <v>485</v>
      </c>
      <c r="D322" s="49" t="s">
        <v>147</v>
      </c>
      <c r="E322" s="68">
        <v>554.37</v>
      </c>
      <c r="F322" s="68">
        <v>688.37</v>
      </c>
      <c r="G322" s="68">
        <v>604.13</v>
      </c>
      <c r="H322" s="68">
        <v>919.03</v>
      </c>
      <c r="I322" s="68">
        <v>659.35</v>
      </c>
      <c r="J322" s="68">
        <v>1300.6500000000001</v>
      </c>
      <c r="K322" s="68">
        <v>354.15</v>
      </c>
      <c r="L322" s="68">
        <v>657.01</v>
      </c>
      <c r="M322" s="68">
        <v>576.41</v>
      </c>
      <c r="N322" s="68">
        <v>474.84</v>
      </c>
      <c r="O322" s="68">
        <v>1793.24</v>
      </c>
      <c r="P322" s="96">
        <v>601.29</v>
      </c>
      <c r="Q322" s="68">
        <v>0</v>
      </c>
      <c r="R322" s="68">
        <v>0</v>
      </c>
      <c r="S322" s="68">
        <v>715.86</v>
      </c>
      <c r="T322" s="68">
        <v>551.53</v>
      </c>
      <c r="U322" s="68">
        <v>541.13</v>
      </c>
      <c r="V322" s="68">
        <v>0</v>
      </c>
      <c r="W322" s="68">
        <v>0</v>
      </c>
      <c r="X322" s="68">
        <v>1406.98</v>
      </c>
      <c r="Y322" s="68">
        <v>1547.4</v>
      </c>
      <c r="Z322" s="68">
        <v>659.35</v>
      </c>
      <c r="AA322" s="68">
        <v>700.82</v>
      </c>
      <c r="AB322" s="68">
        <v>790.62</v>
      </c>
      <c r="AC322" s="68">
        <v>0</v>
      </c>
    </row>
    <row r="323" spans="1:29" x14ac:dyDescent="0.55000000000000004">
      <c r="A323" s="49" t="s">
        <v>745</v>
      </c>
      <c r="B323" s="49" t="s">
        <v>746</v>
      </c>
      <c r="C323" s="49" t="s">
        <v>485</v>
      </c>
      <c r="D323" s="49" t="s">
        <v>147</v>
      </c>
      <c r="E323" s="68">
        <v>0</v>
      </c>
      <c r="F323" s="68">
        <v>365.73</v>
      </c>
      <c r="G323" s="68">
        <v>0</v>
      </c>
      <c r="H323" s="68">
        <v>156.25</v>
      </c>
      <c r="I323" s="68">
        <v>0</v>
      </c>
      <c r="J323" s="68">
        <v>1324.51</v>
      </c>
      <c r="K323" s="68">
        <v>0</v>
      </c>
      <c r="L323" s="68">
        <v>0</v>
      </c>
      <c r="M323" s="68">
        <v>0</v>
      </c>
      <c r="N323" s="68">
        <v>-554</v>
      </c>
      <c r="O323" s="68">
        <v>107</v>
      </c>
      <c r="P323" s="96">
        <v>0</v>
      </c>
      <c r="Q323" s="68">
        <v>0</v>
      </c>
      <c r="R323" s="68">
        <v>0</v>
      </c>
      <c r="S323" s="68">
        <v>253.02</v>
      </c>
      <c r="T323" s="68">
        <v>574.73</v>
      </c>
      <c r="U323" s="68">
        <v>0</v>
      </c>
      <c r="V323" s="68">
        <v>0</v>
      </c>
      <c r="W323" s="68">
        <v>0</v>
      </c>
      <c r="X323" s="68">
        <v>1117.6099999999999</v>
      </c>
      <c r="Y323" s="68">
        <v>1690.03</v>
      </c>
      <c r="Z323" s="68">
        <v>0</v>
      </c>
      <c r="AA323" s="68">
        <v>4794.91</v>
      </c>
      <c r="AB323" s="68">
        <v>427</v>
      </c>
      <c r="AC323" s="68">
        <v>0</v>
      </c>
    </row>
    <row r="324" spans="1:29" x14ac:dyDescent="0.55000000000000004">
      <c r="A324" s="49" t="s">
        <v>747</v>
      </c>
      <c r="B324" s="49" t="s">
        <v>748</v>
      </c>
      <c r="C324" s="49" t="s">
        <v>485</v>
      </c>
      <c r="D324" s="49" t="s">
        <v>147</v>
      </c>
      <c r="E324" s="68">
        <v>0</v>
      </c>
      <c r="F324" s="68">
        <v>0</v>
      </c>
      <c r="G324" s="68">
        <v>0</v>
      </c>
      <c r="H324" s="68">
        <v>14</v>
      </c>
      <c r="I324" s="68">
        <v>0</v>
      </c>
      <c r="J324" s="68">
        <v>0</v>
      </c>
      <c r="K324" s="68">
        <v>0</v>
      </c>
      <c r="L324" s="68">
        <v>0</v>
      </c>
      <c r="M324" s="68">
        <v>0</v>
      </c>
      <c r="N324" s="68">
        <v>4578.83</v>
      </c>
      <c r="O324" s="68">
        <v>0</v>
      </c>
      <c r="P324" s="96">
        <v>0</v>
      </c>
      <c r="Q324" s="68">
        <v>0</v>
      </c>
      <c r="R324" s="68">
        <v>0</v>
      </c>
      <c r="S324" s="68">
        <v>0</v>
      </c>
      <c r="T324" s="68">
        <v>0</v>
      </c>
      <c r="U324" s="68">
        <v>25</v>
      </c>
      <c r="V324" s="68">
        <v>0</v>
      </c>
      <c r="W324" s="68">
        <v>0</v>
      </c>
      <c r="X324" s="68">
        <v>0</v>
      </c>
      <c r="Y324" s="68">
        <v>0</v>
      </c>
      <c r="Z324" s="68">
        <v>0</v>
      </c>
      <c r="AA324" s="68">
        <v>0</v>
      </c>
      <c r="AB324" s="68">
        <v>0</v>
      </c>
      <c r="AC324" s="68">
        <v>0</v>
      </c>
    </row>
    <row r="325" spans="1:29" x14ac:dyDescent="0.55000000000000004">
      <c r="A325" s="49" t="s">
        <v>749</v>
      </c>
      <c r="B325" s="49" t="s">
        <v>750</v>
      </c>
      <c r="C325" s="49" t="s">
        <v>485</v>
      </c>
      <c r="D325" s="49" t="s">
        <v>147</v>
      </c>
      <c r="E325" s="68">
        <v>0</v>
      </c>
      <c r="F325" s="68">
        <v>390</v>
      </c>
      <c r="G325" s="68">
        <v>368.23</v>
      </c>
      <c r="H325" s="68">
        <v>537.74</v>
      </c>
      <c r="I325" s="68">
        <v>287.89999999999998</v>
      </c>
      <c r="J325" s="68">
        <v>108</v>
      </c>
      <c r="K325" s="68">
        <v>505.27</v>
      </c>
      <c r="L325" s="68">
        <v>369.8</v>
      </c>
      <c r="M325" s="68">
        <v>197</v>
      </c>
      <c r="N325" s="68">
        <v>844.4</v>
      </c>
      <c r="O325" s="68">
        <v>83.9</v>
      </c>
      <c r="P325" s="96">
        <v>176.25</v>
      </c>
      <c r="Q325" s="68">
        <v>988.42</v>
      </c>
      <c r="R325" s="68">
        <v>32.4</v>
      </c>
      <c r="S325" s="68">
        <v>-146.38999999999999</v>
      </c>
      <c r="T325" s="68">
        <v>195.34</v>
      </c>
      <c r="U325" s="68">
        <v>2045.4</v>
      </c>
      <c r="V325" s="68">
        <v>476.21</v>
      </c>
      <c r="W325" s="68">
        <v>464</v>
      </c>
      <c r="X325" s="68">
        <v>1302.01</v>
      </c>
      <c r="Y325" s="68">
        <v>3939.58</v>
      </c>
      <c r="Z325" s="68">
        <v>0</v>
      </c>
      <c r="AA325" s="68">
        <v>55.03</v>
      </c>
      <c r="AB325" s="68">
        <v>1396.11</v>
      </c>
      <c r="AC325" s="68">
        <v>0</v>
      </c>
    </row>
    <row r="326" spans="1:29" x14ac:dyDescent="0.55000000000000004">
      <c r="A326" s="49" t="s">
        <v>751</v>
      </c>
      <c r="B326" s="49" t="s">
        <v>752</v>
      </c>
      <c r="C326" s="49" t="s">
        <v>485</v>
      </c>
      <c r="D326" s="49" t="s">
        <v>147</v>
      </c>
      <c r="E326" s="68">
        <v>0</v>
      </c>
      <c r="F326" s="68">
        <v>0</v>
      </c>
      <c r="G326" s="68">
        <v>0</v>
      </c>
      <c r="H326" s="68">
        <v>0</v>
      </c>
      <c r="I326" s="68">
        <v>0</v>
      </c>
      <c r="J326" s="68">
        <v>0</v>
      </c>
      <c r="K326" s="68">
        <v>0</v>
      </c>
      <c r="L326" s="68">
        <v>0</v>
      </c>
      <c r="M326" s="68">
        <v>0</v>
      </c>
      <c r="N326" s="68">
        <v>0</v>
      </c>
      <c r="O326" s="68">
        <v>0</v>
      </c>
      <c r="P326" s="96">
        <v>0</v>
      </c>
      <c r="Q326" s="68">
        <v>0</v>
      </c>
      <c r="R326" s="68">
        <v>0</v>
      </c>
      <c r="S326" s="68">
        <v>83.29</v>
      </c>
      <c r="T326" s="68">
        <v>0</v>
      </c>
      <c r="U326" s="68">
        <v>0</v>
      </c>
      <c r="V326" s="68">
        <v>0</v>
      </c>
      <c r="W326" s="68">
        <v>0</v>
      </c>
      <c r="X326" s="68">
        <v>0</v>
      </c>
      <c r="Y326" s="68">
        <v>0</v>
      </c>
      <c r="Z326" s="68">
        <v>0</v>
      </c>
      <c r="AA326" s="68">
        <v>0</v>
      </c>
      <c r="AB326" s="68">
        <v>0</v>
      </c>
      <c r="AC326" s="68">
        <v>0</v>
      </c>
    </row>
    <row r="327" spans="1:29" x14ac:dyDescent="0.55000000000000004">
      <c r="A327" s="49" t="s">
        <v>753</v>
      </c>
      <c r="B327" s="49" t="s">
        <v>754</v>
      </c>
      <c r="C327" s="49" t="s">
        <v>485</v>
      </c>
      <c r="D327" s="49" t="s">
        <v>147</v>
      </c>
      <c r="E327" s="68">
        <v>460.21</v>
      </c>
      <c r="F327" s="68">
        <v>1525.42</v>
      </c>
      <c r="G327" s="68">
        <v>1306.6199999999999</v>
      </c>
      <c r="H327" s="68">
        <v>2917.22</v>
      </c>
      <c r="I327" s="68">
        <v>987.59</v>
      </c>
      <c r="J327" s="68">
        <v>223.34</v>
      </c>
      <c r="K327" s="68">
        <v>981.02</v>
      </c>
      <c r="L327" s="68">
        <v>517.36</v>
      </c>
      <c r="M327" s="68">
        <v>532.67999999999995</v>
      </c>
      <c r="N327" s="68">
        <v>413.64</v>
      </c>
      <c r="O327" s="68">
        <v>1254.73</v>
      </c>
      <c r="P327" s="96">
        <v>591.04</v>
      </c>
      <c r="Q327" s="68">
        <v>1112.06</v>
      </c>
      <c r="R327" s="68">
        <v>822.36</v>
      </c>
      <c r="S327" s="68">
        <v>376.54</v>
      </c>
      <c r="T327" s="68">
        <v>2153.92</v>
      </c>
      <c r="U327" s="68">
        <v>983.63</v>
      </c>
      <c r="V327" s="68">
        <v>3422.59</v>
      </c>
      <c r="W327" s="68">
        <v>1019.75</v>
      </c>
      <c r="X327" s="68">
        <v>944.1</v>
      </c>
      <c r="Y327" s="68">
        <v>1684.89</v>
      </c>
      <c r="Z327" s="68">
        <v>1477.56</v>
      </c>
      <c r="AA327" s="68">
        <v>1732.32</v>
      </c>
      <c r="AB327" s="68">
        <v>1214.24</v>
      </c>
      <c r="AC327" s="68">
        <v>0</v>
      </c>
    </row>
    <row r="328" spans="1:29" x14ac:dyDescent="0.55000000000000004">
      <c r="A328" s="49" t="s">
        <v>755</v>
      </c>
      <c r="B328" s="49" t="s">
        <v>756</v>
      </c>
      <c r="C328" s="49" t="s">
        <v>485</v>
      </c>
      <c r="D328" s="49" t="s">
        <v>147</v>
      </c>
      <c r="E328" s="68">
        <v>3317.14</v>
      </c>
      <c r="F328" s="68">
        <v>2423.1999999999998</v>
      </c>
      <c r="G328" s="68">
        <v>4444.12</v>
      </c>
      <c r="H328" s="68">
        <v>3024.13</v>
      </c>
      <c r="I328" s="68">
        <v>4740.12</v>
      </c>
      <c r="J328" s="68">
        <v>2583.35</v>
      </c>
      <c r="K328" s="68">
        <v>2783.66</v>
      </c>
      <c r="L328" s="68">
        <v>7383.57</v>
      </c>
      <c r="M328" s="68">
        <v>3574.07</v>
      </c>
      <c r="N328" s="68">
        <v>2575.09</v>
      </c>
      <c r="O328" s="68">
        <v>5269.76</v>
      </c>
      <c r="P328" s="96">
        <v>3124.24</v>
      </c>
      <c r="Q328" s="68">
        <v>4069.42</v>
      </c>
      <c r="R328" s="68">
        <v>3709.31</v>
      </c>
      <c r="S328" s="68">
        <v>2239.85</v>
      </c>
      <c r="T328" s="68">
        <v>4115.09</v>
      </c>
      <c r="U328" s="68">
        <v>5987.34</v>
      </c>
      <c r="V328" s="68">
        <v>4642.3900000000003</v>
      </c>
      <c r="W328" s="68">
        <v>3601.04</v>
      </c>
      <c r="X328" s="68">
        <v>4204.8599999999997</v>
      </c>
      <c r="Y328" s="68">
        <v>7063.08</v>
      </c>
      <c r="Z328" s="68">
        <v>4807.72</v>
      </c>
      <c r="AA328" s="68">
        <v>4573.72</v>
      </c>
      <c r="AB328" s="68">
        <v>6674.13</v>
      </c>
      <c r="AC328" s="68">
        <v>0</v>
      </c>
    </row>
    <row r="329" spans="1:29" x14ac:dyDescent="0.55000000000000004">
      <c r="A329" s="49" t="s">
        <v>757</v>
      </c>
      <c r="B329" s="49" t="s">
        <v>758</v>
      </c>
      <c r="C329" s="49" t="s">
        <v>485</v>
      </c>
      <c r="D329" s="49" t="s">
        <v>147</v>
      </c>
      <c r="E329" s="68">
        <v>2202.4299999999998</v>
      </c>
      <c r="F329" s="68">
        <v>708.48</v>
      </c>
      <c r="G329" s="68">
        <v>977.21</v>
      </c>
      <c r="H329" s="68">
        <v>652.52</v>
      </c>
      <c r="I329" s="68">
        <v>805.2</v>
      </c>
      <c r="J329" s="68">
        <v>686.93</v>
      </c>
      <c r="K329" s="68">
        <v>738</v>
      </c>
      <c r="L329" s="68">
        <v>748.49</v>
      </c>
      <c r="M329" s="68">
        <v>783.17</v>
      </c>
      <c r="N329" s="68">
        <v>757.82</v>
      </c>
      <c r="O329" s="68">
        <v>815.81</v>
      </c>
      <c r="P329" s="96">
        <v>802.86</v>
      </c>
      <c r="Q329" s="68">
        <v>849.68</v>
      </c>
      <c r="R329" s="68">
        <v>893.27</v>
      </c>
      <c r="S329" s="68">
        <v>1084.48</v>
      </c>
      <c r="T329" s="68">
        <v>3328.89</v>
      </c>
      <c r="U329" s="68">
        <v>1702.68</v>
      </c>
      <c r="V329" s="68">
        <v>610.34</v>
      </c>
      <c r="W329" s="68">
        <v>625.6</v>
      </c>
      <c r="X329" s="68">
        <v>876.03</v>
      </c>
      <c r="Y329" s="68">
        <v>2181.19</v>
      </c>
      <c r="Z329" s="68">
        <v>804.11</v>
      </c>
      <c r="AA329" s="68">
        <v>1650.11</v>
      </c>
      <c r="AB329" s="68">
        <v>208.14</v>
      </c>
      <c r="AC329" s="68">
        <v>0</v>
      </c>
    </row>
    <row r="330" spans="1:29" x14ac:dyDescent="0.55000000000000004">
      <c r="A330" s="49" t="s">
        <v>759</v>
      </c>
      <c r="B330" s="49" t="s">
        <v>760</v>
      </c>
      <c r="C330" s="49" t="s">
        <v>485</v>
      </c>
      <c r="D330" s="49" t="s">
        <v>147</v>
      </c>
      <c r="E330" s="68">
        <v>0</v>
      </c>
      <c r="F330" s="68">
        <v>0</v>
      </c>
      <c r="G330" s="68">
        <v>0</v>
      </c>
      <c r="H330" s="68">
        <v>0</v>
      </c>
      <c r="I330" s="68">
        <v>296.22000000000003</v>
      </c>
      <c r="J330" s="68">
        <v>0</v>
      </c>
      <c r="K330" s="68">
        <v>0</v>
      </c>
      <c r="L330" s="68">
        <v>376.1</v>
      </c>
      <c r="M330" s="68">
        <v>0</v>
      </c>
      <c r="N330" s="68">
        <v>890.49</v>
      </c>
      <c r="O330" s="68">
        <v>0</v>
      </c>
      <c r="P330" s="96">
        <v>0</v>
      </c>
      <c r="Q330" s="68">
        <v>0</v>
      </c>
      <c r="R330" s="68">
        <v>48.73</v>
      </c>
      <c r="S330" s="68">
        <v>14.91</v>
      </c>
      <c r="T330" s="68">
        <v>0</v>
      </c>
      <c r="U330" s="68">
        <v>0</v>
      </c>
      <c r="V330" s="68">
        <v>0</v>
      </c>
      <c r="W330" s="68">
        <v>0</v>
      </c>
      <c r="X330" s="68">
        <v>0</v>
      </c>
      <c r="Y330" s="68">
        <v>1175.17</v>
      </c>
      <c r="Z330" s="68">
        <v>0</v>
      </c>
      <c r="AA330" s="68">
        <v>0</v>
      </c>
      <c r="AB330" s="68">
        <v>2021.54</v>
      </c>
      <c r="AC330" s="68">
        <v>0</v>
      </c>
    </row>
    <row r="331" spans="1:29" x14ac:dyDescent="0.55000000000000004">
      <c r="A331" s="49" t="s">
        <v>761</v>
      </c>
      <c r="B331" s="49" t="s">
        <v>762</v>
      </c>
      <c r="C331" s="49" t="s">
        <v>485</v>
      </c>
      <c r="D331" s="49" t="s">
        <v>147</v>
      </c>
      <c r="E331" s="68">
        <v>42506.879999999997</v>
      </c>
      <c r="F331" s="68">
        <v>41878.080000000002</v>
      </c>
      <c r="G331" s="68">
        <v>56073.24</v>
      </c>
      <c r="H331" s="68">
        <v>37350.720000000001</v>
      </c>
      <c r="I331" s="68">
        <v>43623</v>
      </c>
      <c r="J331" s="68">
        <v>22401</v>
      </c>
      <c r="K331" s="68">
        <v>30103.8</v>
      </c>
      <c r="L331" s="68">
        <v>66904.320000000007</v>
      </c>
      <c r="M331" s="68">
        <v>26928.36</v>
      </c>
      <c r="N331" s="68">
        <v>41170.68</v>
      </c>
      <c r="O331" s="68">
        <v>25875.119999999999</v>
      </c>
      <c r="P331" s="96">
        <v>32729.040000000001</v>
      </c>
      <c r="Q331" s="68">
        <v>44126.04</v>
      </c>
      <c r="R331" s="68">
        <v>22401</v>
      </c>
      <c r="S331" s="68">
        <v>44126.04</v>
      </c>
      <c r="T331" s="68">
        <v>19760.04</v>
      </c>
      <c r="U331" s="68">
        <v>28531.8</v>
      </c>
      <c r="V331" s="68">
        <v>26503.919999999998</v>
      </c>
      <c r="W331" s="68">
        <v>41375.040000000001</v>
      </c>
      <c r="X331" s="68">
        <v>49770.5</v>
      </c>
      <c r="Y331" s="68">
        <v>53038</v>
      </c>
      <c r="Z331" s="68">
        <v>46713</v>
      </c>
      <c r="AA331" s="68">
        <v>60628</v>
      </c>
      <c r="AB331" s="68">
        <v>61622.400000000001</v>
      </c>
      <c r="AC331" s="68">
        <v>0</v>
      </c>
    </row>
    <row r="332" spans="1:29" x14ac:dyDescent="0.55000000000000004">
      <c r="A332" s="49" t="s">
        <v>763</v>
      </c>
      <c r="B332" s="49" t="s">
        <v>764</v>
      </c>
      <c r="C332" s="49" t="s">
        <v>485</v>
      </c>
      <c r="D332" s="49" t="s">
        <v>147</v>
      </c>
      <c r="E332" s="68">
        <v>2491.83</v>
      </c>
      <c r="F332" s="68">
        <v>2162.8000000000002</v>
      </c>
      <c r="G332" s="68">
        <v>0</v>
      </c>
      <c r="H332" s="68">
        <v>0</v>
      </c>
      <c r="I332" s="68">
        <v>298</v>
      </c>
      <c r="J332" s="68">
        <v>220</v>
      </c>
      <c r="K332" s="68">
        <v>0</v>
      </c>
      <c r="L332" s="68">
        <v>753.12</v>
      </c>
      <c r="M332" s="68">
        <v>1076.75</v>
      </c>
      <c r="N332" s="68">
        <v>364.22</v>
      </c>
      <c r="O332" s="68">
        <v>352.66</v>
      </c>
      <c r="P332" s="96">
        <v>563.33000000000004</v>
      </c>
      <c r="Q332" s="68">
        <v>0</v>
      </c>
      <c r="R332" s="68">
        <v>205.41</v>
      </c>
      <c r="S332" s="68">
        <v>0</v>
      </c>
      <c r="T332" s="68">
        <v>1055.3399999999999</v>
      </c>
      <c r="U332" s="68">
        <v>1584.01</v>
      </c>
      <c r="V332" s="68">
        <v>-48.5</v>
      </c>
      <c r="W332" s="68">
        <v>-127.65</v>
      </c>
      <c r="X332" s="68">
        <v>4.4000000000000004</v>
      </c>
      <c r="Y332" s="68">
        <v>0</v>
      </c>
      <c r="Z332" s="68">
        <v>267</v>
      </c>
      <c r="AA332" s="68">
        <v>0</v>
      </c>
      <c r="AB332" s="68">
        <v>259.54000000000002</v>
      </c>
      <c r="AC332" s="68">
        <v>0</v>
      </c>
    </row>
    <row r="333" spans="1:29" x14ac:dyDescent="0.55000000000000004">
      <c r="A333" s="49" t="s">
        <v>765</v>
      </c>
      <c r="B333" s="49" t="s">
        <v>766</v>
      </c>
      <c r="C333" s="49" t="s">
        <v>485</v>
      </c>
      <c r="D333" s="49" t="s">
        <v>147</v>
      </c>
      <c r="E333" s="68">
        <v>1610.79</v>
      </c>
      <c r="F333" s="68">
        <v>1426.52</v>
      </c>
      <c r="G333" s="68">
        <v>0</v>
      </c>
      <c r="H333" s="68">
        <v>0</v>
      </c>
      <c r="I333" s="68">
        <v>0</v>
      </c>
      <c r="J333" s="68">
        <v>1260</v>
      </c>
      <c r="K333" s="68">
        <v>0</v>
      </c>
      <c r="L333" s="68">
        <v>1354.6</v>
      </c>
      <c r="M333" s="68">
        <v>947.6</v>
      </c>
      <c r="N333" s="68">
        <v>2553.81</v>
      </c>
      <c r="O333" s="68">
        <v>366.17</v>
      </c>
      <c r="P333" s="96">
        <v>1075.78</v>
      </c>
      <c r="Q333" s="68">
        <v>900</v>
      </c>
      <c r="R333" s="68">
        <v>543.83000000000004</v>
      </c>
      <c r="S333" s="68">
        <v>900</v>
      </c>
      <c r="T333" s="68">
        <v>400</v>
      </c>
      <c r="U333" s="68">
        <v>5150.72</v>
      </c>
      <c r="V333" s="68">
        <v>357.84</v>
      </c>
      <c r="W333" s="68">
        <v>0</v>
      </c>
      <c r="X333" s="68">
        <v>2487.37</v>
      </c>
      <c r="Y333" s="68">
        <v>855</v>
      </c>
      <c r="Z333" s="68">
        <v>1453</v>
      </c>
      <c r="AA333" s="68">
        <v>-30.75</v>
      </c>
      <c r="AB333" s="68">
        <v>281.79000000000002</v>
      </c>
      <c r="AC333" s="68">
        <v>0</v>
      </c>
    </row>
    <row r="334" spans="1:29" x14ac:dyDescent="0.55000000000000004">
      <c r="A334" s="49" t="s">
        <v>767</v>
      </c>
      <c r="B334" s="49" t="s">
        <v>768</v>
      </c>
      <c r="C334" s="49" t="s">
        <v>485</v>
      </c>
      <c r="D334" s="49" t="s">
        <v>147</v>
      </c>
      <c r="E334" s="68">
        <v>6851.77</v>
      </c>
      <c r="F334" s="68">
        <v>6582.33</v>
      </c>
      <c r="G334" s="68">
        <v>10653.75</v>
      </c>
      <c r="H334" s="68">
        <v>6008.42</v>
      </c>
      <c r="I334" s="68">
        <v>6760.42</v>
      </c>
      <c r="J334" s="68">
        <v>3754.79</v>
      </c>
      <c r="K334" s="68">
        <v>6101.56</v>
      </c>
      <c r="L334" s="68">
        <v>12577.33</v>
      </c>
      <c r="M334" s="68">
        <v>3250.75</v>
      </c>
      <c r="N334" s="68">
        <v>6210.35</v>
      </c>
      <c r="O334" s="68">
        <v>3388.5</v>
      </c>
      <c r="P334" s="96">
        <v>4468.78</v>
      </c>
      <c r="Q334" s="68">
        <v>5478.5</v>
      </c>
      <c r="R334" s="68">
        <v>3198.42</v>
      </c>
      <c r="S334" s="68">
        <v>5620</v>
      </c>
      <c r="T334" s="68">
        <v>3922.83</v>
      </c>
      <c r="U334" s="68">
        <v>4889.95</v>
      </c>
      <c r="V334" s="68">
        <v>3937.94</v>
      </c>
      <c r="W334" s="68">
        <v>6173.08</v>
      </c>
      <c r="X334" s="68">
        <v>20487.78</v>
      </c>
      <c r="Y334" s="68">
        <v>23590.97</v>
      </c>
      <c r="Z334" s="68">
        <v>23241.85</v>
      </c>
      <c r="AA334" s="68">
        <v>20947.32</v>
      </c>
      <c r="AB334" s="68">
        <v>8650.75</v>
      </c>
      <c r="AC334" s="68">
        <v>0</v>
      </c>
    </row>
    <row r="335" spans="1:29" x14ac:dyDescent="0.55000000000000004">
      <c r="A335" s="49" t="s">
        <v>769</v>
      </c>
      <c r="B335" s="49" t="s">
        <v>770</v>
      </c>
      <c r="C335" s="49" t="s">
        <v>485</v>
      </c>
      <c r="D335" s="49" t="s">
        <v>147</v>
      </c>
      <c r="E335" s="68">
        <v>0</v>
      </c>
      <c r="F335" s="68">
        <v>0</v>
      </c>
      <c r="G335" s="68">
        <v>0</v>
      </c>
      <c r="H335" s="68">
        <v>0</v>
      </c>
      <c r="I335" s="68">
        <v>0</v>
      </c>
      <c r="J335" s="68">
        <v>0</v>
      </c>
      <c r="K335" s="68">
        <v>0</v>
      </c>
      <c r="L335" s="68">
        <v>0</v>
      </c>
      <c r="M335" s="68">
        <v>0</v>
      </c>
      <c r="N335" s="68">
        <v>0</v>
      </c>
      <c r="O335" s="68">
        <v>0</v>
      </c>
      <c r="P335" s="96">
        <v>0</v>
      </c>
      <c r="Q335" s="68">
        <v>14971.4</v>
      </c>
      <c r="R335" s="68">
        <v>18432.919999999998</v>
      </c>
      <c r="S335" s="68">
        <v>30373.62</v>
      </c>
      <c r="T335" s="68">
        <v>21163.82</v>
      </c>
      <c r="U335" s="68">
        <v>26987.83</v>
      </c>
      <c r="V335" s="68">
        <v>21600.01</v>
      </c>
      <c r="W335" s="68">
        <v>25364.47</v>
      </c>
      <c r="X335" s="68">
        <v>18521.29</v>
      </c>
      <c r="Y335" s="68">
        <v>20027.52</v>
      </c>
      <c r="Z335" s="68">
        <v>23386.65</v>
      </c>
      <c r="AA335" s="68">
        <v>22551.78</v>
      </c>
      <c r="AB335" s="68">
        <v>0</v>
      </c>
      <c r="AC335" s="68">
        <v>0</v>
      </c>
    </row>
    <row r="336" spans="1:29" x14ac:dyDescent="0.55000000000000004">
      <c r="A336" s="49" t="s">
        <v>771</v>
      </c>
      <c r="B336" s="49" t="s">
        <v>772</v>
      </c>
      <c r="C336" s="49" t="s">
        <v>485</v>
      </c>
      <c r="D336" s="49" t="s">
        <v>147</v>
      </c>
      <c r="E336" s="68">
        <v>0</v>
      </c>
      <c r="F336" s="68">
        <v>2000</v>
      </c>
      <c r="G336" s="68">
        <v>0</v>
      </c>
      <c r="H336" s="68">
        <v>112.68</v>
      </c>
      <c r="I336" s="68">
        <v>1300</v>
      </c>
      <c r="J336" s="68">
        <v>0</v>
      </c>
      <c r="K336" s="68">
        <v>386.52</v>
      </c>
      <c r="L336" s="68">
        <v>6736.01</v>
      </c>
      <c r="M336" s="68">
        <v>345.25</v>
      </c>
      <c r="N336" s="68">
        <v>-39.409999999999997</v>
      </c>
      <c r="O336" s="68">
        <v>-3122.06</v>
      </c>
      <c r="P336" s="96">
        <v>-29.75</v>
      </c>
      <c r="Q336" s="68">
        <v>15002.41</v>
      </c>
      <c r="R336" s="68">
        <v>0</v>
      </c>
      <c r="S336" s="68">
        <v>0</v>
      </c>
      <c r="T336" s="68">
        <v>0</v>
      </c>
      <c r="U336" s="68">
        <v>5.01</v>
      </c>
      <c r="V336" s="68">
        <v>36.36</v>
      </c>
      <c r="W336" s="68">
        <v>2.9</v>
      </c>
      <c r="X336" s="68">
        <v>-3945.15</v>
      </c>
      <c r="Y336" s="68">
        <v>283.22000000000003</v>
      </c>
      <c r="Z336" s="68">
        <v>396.05</v>
      </c>
      <c r="AA336" s="68">
        <v>156.21</v>
      </c>
      <c r="AB336" s="68">
        <v>1538.77</v>
      </c>
      <c r="AC336" s="68">
        <v>0</v>
      </c>
    </row>
    <row r="337" spans="1:29" x14ac:dyDescent="0.55000000000000004">
      <c r="A337" s="49" t="s">
        <v>919</v>
      </c>
      <c r="B337" s="49" t="s">
        <v>920</v>
      </c>
      <c r="C337" s="49" t="s">
        <v>485</v>
      </c>
      <c r="D337" s="49" t="s">
        <v>147</v>
      </c>
      <c r="E337" s="68">
        <v>0</v>
      </c>
      <c r="F337" s="68">
        <v>613.83000000000004</v>
      </c>
      <c r="G337" s="68">
        <v>0</v>
      </c>
      <c r="H337" s="68">
        <v>0</v>
      </c>
      <c r="I337" s="68">
        <v>0</v>
      </c>
      <c r="J337" s="68">
        <v>600</v>
      </c>
      <c r="K337" s="68">
        <v>0</v>
      </c>
      <c r="L337" s="68">
        <v>0</v>
      </c>
      <c r="M337" s="68">
        <v>0</v>
      </c>
      <c r="N337" s="68">
        <v>0</v>
      </c>
      <c r="O337" s="68">
        <v>0</v>
      </c>
      <c r="P337" s="96">
        <v>0</v>
      </c>
      <c r="Q337" s="68">
        <v>0</v>
      </c>
      <c r="R337" s="68">
        <v>0</v>
      </c>
      <c r="S337" s="68">
        <v>0</v>
      </c>
      <c r="T337" s="68">
        <v>0</v>
      </c>
      <c r="U337" s="68">
        <v>0</v>
      </c>
      <c r="V337" s="68">
        <v>0</v>
      </c>
      <c r="W337" s="68">
        <v>0</v>
      </c>
      <c r="X337" s="68">
        <v>0</v>
      </c>
      <c r="Y337" s="68">
        <v>0</v>
      </c>
      <c r="Z337" s="68">
        <v>0</v>
      </c>
      <c r="AA337" s="68">
        <v>3</v>
      </c>
      <c r="AB337" s="68">
        <v>0</v>
      </c>
      <c r="AC337" s="68">
        <v>0</v>
      </c>
    </row>
    <row r="338" spans="1:29" x14ac:dyDescent="0.55000000000000004">
      <c r="A338" s="49" t="s">
        <v>773</v>
      </c>
      <c r="B338" s="49" t="s">
        <v>774</v>
      </c>
      <c r="C338" s="49" t="s">
        <v>775</v>
      </c>
      <c r="D338" s="49" t="s">
        <v>147</v>
      </c>
      <c r="E338" s="68">
        <v>63357</v>
      </c>
      <c r="F338" s="68">
        <v>51212</v>
      </c>
      <c r="G338" s="68">
        <v>74731</v>
      </c>
      <c r="H338" s="68">
        <v>49712</v>
      </c>
      <c r="I338" s="68">
        <v>48480</v>
      </c>
      <c r="J338" s="68">
        <v>50031</v>
      </c>
      <c r="K338" s="68">
        <v>46344</v>
      </c>
      <c r="L338" s="68">
        <v>57066</v>
      </c>
      <c r="M338" s="68">
        <v>47235</v>
      </c>
      <c r="N338" s="68">
        <v>53300</v>
      </c>
      <c r="O338" s="68">
        <v>29323</v>
      </c>
      <c r="P338" s="96">
        <v>58214</v>
      </c>
      <c r="Q338" s="68">
        <v>40076</v>
      </c>
      <c r="R338" s="68">
        <v>36934</v>
      </c>
      <c r="S338" s="68">
        <v>55166</v>
      </c>
      <c r="T338" s="68">
        <v>40240</v>
      </c>
      <c r="U338" s="68">
        <v>64515</v>
      </c>
      <c r="V338" s="68">
        <v>45094</v>
      </c>
      <c r="W338" s="68">
        <v>47514</v>
      </c>
      <c r="X338" s="68">
        <v>50460</v>
      </c>
      <c r="Y338" s="68">
        <v>58155</v>
      </c>
      <c r="Z338" s="68">
        <v>64709</v>
      </c>
      <c r="AA338" s="68">
        <v>57423</v>
      </c>
      <c r="AB338" s="68">
        <v>93126</v>
      </c>
      <c r="AC338" s="68">
        <v>0</v>
      </c>
    </row>
    <row r="339" spans="1:29" x14ac:dyDescent="0.55000000000000004">
      <c r="A339" s="49" t="s">
        <v>776</v>
      </c>
      <c r="B339" s="49" t="s">
        <v>777</v>
      </c>
      <c r="C339" s="49" t="s">
        <v>778</v>
      </c>
      <c r="D339" s="49" t="s">
        <v>147</v>
      </c>
      <c r="E339" s="68">
        <v>0</v>
      </c>
      <c r="F339" s="68">
        <v>0</v>
      </c>
      <c r="G339" s="68">
        <v>0</v>
      </c>
      <c r="H339" s="68">
        <v>0</v>
      </c>
      <c r="I339" s="68">
        <v>463.89</v>
      </c>
      <c r="J339" s="68">
        <v>0</v>
      </c>
      <c r="K339" s="68">
        <v>0</v>
      </c>
      <c r="L339" s="68">
        <v>0</v>
      </c>
      <c r="M339" s="68">
        <v>0</v>
      </c>
      <c r="N339" s="68">
        <v>0</v>
      </c>
      <c r="O339" s="68">
        <v>0</v>
      </c>
      <c r="P339" s="96">
        <v>0</v>
      </c>
      <c r="Q339" s="68">
        <v>0</v>
      </c>
      <c r="R339" s="68">
        <v>0</v>
      </c>
      <c r="S339" s="68">
        <v>0</v>
      </c>
      <c r="T339" s="68">
        <v>0</v>
      </c>
      <c r="U339" s="68">
        <v>0</v>
      </c>
      <c r="V339" s="68">
        <v>0</v>
      </c>
      <c r="W339" s="68">
        <v>0</v>
      </c>
      <c r="X339" s="68">
        <v>571.72</v>
      </c>
      <c r="Y339" s="68">
        <v>0</v>
      </c>
      <c r="Z339" s="68">
        <v>0</v>
      </c>
      <c r="AA339" s="68">
        <v>0</v>
      </c>
      <c r="AB339" s="68">
        <v>0</v>
      </c>
      <c r="AC339" s="68">
        <v>0</v>
      </c>
    </row>
    <row r="340" spans="1:29" x14ac:dyDescent="0.55000000000000004">
      <c r="A340" s="49" t="s">
        <v>779</v>
      </c>
      <c r="B340" s="49" t="s">
        <v>780</v>
      </c>
      <c r="C340" s="49" t="s">
        <v>778</v>
      </c>
      <c r="D340" s="49" t="s">
        <v>147</v>
      </c>
      <c r="E340" s="68">
        <v>974.84</v>
      </c>
      <c r="F340" s="68">
        <v>306.02</v>
      </c>
      <c r="G340" s="68">
        <v>183.45</v>
      </c>
      <c r="H340" s="68">
        <v>779.96</v>
      </c>
      <c r="I340" s="68">
        <v>143.87</v>
      </c>
      <c r="J340" s="68">
        <v>632.62</v>
      </c>
      <c r="K340" s="68">
        <v>277.48</v>
      </c>
      <c r="L340" s="68">
        <v>766.15</v>
      </c>
      <c r="M340" s="68">
        <v>158.33000000000001</v>
      </c>
      <c r="N340" s="68">
        <v>140.85</v>
      </c>
      <c r="O340" s="68">
        <v>0</v>
      </c>
      <c r="P340" s="96">
        <v>69.05</v>
      </c>
      <c r="Q340" s="68">
        <v>22.5</v>
      </c>
      <c r="R340" s="68">
        <v>710.92</v>
      </c>
      <c r="S340" s="68">
        <v>1165.43</v>
      </c>
      <c r="T340" s="68">
        <v>22.78</v>
      </c>
      <c r="U340" s="68">
        <v>562.20000000000005</v>
      </c>
      <c r="V340" s="68">
        <v>372.82</v>
      </c>
      <c r="W340" s="68">
        <v>911.42</v>
      </c>
      <c r="X340" s="68">
        <v>497.03</v>
      </c>
      <c r="Y340" s="68">
        <v>3724.47</v>
      </c>
      <c r="Z340" s="68">
        <v>292.85000000000002</v>
      </c>
      <c r="AA340" s="68">
        <v>1733.18</v>
      </c>
      <c r="AB340" s="68">
        <v>1930.11</v>
      </c>
      <c r="AC340" s="68">
        <v>0</v>
      </c>
    </row>
    <row r="341" spans="1:29" x14ac:dyDescent="0.55000000000000004">
      <c r="A341" s="49" t="s">
        <v>781</v>
      </c>
      <c r="B341" s="49" t="s">
        <v>782</v>
      </c>
      <c r="C341" s="49" t="s">
        <v>778</v>
      </c>
      <c r="D341" s="49" t="s">
        <v>147</v>
      </c>
      <c r="E341" s="68">
        <v>724.92</v>
      </c>
      <c r="F341" s="68">
        <v>672.72</v>
      </c>
      <c r="G341" s="68">
        <v>466.06</v>
      </c>
      <c r="H341" s="68">
        <v>507.63</v>
      </c>
      <c r="I341" s="68">
        <v>369.78</v>
      </c>
      <c r="J341" s="68">
        <v>246.59</v>
      </c>
      <c r="K341" s="68">
        <v>256.55</v>
      </c>
      <c r="L341" s="68">
        <v>172.47</v>
      </c>
      <c r="M341" s="68">
        <v>1028.8399999999999</v>
      </c>
      <c r="N341" s="68">
        <v>600.52</v>
      </c>
      <c r="O341" s="68">
        <v>109.92</v>
      </c>
      <c r="P341" s="96">
        <v>201.87</v>
      </c>
      <c r="Q341" s="68">
        <v>658.15</v>
      </c>
      <c r="R341" s="68">
        <v>1045.73</v>
      </c>
      <c r="S341" s="68">
        <v>1669.77</v>
      </c>
      <c r="T341" s="68">
        <v>386.4</v>
      </c>
      <c r="U341" s="68">
        <v>1652.98</v>
      </c>
      <c r="V341" s="68">
        <v>287.12</v>
      </c>
      <c r="W341" s="68">
        <v>87.72</v>
      </c>
      <c r="X341" s="68">
        <v>1241.8399999999999</v>
      </c>
      <c r="Y341" s="68">
        <v>1228.73</v>
      </c>
      <c r="Z341" s="68">
        <v>200.89</v>
      </c>
      <c r="AA341" s="68">
        <v>1009.99</v>
      </c>
      <c r="AB341" s="68">
        <v>10790.27</v>
      </c>
      <c r="AC341" s="68">
        <v>0</v>
      </c>
    </row>
    <row r="342" spans="1:29" x14ac:dyDescent="0.55000000000000004">
      <c r="A342" s="49" t="s">
        <v>783</v>
      </c>
      <c r="B342" s="49" t="s">
        <v>784</v>
      </c>
      <c r="C342" s="49" t="s">
        <v>778</v>
      </c>
      <c r="D342" s="49" t="s">
        <v>147</v>
      </c>
      <c r="E342" s="68">
        <v>200</v>
      </c>
      <c r="F342" s="68">
        <v>0</v>
      </c>
      <c r="G342" s="68">
        <v>0</v>
      </c>
      <c r="H342" s="68">
        <v>0</v>
      </c>
      <c r="I342" s="68">
        <v>0</v>
      </c>
      <c r="J342" s="68">
        <v>0</v>
      </c>
      <c r="K342" s="68">
        <v>0</v>
      </c>
      <c r="L342" s="68">
        <v>412.42</v>
      </c>
      <c r="M342" s="68">
        <v>0</v>
      </c>
      <c r="N342" s="68">
        <v>0</v>
      </c>
      <c r="O342" s="68">
        <v>0</v>
      </c>
      <c r="P342" s="96">
        <v>33.33</v>
      </c>
      <c r="Q342" s="68">
        <v>0</v>
      </c>
      <c r="R342" s="68">
        <v>0</v>
      </c>
      <c r="S342" s="68">
        <v>0</v>
      </c>
      <c r="T342" s="68">
        <v>0</v>
      </c>
      <c r="U342" s="68">
        <v>980.31</v>
      </c>
      <c r="V342" s="68">
        <v>0</v>
      </c>
      <c r="W342" s="68">
        <v>0</v>
      </c>
      <c r="X342" s="68">
        <v>0</v>
      </c>
      <c r="Y342" s="68">
        <v>0</v>
      </c>
      <c r="Z342" s="68">
        <v>0</v>
      </c>
      <c r="AA342" s="68">
        <v>0</v>
      </c>
      <c r="AB342" s="68">
        <v>0</v>
      </c>
      <c r="AC342" s="68">
        <v>0</v>
      </c>
    </row>
    <row r="343" spans="1:29" x14ac:dyDescent="0.55000000000000004">
      <c r="A343" s="49" t="s">
        <v>785</v>
      </c>
      <c r="B343" s="49" t="s">
        <v>786</v>
      </c>
      <c r="C343" s="49" t="s">
        <v>778</v>
      </c>
      <c r="D343" s="49" t="s">
        <v>147</v>
      </c>
      <c r="E343" s="68">
        <v>0</v>
      </c>
      <c r="F343" s="68">
        <v>0</v>
      </c>
      <c r="G343" s="68">
        <v>0</v>
      </c>
      <c r="H343" s="68">
        <v>0</v>
      </c>
      <c r="I343" s="68">
        <v>0</v>
      </c>
      <c r="J343" s="68">
        <v>0</v>
      </c>
      <c r="K343" s="68">
        <v>0</v>
      </c>
      <c r="L343" s="68">
        <v>0</v>
      </c>
      <c r="M343" s="68">
        <v>0</v>
      </c>
      <c r="N343" s="68">
        <v>0</v>
      </c>
      <c r="O343" s="68">
        <v>0</v>
      </c>
      <c r="P343" s="96">
        <v>0</v>
      </c>
      <c r="Q343" s="68">
        <v>0</v>
      </c>
      <c r="R343" s="68">
        <v>0</v>
      </c>
      <c r="S343" s="68">
        <v>0</v>
      </c>
      <c r="T343" s="68">
        <v>0</v>
      </c>
      <c r="U343" s="68">
        <v>0</v>
      </c>
      <c r="V343" s="68">
        <v>0</v>
      </c>
      <c r="W343" s="68">
        <v>0</v>
      </c>
      <c r="X343" s="68">
        <v>0</v>
      </c>
      <c r="Y343" s="68">
        <v>0</v>
      </c>
      <c r="Z343" s="68">
        <v>0</v>
      </c>
      <c r="AA343" s="68">
        <v>0</v>
      </c>
      <c r="AB343" s="68">
        <v>13947.12</v>
      </c>
      <c r="AC343" s="68">
        <v>0</v>
      </c>
    </row>
    <row r="344" spans="1:29" x14ac:dyDescent="0.55000000000000004">
      <c r="A344" s="49" t="s">
        <v>787</v>
      </c>
      <c r="B344" s="49" t="s">
        <v>788</v>
      </c>
      <c r="C344" s="49" t="s">
        <v>789</v>
      </c>
      <c r="D344" s="49" t="s">
        <v>147</v>
      </c>
      <c r="E344" s="68">
        <v>175617.33</v>
      </c>
      <c r="F344" s="68">
        <v>101445.54</v>
      </c>
      <c r="G344" s="68">
        <v>172500.51</v>
      </c>
      <c r="H344" s="68">
        <v>60859.1</v>
      </c>
      <c r="I344" s="68">
        <v>134721.57</v>
      </c>
      <c r="J344" s="68">
        <v>133955.71</v>
      </c>
      <c r="K344" s="68">
        <v>121845.92</v>
      </c>
      <c r="L344" s="68">
        <v>151196.04</v>
      </c>
      <c r="M344" s="68">
        <v>84972.94</v>
      </c>
      <c r="N344" s="68">
        <v>112930.29</v>
      </c>
      <c r="O344" s="68">
        <v>68435.929999999993</v>
      </c>
      <c r="P344" s="96">
        <v>108091.32</v>
      </c>
      <c r="Q344" s="68">
        <v>54841.18</v>
      </c>
      <c r="R344" s="68">
        <v>132158.82</v>
      </c>
      <c r="S344" s="68">
        <v>169605.51</v>
      </c>
      <c r="T344" s="68">
        <v>155000.69</v>
      </c>
      <c r="U344" s="68">
        <v>203716.29</v>
      </c>
      <c r="V344" s="68">
        <v>144994.56</v>
      </c>
      <c r="W344" s="68">
        <v>118356.41</v>
      </c>
      <c r="X344" s="68">
        <v>126938.8</v>
      </c>
      <c r="Y344" s="68">
        <v>124488.58</v>
      </c>
      <c r="Z344" s="68">
        <v>141134.04</v>
      </c>
      <c r="AA344" s="68">
        <v>88605.8</v>
      </c>
      <c r="AB344" s="68">
        <v>181122.04</v>
      </c>
      <c r="AC344" s="68">
        <v>0</v>
      </c>
    </row>
    <row r="345" spans="1:29" x14ac:dyDescent="0.55000000000000004">
      <c r="A345" s="49" t="s">
        <v>790</v>
      </c>
      <c r="B345" s="49" t="s">
        <v>791</v>
      </c>
      <c r="C345" s="49" t="s">
        <v>792</v>
      </c>
      <c r="D345" s="49" t="s">
        <v>147</v>
      </c>
      <c r="E345" s="68">
        <v>21070.6</v>
      </c>
      <c r="F345" s="68">
        <v>9876.52</v>
      </c>
      <c r="G345" s="68">
        <v>18746.689999999999</v>
      </c>
      <c r="H345" s="68">
        <v>7301.89</v>
      </c>
      <c r="I345" s="68">
        <v>13142.12</v>
      </c>
      <c r="J345" s="68">
        <v>14325.39</v>
      </c>
      <c r="K345" s="68">
        <v>13241.74</v>
      </c>
      <c r="L345" s="68">
        <v>23770.45</v>
      </c>
      <c r="M345" s="68">
        <v>9234.5300000000007</v>
      </c>
      <c r="N345" s="68">
        <v>11016.37</v>
      </c>
      <c r="O345" s="68">
        <v>6675.94</v>
      </c>
      <c r="P345" s="96">
        <v>12968.82</v>
      </c>
      <c r="Q345" s="68">
        <v>5959.93</v>
      </c>
      <c r="R345" s="68">
        <v>14117.01</v>
      </c>
      <c r="S345" s="68">
        <v>16427.990000000002</v>
      </c>
      <c r="T345" s="68">
        <v>18267.07</v>
      </c>
      <c r="U345" s="68">
        <v>19657.96</v>
      </c>
      <c r="V345" s="68">
        <v>15757.45</v>
      </c>
      <c r="W345" s="68">
        <v>14200.43</v>
      </c>
      <c r="X345" s="68">
        <v>12382.91</v>
      </c>
      <c r="Y345" s="68">
        <v>13528.94</v>
      </c>
      <c r="Z345" s="68">
        <v>22188.54</v>
      </c>
      <c r="AA345" s="68">
        <v>8643.51</v>
      </c>
      <c r="AB345" s="68">
        <v>32801.25</v>
      </c>
      <c r="AC345" s="68">
        <v>0</v>
      </c>
    </row>
    <row r="346" spans="1:29" x14ac:dyDescent="0.55000000000000004">
      <c r="A346" s="49" t="s">
        <v>793</v>
      </c>
      <c r="B346" s="49" t="s">
        <v>794</v>
      </c>
      <c r="C346" s="49" t="s">
        <v>629</v>
      </c>
      <c r="D346" s="49" t="s">
        <v>147</v>
      </c>
      <c r="E346" s="68">
        <v>1306.31</v>
      </c>
      <c r="F346" s="68">
        <v>2100.4699999999998</v>
      </c>
      <c r="G346" s="68">
        <v>3761.14</v>
      </c>
      <c r="H346" s="68">
        <v>3762.17</v>
      </c>
      <c r="I346" s="68">
        <v>1404.92</v>
      </c>
      <c r="J346" s="68">
        <v>0</v>
      </c>
      <c r="K346" s="68">
        <v>1281.03</v>
      </c>
      <c r="L346" s="68">
        <v>3854.29</v>
      </c>
      <c r="M346" s="68">
        <v>1323.1</v>
      </c>
      <c r="N346" s="68">
        <v>1586.58</v>
      </c>
      <c r="O346" s="68">
        <v>2023.15</v>
      </c>
      <c r="P346" s="96">
        <v>10141.99</v>
      </c>
      <c r="Q346" s="68">
        <v>1083.54</v>
      </c>
      <c r="R346" s="68">
        <v>1786.89</v>
      </c>
      <c r="S346" s="68">
        <v>261.08</v>
      </c>
      <c r="T346" s="68">
        <v>1197.1199999999999</v>
      </c>
      <c r="U346" s="68">
        <v>1438.65</v>
      </c>
      <c r="V346" s="68">
        <v>786.58</v>
      </c>
      <c r="W346" s="68">
        <v>1084.6400000000001</v>
      </c>
      <c r="X346" s="68">
        <v>1693.44</v>
      </c>
      <c r="Y346" s="68">
        <v>1736.78</v>
      </c>
      <c r="Z346" s="68">
        <v>3560.86</v>
      </c>
      <c r="AA346" s="68">
        <v>7140.71</v>
      </c>
      <c r="AB346" s="68">
        <v>2129.63</v>
      </c>
      <c r="AC346" s="68">
        <v>0</v>
      </c>
    </row>
    <row r="347" spans="1:29" x14ac:dyDescent="0.55000000000000004">
      <c r="A347" s="49" t="s">
        <v>795</v>
      </c>
      <c r="B347" s="49" t="s">
        <v>796</v>
      </c>
      <c r="C347" s="49" t="s">
        <v>797</v>
      </c>
      <c r="D347" s="49" t="s">
        <v>147</v>
      </c>
      <c r="E347" s="68">
        <v>26211.05</v>
      </c>
      <c r="F347" s="68">
        <v>15302.97</v>
      </c>
      <c r="G347" s="68">
        <v>25411.46</v>
      </c>
      <c r="H347" s="68">
        <v>8533.25</v>
      </c>
      <c r="I347" s="68">
        <v>19930.12</v>
      </c>
      <c r="J347" s="68">
        <v>18198.91</v>
      </c>
      <c r="K347" s="68">
        <v>18054.259999999998</v>
      </c>
      <c r="L347" s="68">
        <v>13864.87</v>
      </c>
      <c r="M347" s="68">
        <v>8759.11</v>
      </c>
      <c r="N347" s="68">
        <v>4780.21</v>
      </c>
      <c r="O347" s="68">
        <v>2516.88</v>
      </c>
      <c r="P347" s="96">
        <v>16759.14</v>
      </c>
      <c r="Q347" s="68">
        <v>6480.42</v>
      </c>
      <c r="R347" s="68">
        <v>5195.2</v>
      </c>
      <c r="S347" s="68">
        <v>24013.22</v>
      </c>
      <c r="T347" s="68">
        <v>3922</v>
      </c>
      <c r="U347" s="68">
        <v>33898.720000000001</v>
      </c>
      <c r="V347" s="68">
        <v>7091.3</v>
      </c>
      <c r="W347" s="68">
        <v>15035.75</v>
      </c>
      <c r="X347" s="68">
        <v>6270.88</v>
      </c>
      <c r="Y347" s="68">
        <v>5442.98</v>
      </c>
      <c r="Z347" s="68">
        <v>7004.51</v>
      </c>
      <c r="AA347" s="68">
        <v>4123.16</v>
      </c>
      <c r="AB347" s="68">
        <v>6904.36</v>
      </c>
      <c r="AC347" s="68">
        <v>0</v>
      </c>
    </row>
    <row r="348" spans="1:29" x14ac:dyDescent="0.55000000000000004">
      <c r="A348" s="49" t="s">
        <v>798</v>
      </c>
      <c r="B348" s="49" t="s">
        <v>799</v>
      </c>
      <c r="C348" s="49" t="s">
        <v>797</v>
      </c>
      <c r="D348" s="49" t="s">
        <v>147</v>
      </c>
      <c r="E348" s="68">
        <v>102.87</v>
      </c>
      <c r="F348" s="68">
        <v>546.62</v>
      </c>
      <c r="G348" s="68">
        <v>705.69</v>
      </c>
      <c r="H348" s="68">
        <v>299.06</v>
      </c>
      <c r="I348" s="68">
        <v>876.23</v>
      </c>
      <c r="J348" s="68">
        <v>324.39</v>
      </c>
      <c r="K348" s="68">
        <v>618.36</v>
      </c>
      <c r="L348" s="68">
        <v>450.51</v>
      </c>
      <c r="M348" s="68">
        <v>1254.58</v>
      </c>
      <c r="N348" s="68">
        <v>1512.08</v>
      </c>
      <c r="O348" s="68">
        <v>378.6</v>
      </c>
      <c r="P348" s="96">
        <v>529.53</v>
      </c>
      <c r="Q348" s="68">
        <v>0</v>
      </c>
      <c r="R348" s="68">
        <v>320.16000000000003</v>
      </c>
      <c r="S348" s="68">
        <v>830.33</v>
      </c>
      <c r="T348" s="68">
        <v>204.06</v>
      </c>
      <c r="U348" s="68">
        <v>405.98</v>
      </c>
      <c r="V348" s="68">
        <v>260.82</v>
      </c>
      <c r="W348" s="68">
        <v>497.54</v>
      </c>
      <c r="X348" s="68">
        <v>767.39</v>
      </c>
      <c r="Y348" s="68">
        <v>574.57000000000005</v>
      </c>
      <c r="Z348" s="68">
        <v>363.65</v>
      </c>
      <c r="AA348" s="68">
        <v>486.34</v>
      </c>
      <c r="AB348" s="68">
        <v>746.3</v>
      </c>
      <c r="AC348" s="68">
        <v>0</v>
      </c>
    </row>
    <row r="349" spans="1:29" x14ac:dyDescent="0.55000000000000004">
      <c r="A349" s="49" t="s">
        <v>800</v>
      </c>
      <c r="B349" s="49" t="s">
        <v>801</v>
      </c>
      <c r="C349" s="49" t="s">
        <v>734</v>
      </c>
      <c r="D349" s="49" t="s">
        <v>147</v>
      </c>
      <c r="E349" s="68">
        <v>950.32</v>
      </c>
      <c r="F349" s="68">
        <v>916.24</v>
      </c>
      <c r="G349" s="68">
        <v>1294.05</v>
      </c>
      <c r="H349" s="68">
        <v>716.54</v>
      </c>
      <c r="I349" s="68">
        <v>980.65</v>
      </c>
      <c r="J349" s="68">
        <v>442.3</v>
      </c>
      <c r="K349" s="68">
        <v>717.79</v>
      </c>
      <c r="L349" s="68">
        <v>1496.25</v>
      </c>
      <c r="M349" s="68">
        <v>521.91999999999996</v>
      </c>
      <c r="N349" s="68">
        <v>980.65</v>
      </c>
      <c r="O349" s="68">
        <v>521.91999999999996</v>
      </c>
      <c r="P349" s="96">
        <v>758.23</v>
      </c>
      <c r="Q349" s="68">
        <v>866.91</v>
      </c>
      <c r="R349" s="68">
        <v>535.82000000000005</v>
      </c>
      <c r="S349" s="68">
        <v>875.76</v>
      </c>
      <c r="T349" s="68">
        <v>521.91999999999996</v>
      </c>
      <c r="U349" s="68">
        <v>687.47</v>
      </c>
      <c r="V349" s="68">
        <v>596.48</v>
      </c>
      <c r="W349" s="68">
        <v>919.99</v>
      </c>
      <c r="X349" s="68">
        <v>1026.17</v>
      </c>
      <c r="Y349" s="68">
        <v>1150</v>
      </c>
      <c r="Z349" s="68">
        <v>1017.3</v>
      </c>
      <c r="AA349" s="68">
        <v>1229.6099999999999</v>
      </c>
      <c r="AB349" s="68">
        <v>1264.99</v>
      </c>
      <c r="AC349" s="68">
        <v>0</v>
      </c>
    </row>
    <row r="350" spans="1:29" x14ac:dyDescent="0.55000000000000004">
      <c r="A350" s="49" t="s">
        <v>802</v>
      </c>
      <c r="B350" s="49" t="s">
        <v>803</v>
      </c>
      <c r="C350" s="49" t="s">
        <v>734</v>
      </c>
      <c r="D350" s="49" t="s">
        <v>147</v>
      </c>
      <c r="E350" s="68">
        <v>1685.63</v>
      </c>
      <c r="F350" s="68">
        <v>78.430000000000007</v>
      </c>
      <c r="G350" s="68">
        <v>78.430000000000007</v>
      </c>
      <c r="H350" s="68">
        <v>78.430000000000007</v>
      </c>
      <c r="I350" s="68">
        <v>78.430000000000007</v>
      </c>
      <c r="J350" s="68">
        <v>78.430000000000007</v>
      </c>
      <c r="K350" s="68">
        <v>78.430000000000007</v>
      </c>
      <c r="L350" s="68">
        <v>1806.63</v>
      </c>
      <c r="M350" s="68">
        <v>78.430000000000007</v>
      </c>
      <c r="N350" s="68">
        <v>78.430000000000007</v>
      </c>
      <c r="O350" s="68">
        <v>78.430000000000007</v>
      </c>
      <c r="P350" s="96">
        <v>-97.57</v>
      </c>
      <c r="Q350" s="68">
        <v>78.430000000000007</v>
      </c>
      <c r="R350" s="68">
        <v>78.430000000000007</v>
      </c>
      <c r="S350" s="68">
        <v>78.430000000000007</v>
      </c>
      <c r="T350" s="68">
        <v>78.430000000000007</v>
      </c>
      <c r="U350" s="68">
        <v>3169.83</v>
      </c>
      <c r="V350" s="68">
        <v>78.430000000000007</v>
      </c>
      <c r="W350" s="68">
        <v>78.430000000000007</v>
      </c>
      <c r="X350" s="68">
        <v>78.430000000000007</v>
      </c>
      <c r="Y350" s="68">
        <v>78.430000000000007</v>
      </c>
      <c r="Z350" s="68">
        <v>78.430000000000007</v>
      </c>
      <c r="AA350" s="68">
        <v>78.430000000000007</v>
      </c>
      <c r="AB350" s="68">
        <v>78.430000000000007</v>
      </c>
      <c r="AC350" s="68">
        <v>0</v>
      </c>
    </row>
    <row r="351" spans="1:29" x14ac:dyDescent="0.55000000000000004">
      <c r="A351" s="49" t="s">
        <v>804</v>
      </c>
      <c r="B351" s="49" t="s">
        <v>805</v>
      </c>
      <c r="C351" s="49" t="s">
        <v>734</v>
      </c>
      <c r="D351" s="49" t="s">
        <v>147</v>
      </c>
      <c r="E351" s="68">
        <v>15020.62</v>
      </c>
      <c r="F351" s="68">
        <v>15760.64</v>
      </c>
      <c r="G351" s="68">
        <v>21006.14</v>
      </c>
      <c r="H351" s="68">
        <v>12494.01</v>
      </c>
      <c r="I351" s="68">
        <v>15566.75</v>
      </c>
      <c r="J351" s="68">
        <v>8139.08</v>
      </c>
      <c r="K351" s="68">
        <v>11396.66</v>
      </c>
      <c r="L351" s="68">
        <v>23755.61</v>
      </c>
      <c r="M351" s="68">
        <v>9115.57</v>
      </c>
      <c r="N351" s="68">
        <v>15633.45</v>
      </c>
      <c r="O351" s="68">
        <v>9726.15</v>
      </c>
      <c r="P351" s="96">
        <v>12470.08</v>
      </c>
      <c r="Q351" s="68">
        <v>15214.51</v>
      </c>
      <c r="R351" s="68">
        <v>8594.1</v>
      </c>
      <c r="S351" s="68">
        <v>15400.83</v>
      </c>
      <c r="T351" s="68">
        <v>9098.5499999999993</v>
      </c>
      <c r="U351" s="68">
        <v>10940.38</v>
      </c>
      <c r="V351" s="68">
        <v>9516.75</v>
      </c>
      <c r="W351" s="68">
        <v>14609.22</v>
      </c>
      <c r="X351" s="68">
        <v>17992.37</v>
      </c>
      <c r="Y351" s="68">
        <v>19601.650000000001</v>
      </c>
      <c r="Z351" s="68">
        <v>17534.68</v>
      </c>
      <c r="AA351" s="68">
        <v>21315.599999999999</v>
      </c>
      <c r="AB351" s="68">
        <v>69153.850000000006</v>
      </c>
      <c r="AC351" s="68">
        <v>0</v>
      </c>
    </row>
    <row r="352" spans="1:29" x14ac:dyDescent="0.55000000000000004">
      <c r="A352" s="49" t="s">
        <v>806</v>
      </c>
      <c r="B352" s="49" t="s">
        <v>807</v>
      </c>
      <c r="C352" s="49" t="s">
        <v>808</v>
      </c>
      <c r="D352" s="49" t="s">
        <v>147</v>
      </c>
      <c r="E352" s="68">
        <v>10787.39</v>
      </c>
      <c r="F352" s="68">
        <v>-5667.19</v>
      </c>
      <c r="G352" s="68">
        <v>-10200.48</v>
      </c>
      <c r="H352" s="68">
        <v>-10074.780000000001</v>
      </c>
      <c r="I352" s="68">
        <v>-8619.08</v>
      </c>
      <c r="J352" s="68">
        <v>4538.55</v>
      </c>
      <c r="K352" s="68">
        <v>4644.58</v>
      </c>
      <c r="L352" s="68">
        <v>-9906.08</v>
      </c>
      <c r="M352" s="68">
        <v>5751.44</v>
      </c>
      <c r="N352" s="68">
        <v>-13310.33</v>
      </c>
      <c r="O352" s="68">
        <v>28078.91</v>
      </c>
      <c r="P352" s="96">
        <v>-1749.24</v>
      </c>
      <c r="Q352" s="68">
        <v>-7509.05</v>
      </c>
      <c r="R352" s="68">
        <v>8552.11</v>
      </c>
      <c r="S352" s="68">
        <v>-34086.44</v>
      </c>
      <c r="T352" s="68">
        <v>-12785.25</v>
      </c>
      <c r="U352" s="68">
        <v>-7052.17</v>
      </c>
      <c r="V352" s="68">
        <v>-11820.97</v>
      </c>
      <c r="W352" s="68">
        <v>5034.5600000000004</v>
      </c>
      <c r="X352" s="68">
        <v>21619.3</v>
      </c>
      <c r="Y352" s="68">
        <v>10233.530000000001</v>
      </c>
      <c r="Z352" s="68">
        <v>-10348.93</v>
      </c>
      <c r="AA352" s="68">
        <v>29534.89</v>
      </c>
      <c r="AB352" s="68">
        <v>20530.5</v>
      </c>
      <c r="AC352" s="68">
        <v>0</v>
      </c>
    </row>
    <row r="353" spans="1:29" x14ac:dyDescent="0.55000000000000004">
      <c r="A353" s="49" t="s">
        <v>453</v>
      </c>
      <c r="B353" s="49" t="s">
        <v>809</v>
      </c>
      <c r="C353" s="49" t="s">
        <v>510</v>
      </c>
      <c r="D353" s="49" t="s">
        <v>147</v>
      </c>
      <c r="E353" s="68">
        <v>0</v>
      </c>
      <c r="F353" s="68">
        <v>288</v>
      </c>
      <c r="G353" s="68">
        <v>288</v>
      </c>
      <c r="H353" s="68">
        <v>0</v>
      </c>
      <c r="I353" s="68">
        <v>465</v>
      </c>
      <c r="J353" s="68">
        <v>0</v>
      </c>
      <c r="K353" s="68">
        <v>36</v>
      </c>
      <c r="L353" s="68">
        <v>700</v>
      </c>
      <c r="M353" s="68">
        <v>0</v>
      </c>
      <c r="N353" s="68">
        <v>194.4</v>
      </c>
      <c r="O353" s="68">
        <v>0</v>
      </c>
      <c r="P353" s="96">
        <v>473</v>
      </c>
      <c r="Q353" s="68">
        <v>165</v>
      </c>
      <c r="R353" s="68">
        <v>0</v>
      </c>
      <c r="S353" s="68">
        <v>0</v>
      </c>
      <c r="T353" s="68">
        <v>195</v>
      </c>
      <c r="U353" s="68">
        <v>105</v>
      </c>
      <c r="V353" s="68">
        <v>280</v>
      </c>
      <c r="W353" s="68">
        <v>240</v>
      </c>
      <c r="X353" s="68">
        <v>62</v>
      </c>
      <c r="Y353" s="68">
        <v>0</v>
      </c>
      <c r="Z353" s="68">
        <v>15</v>
      </c>
      <c r="AA353" s="68">
        <v>0</v>
      </c>
      <c r="AB353" s="68">
        <v>0</v>
      </c>
      <c r="AC353" s="68">
        <v>0</v>
      </c>
    </row>
    <row r="354" spans="1:29" x14ac:dyDescent="0.55000000000000004">
      <c r="A354" s="49" t="s">
        <v>810</v>
      </c>
      <c r="B354" s="49" t="s">
        <v>811</v>
      </c>
      <c r="C354" s="49" t="s">
        <v>510</v>
      </c>
      <c r="D354" s="49" t="s">
        <v>147</v>
      </c>
      <c r="E354" s="68">
        <v>0</v>
      </c>
      <c r="F354" s="68">
        <v>0</v>
      </c>
      <c r="G354" s="68">
        <v>0</v>
      </c>
      <c r="H354" s="68">
        <v>0</v>
      </c>
      <c r="I354" s="68">
        <v>0</v>
      </c>
      <c r="J354" s="68">
        <v>0</v>
      </c>
      <c r="K354" s="68">
        <v>0</v>
      </c>
      <c r="L354" s="68">
        <v>-86.57</v>
      </c>
      <c r="M354" s="68">
        <v>0</v>
      </c>
      <c r="N354" s="68">
        <v>0</v>
      </c>
      <c r="O354" s="68">
        <v>0</v>
      </c>
      <c r="P354" s="96">
        <v>737</v>
      </c>
      <c r="Q354" s="68">
        <v>0</v>
      </c>
      <c r="R354" s="68">
        <v>0</v>
      </c>
      <c r="S354" s="68">
        <v>0</v>
      </c>
      <c r="T354" s="68">
        <v>0</v>
      </c>
      <c r="U354" s="68">
        <v>828.53</v>
      </c>
      <c r="V354" s="68">
        <v>765.44</v>
      </c>
      <c r="W354" s="68">
        <v>454.71</v>
      </c>
      <c r="X354" s="68">
        <v>0</v>
      </c>
      <c r="Y354" s="68">
        <v>0</v>
      </c>
      <c r="Z354" s="68">
        <v>0</v>
      </c>
      <c r="AA354" s="68">
        <v>0</v>
      </c>
      <c r="AB354" s="68">
        <v>0</v>
      </c>
      <c r="AC354" s="68">
        <v>0</v>
      </c>
    </row>
    <row r="355" spans="1:29" x14ac:dyDescent="0.55000000000000004">
      <c r="A355" s="49" t="s">
        <v>812</v>
      </c>
      <c r="B355" s="49" t="s">
        <v>813</v>
      </c>
      <c r="C355" s="49" t="s">
        <v>510</v>
      </c>
      <c r="D355" s="49" t="s">
        <v>147</v>
      </c>
      <c r="E355" s="68">
        <v>1130.3900000000001</v>
      </c>
      <c r="F355" s="68">
        <v>124</v>
      </c>
      <c r="G355" s="68">
        <v>4764.88</v>
      </c>
      <c r="H355" s="68">
        <v>1458.94</v>
      </c>
      <c r="I355" s="68">
        <v>5582.15</v>
      </c>
      <c r="J355" s="68">
        <v>-347.67</v>
      </c>
      <c r="K355" s="68">
        <v>1920.87</v>
      </c>
      <c r="L355" s="68">
        <v>3272.86</v>
      </c>
      <c r="M355" s="68">
        <v>1810.55</v>
      </c>
      <c r="N355" s="68">
        <v>2032.01</v>
      </c>
      <c r="O355" s="68">
        <v>1514.49</v>
      </c>
      <c r="P355" s="96">
        <v>4936.09</v>
      </c>
      <c r="Q355" s="68">
        <v>2379.9499999999998</v>
      </c>
      <c r="R355" s="68">
        <v>1289.1199999999999</v>
      </c>
      <c r="S355" s="68">
        <v>0</v>
      </c>
      <c r="T355" s="68">
        <v>0</v>
      </c>
      <c r="U355" s="68">
        <v>4119.43</v>
      </c>
      <c r="V355" s="68">
        <v>3248.74</v>
      </c>
      <c r="W355" s="68">
        <v>3485.16</v>
      </c>
      <c r="X355" s="68">
        <v>4551.13</v>
      </c>
      <c r="Y355" s="68">
        <v>2936.95</v>
      </c>
      <c r="Z355" s="68">
        <v>3549</v>
      </c>
      <c r="AA355" s="68">
        <v>3211.78</v>
      </c>
      <c r="AB355" s="68">
        <v>44191.31</v>
      </c>
      <c r="AC355" s="68">
        <v>0</v>
      </c>
    </row>
    <row r="356" spans="1:29" x14ac:dyDescent="0.55000000000000004">
      <c r="A356" s="49" t="s">
        <v>969</v>
      </c>
      <c r="B356" s="49" t="s">
        <v>970</v>
      </c>
      <c r="C356" s="49" t="s">
        <v>510</v>
      </c>
      <c r="D356" s="49" t="s">
        <v>147</v>
      </c>
      <c r="E356" s="68">
        <v>0</v>
      </c>
      <c r="F356" s="68">
        <v>0</v>
      </c>
      <c r="G356" s="68">
        <v>0</v>
      </c>
      <c r="H356" s="68">
        <v>0</v>
      </c>
      <c r="I356" s="68">
        <v>0</v>
      </c>
      <c r="J356" s="68">
        <v>0</v>
      </c>
      <c r="K356" s="68">
        <v>0</v>
      </c>
      <c r="L356" s="68">
        <v>0</v>
      </c>
      <c r="M356" s="68">
        <v>0</v>
      </c>
      <c r="N356" s="68">
        <v>0</v>
      </c>
      <c r="O356" s="68">
        <v>0</v>
      </c>
      <c r="P356" s="96">
        <v>0</v>
      </c>
      <c r="Q356" s="68">
        <v>141.05000000000001</v>
      </c>
      <c r="R356" s="68">
        <v>0</v>
      </c>
      <c r="S356" s="68">
        <v>0</v>
      </c>
      <c r="T356" s="68">
        <v>0</v>
      </c>
      <c r="U356" s="68">
        <v>0</v>
      </c>
      <c r="V356" s="68">
        <v>0</v>
      </c>
      <c r="W356" s="68">
        <v>0</v>
      </c>
      <c r="X356" s="68">
        <v>0</v>
      </c>
      <c r="Y356" s="68">
        <v>0</v>
      </c>
      <c r="Z356" s="68">
        <v>0</v>
      </c>
      <c r="AA356" s="68">
        <v>0</v>
      </c>
      <c r="AB356" s="68">
        <v>0</v>
      </c>
      <c r="AC356" s="68">
        <v>0</v>
      </c>
    </row>
    <row r="357" spans="1:29" x14ac:dyDescent="0.55000000000000004">
      <c r="A357" s="49" t="s">
        <v>814</v>
      </c>
      <c r="B357" s="49" t="s">
        <v>815</v>
      </c>
      <c r="C357" s="49" t="s">
        <v>510</v>
      </c>
      <c r="D357" s="49" t="s">
        <v>147</v>
      </c>
      <c r="E357" s="68">
        <v>0</v>
      </c>
      <c r="F357" s="68">
        <v>0</v>
      </c>
      <c r="G357" s="68">
        <v>0</v>
      </c>
      <c r="H357" s="68">
        <v>0</v>
      </c>
      <c r="I357" s="68">
        <v>0</v>
      </c>
      <c r="J357" s="68">
        <v>0</v>
      </c>
      <c r="K357" s="68">
        <v>0</v>
      </c>
      <c r="L357" s="68">
        <v>0</v>
      </c>
      <c r="M357" s="68">
        <v>0</v>
      </c>
      <c r="N357" s="68">
        <v>0</v>
      </c>
      <c r="O357" s="68">
        <v>0</v>
      </c>
      <c r="P357" s="96">
        <v>0</v>
      </c>
      <c r="Q357" s="68">
        <v>0</v>
      </c>
      <c r="R357" s="68">
        <v>0</v>
      </c>
      <c r="S357" s="68">
        <v>0</v>
      </c>
      <c r="T357" s="68">
        <v>0</v>
      </c>
      <c r="U357" s="68">
        <v>0</v>
      </c>
      <c r="V357" s="68">
        <v>0</v>
      </c>
      <c r="W357" s="68">
        <v>0</v>
      </c>
      <c r="X357" s="68">
        <v>0</v>
      </c>
      <c r="Y357" s="68">
        <v>0</v>
      </c>
      <c r="Z357" s="68">
        <v>0</v>
      </c>
      <c r="AA357" s="68">
        <v>0</v>
      </c>
      <c r="AB357" s="68">
        <v>70327.7</v>
      </c>
      <c r="AC357" s="68">
        <v>0</v>
      </c>
    </row>
    <row r="358" spans="1:29" x14ac:dyDescent="0.55000000000000004">
      <c r="A358" s="49" t="s">
        <v>816</v>
      </c>
      <c r="B358" s="49" t="s">
        <v>817</v>
      </c>
      <c r="C358" s="49" t="s">
        <v>510</v>
      </c>
      <c r="D358" s="49" t="s">
        <v>147</v>
      </c>
      <c r="E358" s="68">
        <v>0</v>
      </c>
      <c r="F358" s="68">
        <v>0</v>
      </c>
      <c r="G358" s="68">
        <v>0</v>
      </c>
      <c r="H358" s="68">
        <v>0</v>
      </c>
      <c r="I358" s="68">
        <v>0</v>
      </c>
      <c r="J358" s="68">
        <v>0</v>
      </c>
      <c r="K358" s="68">
        <v>0</v>
      </c>
      <c r="L358" s="68">
        <v>0</v>
      </c>
      <c r="M358" s="68">
        <v>0</v>
      </c>
      <c r="N358" s="68">
        <v>0</v>
      </c>
      <c r="O358" s="68">
        <v>0</v>
      </c>
      <c r="P358" s="96">
        <v>0</v>
      </c>
      <c r="Q358" s="68">
        <v>0</v>
      </c>
      <c r="R358" s="68">
        <v>0</v>
      </c>
      <c r="S358" s="68">
        <v>0</v>
      </c>
      <c r="T358" s="68">
        <v>0</v>
      </c>
      <c r="U358" s="68">
        <v>0</v>
      </c>
      <c r="V358" s="68">
        <v>0</v>
      </c>
      <c r="W358" s="68">
        <v>0</v>
      </c>
      <c r="X358" s="68">
        <v>0</v>
      </c>
      <c r="Y358" s="68">
        <v>0</v>
      </c>
      <c r="Z358" s="68">
        <v>0</v>
      </c>
      <c r="AA358" s="68">
        <v>0</v>
      </c>
      <c r="AB358" s="68">
        <v>5828.45</v>
      </c>
      <c r="AC358" s="68">
        <v>0</v>
      </c>
    </row>
    <row r="359" spans="1:29" x14ac:dyDescent="0.55000000000000004">
      <c r="A359" s="49" t="s">
        <v>818</v>
      </c>
      <c r="B359" s="49" t="s">
        <v>819</v>
      </c>
      <c r="C359" s="49" t="s">
        <v>510</v>
      </c>
      <c r="D359" s="49" t="s">
        <v>147</v>
      </c>
      <c r="E359" s="68">
        <v>0</v>
      </c>
      <c r="F359" s="68">
        <v>0</v>
      </c>
      <c r="G359" s="68">
        <v>0</v>
      </c>
      <c r="H359" s="68">
        <v>0</v>
      </c>
      <c r="I359" s="68">
        <v>0</v>
      </c>
      <c r="J359" s="68">
        <v>0</v>
      </c>
      <c r="K359" s="68">
        <v>0</v>
      </c>
      <c r="L359" s="68">
        <v>0</v>
      </c>
      <c r="M359" s="68">
        <v>0</v>
      </c>
      <c r="N359" s="68">
        <v>0</v>
      </c>
      <c r="O359" s="68">
        <v>0</v>
      </c>
      <c r="P359" s="96">
        <v>0</v>
      </c>
      <c r="Q359" s="68">
        <v>0</v>
      </c>
      <c r="R359" s="68">
        <v>0</v>
      </c>
      <c r="S359" s="68">
        <v>0</v>
      </c>
      <c r="T359" s="68">
        <v>0</v>
      </c>
      <c r="U359" s="68">
        <v>0</v>
      </c>
      <c r="V359" s="68">
        <v>0</v>
      </c>
      <c r="W359" s="68">
        <v>0</v>
      </c>
      <c r="X359" s="68">
        <v>0</v>
      </c>
      <c r="Y359" s="68">
        <v>0</v>
      </c>
      <c r="Z359" s="68">
        <v>0</v>
      </c>
      <c r="AA359" s="68">
        <v>0</v>
      </c>
      <c r="AB359" s="68">
        <v>4825.4399999999996</v>
      </c>
      <c r="AC359" s="68">
        <v>0</v>
      </c>
    </row>
    <row r="360" spans="1:29" x14ac:dyDescent="0.55000000000000004">
      <c r="A360" s="49" t="s">
        <v>820</v>
      </c>
      <c r="B360" s="49" t="s">
        <v>821</v>
      </c>
      <c r="C360" s="49" t="s">
        <v>510</v>
      </c>
      <c r="D360" s="49" t="s">
        <v>147</v>
      </c>
      <c r="E360" s="68">
        <v>0</v>
      </c>
      <c r="F360" s="68">
        <v>0</v>
      </c>
      <c r="G360" s="68">
        <v>0</v>
      </c>
      <c r="H360" s="68">
        <v>0</v>
      </c>
      <c r="I360" s="68">
        <v>0</v>
      </c>
      <c r="J360" s="68">
        <v>0</v>
      </c>
      <c r="K360" s="68">
        <v>0</v>
      </c>
      <c r="L360" s="68">
        <v>0</v>
      </c>
      <c r="M360" s="68">
        <v>0</v>
      </c>
      <c r="N360" s="68">
        <v>0</v>
      </c>
      <c r="O360" s="68">
        <v>0</v>
      </c>
      <c r="P360" s="96">
        <v>0</v>
      </c>
      <c r="Q360" s="68">
        <v>0</v>
      </c>
      <c r="R360" s="68">
        <v>0</v>
      </c>
      <c r="S360" s="68">
        <v>0</v>
      </c>
      <c r="T360" s="68">
        <v>0</v>
      </c>
      <c r="U360" s="68">
        <v>0</v>
      </c>
      <c r="V360" s="68">
        <v>0</v>
      </c>
      <c r="W360" s="68">
        <v>0</v>
      </c>
      <c r="X360" s="68">
        <v>0</v>
      </c>
      <c r="Y360" s="68">
        <v>0</v>
      </c>
      <c r="Z360" s="68">
        <v>0</v>
      </c>
      <c r="AA360" s="68">
        <v>0</v>
      </c>
      <c r="AB360" s="68">
        <v>4778.53</v>
      </c>
      <c r="AC360" s="68">
        <v>0</v>
      </c>
    </row>
    <row r="361" spans="1:29" x14ac:dyDescent="0.55000000000000004">
      <c r="A361" s="49" t="s">
        <v>950</v>
      </c>
      <c r="B361" s="49" t="s">
        <v>951</v>
      </c>
      <c r="C361" s="49" t="s">
        <v>510</v>
      </c>
      <c r="D361" s="49" t="s">
        <v>147</v>
      </c>
      <c r="E361" s="68">
        <v>0</v>
      </c>
      <c r="F361" s="68">
        <v>0</v>
      </c>
      <c r="G361" s="68">
        <v>0</v>
      </c>
      <c r="H361" s="68">
        <v>0</v>
      </c>
      <c r="I361" s="68">
        <v>0</v>
      </c>
      <c r="J361" s="68">
        <v>0</v>
      </c>
      <c r="K361" s="68">
        <v>0</v>
      </c>
      <c r="L361" s="68">
        <v>0</v>
      </c>
      <c r="M361" s="68">
        <v>0</v>
      </c>
      <c r="N361" s="68">
        <v>0</v>
      </c>
      <c r="O361" s="68">
        <v>0</v>
      </c>
      <c r="P361" s="96">
        <v>0</v>
      </c>
      <c r="Q361" s="68">
        <v>0</v>
      </c>
      <c r="R361" s="68">
        <v>0</v>
      </c>
      <c r="S361" s="68">
        <v>0</v>
      </c>
      <c r="T361" s="68">
        <v>0</v>
      </c>
      <c r="U361" s="68">
        <v>0</v>
      </c>
      <c r="V361" s="68">
        <v>0</v>
      </c>
      <c r="W361" s="68">
        <v>0</v>
      </c>
      <c r="X361" s="68">
        <v>0</v>
      </c>
      <c r="Y361" s="68">
        <v>0</v>
      </c>
      <c r="Z361" s="68">
        <v>0</v>
      </c>
      <c r="AA361" s="68">
        <v>0</v>
      </c>
      <c r="AB361" s="68">
        <v>700.39</v>
      </c>
      <c r="AC361" s="68">
        <v>0</v>
      </c>
    </row>
    <row r="362" spans="1:29" x14ac:dyDescent="0.55000000000000004">
      <c r="A362" s="49" t="s">
        <v>921</v>
      </c>
      <c r="B362" s="49" t="s">
        <v>922</v>
      </c>
      <c r="C362" s="49" t="s">
        <v>510</v>
      </c>
      <c r="D362" s="49" t="s">
        <v>147</v>
      </c>
      <c r="E362" s="68">
        <v>0</v>
      </c>
      <c r="F362" s="68">
        <v>0</v>
      </c>
      <c r="G362" s="68">
        <v>0</v>
      </c>
      <c r="H362" s="68">
        <v>0</v>
      </c>
      <c r="I362" s="68">
        <v>0</v>
      </c>
      <c r="J362" s="68">
        <v>0</v>
      </c>
      <c r="K362" s="68">
        <v>0</v>
      </c>
      <c r="L362" s="68">
        <v>0</v>
      </c>
      <c r="M362" s="68">
        <v>0</v>
      </c>
      <c r="N362" s="68">
        <v>0</v>
      </c>
      <c r="O362" s="68">
        <v>0</v>
      </c>
      <c r="P362" s="96">
        <v>0</v>
      </c>
      <c r="Q362" s="68">
        <v>0</v>
      </c>
      <c r="R362" s="68">
        <v>0</v>
      </c>
      <c r="S362" s="68">
        <v>0</v>
      </c>
      <c r="T362" s="68">
        <v>0</v>
      </c>
      <c r="U362" s="68">
        <v>0</v>
      </c>
      <c r="V362" s="68">
        <v>0</v>
      </c>
      <c r="W362" s="68">
        <v>0</v>
      </c>
      <c r="X362" s="68">
        <v>0</v>
      </c>
      <c r="Y362" s="68">
        <v>0</v>
      </c>
      <c r="Z362" s="68">
        <v>0</v>
      </c>
      <c r="AA362" s="68">
        <v>0</v>
      </c>
      <c r="AB362" s="68">
        <v>500.55</v>
      </c>
      <c r="AC362" s="68">
        <v>0</v>
      </c>
    </row>
    <row r="363" spans="1:29" x14ac:dyDescent="0.55000000000000004">
      <c r="A363" s="49" t="s">
        <v>822</v>
      </c>
      <c r="B363" s="49" t="s">
        <v>823</v>
      </c>
      <c r="C363" s="49" t="s">
        <v>510</v>
      </c>
      <c r="D363" s="49" t="s">
        <v>147</v>
      </c>
      <c r="E363" s="68">
        <v>1512.6</v>
      </c>
      <c r="F363" s="68">
        <v>3412.4</v>
      </c>
      <c r="G363" s="68">
        <v>8829.69</v>
      </c>
      <c r="H363" s="68">
        <v>280.95</v>
      </c>
      <c r="I363" s="68">
        <v>4391.5</v>
      </c>
      <c r="J363" s="68">
        <v>3922.34</v>
      </c>
      <c r="K363" s="68">
        <v>1734.52</v>
      </c>
      <c r="L363" s="68">
        <v>5109.79</v>
      </c>
      <c r="M363" s="68">
        <v>2632.15</v>
      </c>
      <c r="N363" s="68">
        <v>2161</v>
      </c>
      <c r="O363" s="68">
        <v>-8357.48</v>
      </c>
      <c r="P363" s="96">
        <v>7624.57</v>
      </c>
      <c r="Q363" s="68">
        <v>12513.53</v>
      </c>
      <c r="R363" s="68">
        <v>1550.09</v>
      </c>
      <c r="S363" s="68">
        <v>4233.4399999999996</v>
      </c>
      <c r="T363" s="68">
        <v>2138.64</v>
      </c>
      <c r="U363" s="68">
        <v>5248.14</v>
      </c>
      <c r="V363" s="68">
        <v>993</v>
      </c>
      <c r="W363" s="68">
        <v>6370.6</v>
      </c>
      <c r="X363" s="68">
        <v>204.6</v>
      </c>
      <c r="Y363" s="68">
        <v>3791.53</v>
      </c>
      <c r="Z363" s="68">
        <v>9207.2199999999993</v>
      </c>
      <c r="AA363" s="68">
        <v>0</v>
      </c>
      <c r="AB363" s="68">
        <v>34912.53</v>
      </c>
      <c r="AC363" s="68">
        <v>0</v>
      </c>
    </row>
    <row r="364" spans="1:29" x14ac:dyDescent="0.55000000000000004">
      <c r="A364" s="49" t="s">
        <v>927</v>
      </c>
      <c r="B364" s="49" t="s">
        <v>928</v>
      </c>
      <c r="C364" s="49" t="s">
        <v>826</v>
      </c>
      <c r="D364" s="49" t="s">
        <v>523</v>
      </c>
      <c r="E364" s="68">
        <v>0</v>
      </c>
      <c r="F364" s="68">
        <v>0</v>
      </c>
      <c r="G364" s="68">
        <v>0</v>
      </c>
      <c r="H364" s="68">
        <v>0</v>
      </c>
      <c r="I364" s="68">
        <v>0</v>
      </c>
      <c r="J364" s="68">
        <v>5000</v>
      </c>
      <c r="K364" s="68">
        <v>0</v>
      </c>
      <c r="L364" s="68">
        <v>0</v>
      </c>
      <c r="M364" s="68">
        <v>0</v>
      </c>
      <c r="N364" s="68">
        <v>10417.74</v>
      </c>
      <c r="O364" s="68">
        <v>0</v>
      </c>
      <c r="P364" s="96">
        <v>0</v>
      </c>
      <c r="Q364" s="68">
        <v>0</v>
      </c>
      <c r="R364" s="68">
        <v>0</v>
      </c>
      <c r="S364" s="68">
        <v>0</v>
      </c>
      <c r="T364" s="68">
        <v>0</v>
      </c>
      <c r="U364" s="68">
        <v>0</v>
      </c>
      <c r="V364" s="68">
        <v>0</v>
      </c>
      <c r="W364" s="68">
        <v>9313.7000000000007</v>
      </c>
      <c r="X364" s="68">
        <v>0</v>
      </c>
      <c r="Y364" s="68">
        <v>0</v>
      </c>
      <c r="Z364" s="68">
        <v>0</v>
      </c>
      <c r="AA364" s="68">
        <v>0</v>
      </c>
      <c r="AB364" s="68">
        <v>4853.5200000000004</v>
      </c>
      <c r="AC364" s="68">
        <v>0</v>
      </c>
    </row>
    <row r="365" spans="1:29" x14ac:dyDescent="0.55000000000000004">
      <c r="A365" s="49" t="s">
        <v>824</v>
      </c>
      <c r="B365" s="49" t="s">
        <v>825</v>
      </c>
      <c r="C365" s="49" t="s">
        <v>826</v>
      </c>
      <c r="D365" s="49" t="s">
        <v>523</v>
      </c>
      <c r="E365" s="68">
        <v>67259.350000000006</v>
      </c>
      <c r="F365" s="68">
        <v>29707.81</v>
      </c>
      <c r="G365" s="68">
        <v>62575.35</v>
      </c>
      <c r="H365" s="68">
        <v>35923.14</v>
      </c>
      <c r="I365" s="68">
        <v>37178.589999999997</v>
      </c>
      <c r="J365" s="68">
        <v>64056.12</v>
      </c>
      <c r="K365" s="68">
        <v>51131.63</v>
      </c>
      <c r="L365" s="68">
        <v>46955.06</v>
      </c>
      <c r="M365" s="68">
        <v>52575.85</v>
      </c>
      <c r="N365" s="68">
        <v>46771.23</v>
      </c>
      <c r="O365" s="68">
        <v>30050.44</v>
      </c>
      <c r="P365" s="96">
        <v>57901.9</v>
      </c>
      <c r="Q365" s="68">
        <v>15865.25</v>
      </c>
      <c r="R365" s="68">
        <v>42268.800000000003</v>
      </c>
      <c r="S365" s="68">
        <v>44367.360000000001</v>
      </c>
      <c r="T365" s="68">
        <v>54248.27</v>
      </c>
      <c r="U365" s="68">
        <v>67100.17</v>
      </c>
      <c r="V365" s="68">
        <v>53340.89</v>
      </c>
      <c r="W365" s="68">
        <v>44124.35</v>
      </c>
      <c r="X365" s="68">
        <v>0</v>
      </c>
      <c r="Y365" s="68">
        <v>0</v>
      </c>
      <c r="Z365" s="68">
        <v>57800.58</v>
      </c>
      <c r="AA365" s="68">
        <v>0</v>
      </c>
      <c r="AB365" s="68">
        <v>69222.62</v>
      </c>
      <c r="AC365" s="68">
        <v>0</v>
      </c>
    </row>
    <row r="366" spans="1:29" x14ac:dyDescent="0.55000000000000004">
      <c r="A366" s="49" t="s">
        <v>827</v>
      </c>
      <c r="B366" s="49" t="s">
        <v>828</v>
      </c>
      <c r="C366" s="49" t="s">
        <v>826</v>
      </c>
      <c r="D366" s="49" t="s">
        <v>523</v>
      </c>
      <c r="E366" s="68">
        <v>5409.68</v>
      </c>
      <c r="F366" s="68">
        <v>2577.5</v>
      </c>
      <c r="G366" s="68">
        <v>5389.3</v>
      </c>
      <c r="H366" s="68">
        <v>2845.42</v>
      </c>
      <c r="I366" s="68">
        <v>3425.66</v>
      </c>
      <c r="J366" s="68">
        <v>5116.6000000000004</v>
      </c>
      <c r="K366" s="68">
        <v>3780.97</v>
      </c>
      <c r="L366" s="68">
        <v>3477.78</v>
      </c>
      <c r="M366" s="68">
        <v>4175.28</v>
      </c>
      <c r="N366" s="68">
        <v>3737.29</v>
      </c>
      <c r="O366" s="68">
        <v>2874.42</v>
      </c>
      <c r="P366" s="96">
        <v>4698.54</v>
      </c>
      <c r="Q366" s="68">
        <v>1418.57</v>
      </c>
      <c r="R366" s="68">
        <v>3288.89</v>
      </c>
      <c r="S366" s="68">
        <v>3415.37</v>
      </c>
      <c r="T366" s="68">
        <v>4354.3</v>
      </c>
      <c r="U366" s="68">
        <v>5554.25</v>
      </c>
      <c r="V366" s="68">
        <v>4019.67</v>
      </c>
      <c r="W366" s="68">
        <v>3339.41</v>
      </c>
      <c r="X366" s="68">
        <v>0</v>
      </c>
      <c r="Y366" s="68">
        <v>0</v>
      </c>
      <c r="Z366" s="68">
        <v>5704.99</v>
      </c>
      <c r="AA366" s="68">
        <v>0</v>
      </c>
      <c r="AB366" s="68">
        <v>5752.41</v>
      </c>
      <c r="AC366" s="68">
        <v>0</v>
      </c>
    </row>
    <row r="367" spans="1:29" x14ac:dyDescent="0.55000000000000004">
      <c r="A367" s="49" t="s">
        <v>829</v>
      </c>
      <c r="B367" s="49" t="s">
        <v>830</v>
      </c>
      <c r="C367" s="49" t="s">
        <v>826</v>
      </c>
      <c r="D367" s="49" t="s">
        <v>523</v>
      </c>
      <c r="E367" s="68">
        <v>3660.43</v>
      </c>
      <c r="F367" s="68">
        <v>996.81</v>
      </c>
      <c r="G367" s="68">
        <v>8577.9</v>
      </c>
      <c r="H367" s="68">
        <v>3404.63</v>
      </c>
      <c r="I367" s="68">
        <v>8713.19</v>
      </c>
      <c r="J367" s="68">
        <v>8044.92</v>
      </c>
      <c r="K367" s="68">
        <v>979.18</v>
      </c>
      <c r="L367" s="68">
        <v>653.47</v>
      </c>
      <c r="M367" s="68">
        <v>3850.95</v>
      </c>
      <c r="N367" s="68">
        <v>3382.01</v>
      </c>
      <c r="O367" s="68">
        <v>5703.21</v>
      </c>
      <c r="P367" s="96">
        <v>4333.57</v>
      </c>
      <c r="Q367" s="68">
        <v>2760.42</v>
      </c>
      <c r="R367" s="68">
        <v>1870.39</v>
      </c>
      <c r="S367" s="68">
        <v>2863.99</v>
      </c>
      <c r="T367" s="68">
        <v>6038.99</v>
      </c>
      <c r="U367" s="68">
        <v>7762.45</v>
      </c>
      <c r="V367" s="68">
        <v>1490.14</v>
      </c>
      <c r="W367" s="68">
        <v>1633.53</v>
      </c>
      <c r="X367" s="68">
        <v>0</v>
      </c>
      <c r="Y367" s="68">
        <v>0</v>
      </c>
      <c r="Z367" s="68">
        <v>10446.81</v>
      </c>
      <c r="AA367" s="68">
        <v>0</v>
      </c>
      <c r="AB367" s="68">
        <v>4363.3100000000004</v>
      </c>
      <c r="AC367" s="68">
        <v>0</v>
      </c>
    </row>
    <row r="368" spans="1:29" x14ac:dyDescent="0.55000000000000004">
      <c r="A368" s="49" t="s">
        <v>831</v>
      </c>
      <c r="B368" s="49" t="s">
        <v>832</v>
      </c>
      <c r="C368" s="49" t="s">
        <v>826</v>
      </c>
      <c r="D368" s="49" t="s">
        <v>523</v>
      </c>
      <c r="E368" s="68">
        <v>990.26</v>
      </c>
      <c r="F368" s="68">
        <v>413.22</v>
      </c>
      <c r="G368" s="68">
        <v>1133.79</v>
      </c>
      <c r="H368" s="68">
        <v>1067.69</v>
      </c>
      <c r="I368" s="68">
        <v>1362.89</v>
      </c>
      <c r="J368" s="68">
        <v>2183.9699999999998</v>
      </c>
      <c r="K368" s="68">
        <v>1713.05</v>
      </c>
      <c r="L368" s="68">
        <v>2035.07</v>
      </c>
      <c r="M368" s="68">
        <v>1876.56</v>
      </c>
      <c r="N368" s="68">
        <v>288.98</v>
      </c>
      <c r="O368" s="68">
        <v>1926.42</v>
      </c>
      <c r="P368" s="96">
        <v>930.67</v>
      </c>
      <c r="Q368" s="68">
        <v>2202.3000000000002</v>
      </c>
      <c r="R368" s="68">
        <v>2040.13</v>
      </c>
      <c r="S368" s="68">
        <v>2631.44</v>
      </c>
      <c r="T368" s="68">
        <v>4560.8500000000004</v>
      </c>
      <c r="U368" s="68">
        <v>2776.56</v>
      </c>
      <c r="V368" s="68">
        <v>2121.56</v>
      </c>
      <c r="W368" s="68">
        <v>5418.76</v>
      </c>
      <c r="X368" s="68">
        <v>0</v>
      </c>
      <c r="Y368" s="68">
        <v>0</v>
      </c>
      <c r="Z368" s="68">
        <v>1107.48</v>
      </c>
      <c r="AA368" s="68">
        <v>0</v>
      </c>
      <c r="AB368" s="68">
        <v>8522.7999999999993</v>
      </c>
      <c r="AC368" s="68">
        <v>0</v>
      </c>
    </row>
    <row r="369" spans="1:29" x14ac:dyDescent="0.55000000000000004">
      <c r="A369" s="49" t="s">
        <v>833</v>
      </c>
      <c r="B369" s="49" t="s">
        <v>834</v>
      </c>
      <c r="C369" s="49" t="s">
        <v>826</v>
      </c>
      <c r="D369" s="49" t="s">
        <v>523</v>
      </c>
      <c r="E369" s="68">
        <v>659.07</v>
      </c>
      <c r="F369" s="68">
        <v>288.56</v>
      </c>
      <c r="G369" s="68">
        <v>665.17</v>
      </c>
      <c r="H369" s="68">
        <v>362.93</v>
      </c>
      <c r="I369" s="68">
        <v>429.07</v>
      </c>
      <c r="J369" s="68">
        <v>649.14</v>
      </c>
      <c r="K369" s="68">
        <v>483.03</v>
      </c>
      <c r="L369" s="68">
        <v>441.38</v>
      </c>
      <c r="M369" s="68">
        <v>522.15</v>
      </c>
      <c r="N369" s="68">
        <v>454.53</v>
      </c>
      <c r="O369" s="68">
        <v>339.09</v>
      </c>
      <c r="P369" s="96">
        <v>575.59</v>
      </c>
      <c r="Q369" s="68">
        <v>172.17</v>
      </c>
      <c r="R369" s="68">
        <v>412.09</v>
      </c>
      <c r="S369" s="68">
        <v>438.5</v>
      </c>
      <c r="T369" s="68">
        <v>560.13</v>
      </c>
      <c r="U369" s="68">
        <v>701.21</v>
      </c>
      <c r="V369" s="68">
        <v>501.4</v>
      </c>
      <c r="W369" s="68">
        <v>421.47</v>
      </c>
      <c r="X369" s="68">
        <v>0</v>
      </c>
      <c r="Y369" s="68">
        <v>0</v>
      </c>
      <c r="Z369" s="68">
        <v>894.98</v>
      </c>
      <c r="AA369" s="68">
        <v>0</v>
      </c>
      <c r="AB369" s="68">
        <v>680.25</v>
      </c>
      <c r="AC369" s="68">
        <v>0</v>
      </c>
    </row>
    <row r="370" spans="1:29" x14ac:dyDescent="0.55000000000000004">
      <c r="A370" s="49" t="s">
        <v>835</v>
      </c>
      <c r="B370" s="49" t="s">
        <v>836</v>
      </c>
      <c r="C370" s="49" t="s">
        <v>826</v>
      </c>
      <c r="D370" s="49" t="s">
        <v>147</v>
      </c>
      <c r="E370" s="68">
        <v>0</v>
      </c>
      <c r="F370" s="68">
        <v>7871.75</v>
      </c>
      <c r="G370" s="68">
        <v>0</v>
      </c>
      <c r="H370" s="68">
        <v>1590</v>
      </c>
      <c r="I370" s="68">
        <v>2826</v>
      </c>
      <c r="J370" s="68">
        <v>0</v>
      </c>
      <c r="K370" s="68">
        <v>7290.09</v>
      </c>
      <c r="L370" s="68">
        <v>0</v>
      </c>
      <c r="M370" s="68">
        <v>0</v>
      </c>
      <c r="N370" s="68">
        <v>2964.25</v>
      </c>
      <c r="O370" s="68">
        <v>0</v>
      </c>
      <c r="P370" s="96">
        <v>0</v>
      </c>
      <c r="Q370" s="68">
        <v>3380</v>
      </c>
      <c r="R370" s="68">
        <v>5297.51</v>
      </c>
      <c r="S370" s="68">
        <v>5280</v>
      </c>
      <c r="T370" s="68">
        <v>0</v>
      </c>
      <c r="U370" s="68">
        <v>14753.25</v>
      </c>
      <c r="V370" s="68">
        <v>0</v>
      </c>
      <c r="W370" s="68">
        <v>0</v>
      </c>
      <c r="X370" s="68">
        <v>51699.58</v>
      </c>
      <c r="Y370" s="68">
        <v>62564.91</v>
      </c>
      <c r="Z370" s="68">
        <v>0</v>
      </c>
      <c r="AA370" s="68">
        <v>41077.839999999997</v>
      </c>
      <c r="AB370" s="68">
        <v>637.5</v>
      </c>
      <c r="AC370" s="68">
        <v>0</v>
      </c>
    </row>
    <row r="371" spans="1:29" x14ac:dyDescent="0.55000000000000004">
      <c r="A371" s="49" t="s">
        <v>837</v>
      </c>
      <c r="B371" s="49" t="s">
        <v>838</v>
      </c>
      <c r="C371" s="49" t="s">
        <v>839</v>
      </c>
      <c r="D371" s="49" t="s">
        <v>147</v>
      </c>
      <c r="E371" s="68">
        <v>40966.22</v>
      </c>
      <c r="F371" s="68">
        <v>29051.27</v>
      </c>
      <c r="G371" s="68">
        <v>35868.25</v>
      </c>
      <c r="H371" s="68">
        <v>14234.31</v>
      </c>
      <c r="I371" s="68">
        <v>21585.24</v>
      </c>
      <c r="J371" s="68">
        <v>29542.66</v>
      </c>
      <c r="K371" s="68">
        <v>25723.1</v>
      </c>
      <c r="L371" s="68">
        <v>29959.9</v>
      </c>
      <c r="M371" s="68">
        <v>36980.46</v>
      </c>
      <c r="N371" s="68">
        <v>41063.589999999997</v>
      </c>
      <c r="O371" s="68">
        <v>16261.88</v>
      </c>
      <c r="P371" s="96">
        <v>40494.18</v>
      </c>
      <c r="Q371" s="68">
        <v>10679.01</v>
      </c>
      <c r="R371" s="68">
        <v>17176.39</v>
      </c>
      <c r="S371" s="68">
        <v>29328.48</v>
      </c>
      <c r="T371" s="68">
        <v>18565.27</v>
      </c>
      <c r="U371" s="68">
        <v>37823.949999999997</v>
      </c>
      <c r="V371" s="68">
        <v>22869.97</v>
      </c>
      <c r="W371" s="68">
        <v>10359.040000000001</v>
      </c>
      <c r="X371" s="68">
        <v>17376.72</v>
      </c>
      <c r="Y371" s="68">
        <v>13274.01</v>
      </c>
      <c r="Z371" s="68">
        <v>18877.2</v>
      </c>
      <c r="AA371" s="68">
        <v>23811.72</v>
      </c>
      <c r="AB371" s="68">
        <v>23284.54</v>
      </c>
      <c r="AC371" s="68">
        <v>0</v>
      </c>
    </row>
    <row r="372" spans="1:29" x14ac:dyDescent="0.55000000000000004">
      <c r="A372" s="49" t="s">
        <v>840</v>
      </c>
      <c r="B372" s="49" t="s">
        <v>841</v>
      </c>
      <c r="C372" s="49" t="s">
        <v>839</v>
      </c>
      <c r="D372" s="49" t="s">
        <v>147</v>
      </c>
      <c r="E372" s="68">
        <v>573.5</v>
      </c>
      <c r="F372" s="68">
        <v>2621</v>
      </c>
      <c r="G372" s="68">
        <v>2024.5</v>
      </c>
      <c r="H372" s="68">
        <v>0</v>
      </c>
      <c r="I372" s="68">
        <v>0</v>
      </c>
      <c r="J372" s="68">
        <v>0</v>
      </c>
      <c r="K372" s="68">
        <v>0</v>
      </c>
      <c r="L372" s="68">
        <v>2171</v>
      </c>
      <c r="M372" s="68">
        <v>0</v>
      </c>
      <c r="N372" s="68">
        <v>0</v>
      </c>
      <c r="O372" s="68">
        <v>1173</v>
      </c>
      <c r="P372" s="96">
        <v>1851.5</v>
      </c>
      <c r="Q372" s="68">
        <v>248</v>
      </c>
      <c r="R372" s="68">
        <v>124</v>
      </c>
      <c r="S372" s="68">
        <v>1238.46</v>
      </c>
      <c r="T372" s="68">
        <v>-1017.8</v>
      </c>
      <c r="U372" s="68">
        <v>36</v>
      </c>
      <c r="V372" s="68">
        <v>0</v>
      </c>
      <c r="W372" s="68">
        <v>2245</v>
      </c>
      <c r="X372" s="68">
        <v>0</v>
      </c>
      <c r="Y372" s="68">
        <v>1238.5</v>
      </c>
      <c r="Z372" s="68">
        <v>0</v>
      </c>
      <c r="AA372" s="68">
        <v>0</v>
      </c>
      <c r="AB372" s="68">
        <v>6922</v>
      </c>
      <c r="AC372" s="68">
        <v>0</v>
      </c>
    </row>
    <row r="373" spans="1:29" x14ac:dyDescent="0.55000000000000004">
      <c r="A373" s="49" t="s">
        <v>842</v>
      </c>
      <c r="B373" s="49" t="s">
        <v>843</v>
      </c>
      <c r="C373" s="49" t="s">
        <v>510</v>
      </c>
      <c r="D373" s="49" t="s">
        <v>147</v>
      </c>
      <c r="E373" s="68">
        <v>5134.16</v>
      </c>
      <c r="F373" s="68">
        <v>3275.05</v>
      </c>
      <c r="G373" s="68">
        <v>2535.9699999999998</v>
      </c>
      <c r="H373" s="68">
        <v>2238.1999999999998</v>
      </c>
      <c r="I373" s="68">
        <v>3159</v>
      </c>
      <c r="J373" s="68">
        <v>6001.31</v>
      </c>
      <c r="K373" s="68">
        <v>3907</v>
      </c>
      <c r="L373" s="68">
        <v>3088.1</v>
      </c>
      <c r="M373" s="68">
        <v>6196.33</v>
      </c>
      <c r="N373" s="68">
        <v>6706.97</v>
      </c>
      <c r="O373" s="68">
        <v>3242</v>
      </c>
      <c r="P373" s="96">
        <v>6689</v>
      </c>
      <c r="Q373" s="68">
        <v>5826.71</v>
      </c>
      <c r="R373" s="68">
        <v>5302.2</v>
      </c>
      <c r="S373" s="68">
        <v>6424.05</v>
      </c>
      <c r="T373" s="68">
        <v>1771.91</v>
      </c>
      <c r="U373" s="68">
        <v>11004.64</v>
      </c>
      <c r="V373" s="68">
        <v>6086.17</v>
      </c>
      <c r="W373" s="68">
        <v>2072.7399999999998</v>
      </c>
      <c r="X373" s="68">
        <v>2168.71</v>
      </c>
      <c r="Y373" s="68">
        <v>1658.87</v>
      </c>
      <c r="Z373" s="68">
        <v>2393.54</v>
      </c>
      <c r="AA373" s="68">
        <v>1620.71</v>
      </c>
      <c r="AB373" s="68">
        <v>11320.41</v>
      </c>
      <c r="AC373" s="68">
        <v>0</v>
      </c>
    </row>
    <row r="374" spans="1:29" x14ac:dyDescent="0.55000000000000004">
      <c r="A374" s="49" t="s">
        <v>844</v>
      </c>
      <c r="B374" s="49" t="s">
        <v>845</v>
      </c>
      <c r="C374" s="49" t="s">
        <v>510</v>
      </c>
      <c r="D374" s="49" t="s">
        <v>147</v>
      </c>
      <c r="E374" s="68">
        <v>4420</v>
      </c>
      <c r="F374" s="68">
        <v>1590</v>
      </c>
      <c r="G374" s="68">
        <v>4800</v>
      </c>
      <c r="H374" s="68">
        <v>2320</v>
      </c>
      <c r="I374" s="68">
        <v>3450</v>
      </c>
      <c r="J374" s="68">
        <v>6910</v>
      </c>
      <c r="K374" s="68">
        <v>5700</v>
      </c>
      <c r="L374" s="68">
        <v>4423.6499999999996</v>
      </c>
      <c r="M374" s="68">
        <v>4400.63</v>
      </c>
      <c r="N374" s="68">
        <v>5510</v>
      </c>
      <c r="O374" s="68">
        <v>3540</v>
      </c>
      <c r="P374" s="96">
        <v>6530</v>
      </c>
      <c r="Q374" s="68">
        <v>3113.12</v>
      </c>
      <c r="R374" s="68">
        <v>1904.07</v>
      </c>
      <c r="S374" s="68">
        <v>3812.79</v>
      </c>
      <c r="T374" s="68">
        <v>2487.5300000000002</v>
      </c>
      <c r="U374" s="68">
        <v>50</v>
      </c>
      <c r="V374" s="68">
        <v>2914.66</v>
      </c>
      <c r="W374" s="68">
        <v>601.15</v>
      </c>
      <c r="X374" s="68">
        <v>2069.3000000000002</v>
      </c>
      <c r="Y374" s="68">
        <v>2874.6</v>
      </c>
      <c r="Z374" s="68">
        <v>1580.16</v>
      </c>
      <c r="AA374" s="68">
        <v>1541.42</v>
      </c>
      <c r="AB374" s="68">
        <v>7570</v>
      </c>
      <c r="AC374" s="68">
        <v>0</v>
      </c>
    </row>
    <row r="375" spans="1:29" x14ac:dyDescent="0.55000000000000004">
      <c r="A375" s="49" t="s">
        <v>846</v>
      </c>
      <c r="B375" s="49" t="s">
        <v>847</v>
      </c>
      <c r="C375" s="49" t="s">
        <v>826</v>
      </c>
      <c r="D375" s="49" t="s">
        <v>523</v>
      </c>
      <c r="E375" s="68">
        <v>44696.3</v>
      </c>
      <c r="F375" s="68">
        <v>43350.55</v>
      </c>
      <c r="G375" s="68">
        <v>44452.59</v>
      </c>
      <c r="H375" s="68">
        <v>28161.119999999999</v>
      </c>
      <c r="I375" s="68">
        <v>34997.22</v>
      </c>
      <c r="J375" s="68">
        <v>49296.7</v>
      </c>
      <c r="K375" s="68">
        <v>39443.21</v>
      </c>
      <c r="L375" s="68">
        <v>45635.33</v>
      </c>
      <c r="M375" s="68">
        <v>41612</v>
      </c>
      <c r="N375" s="68">
        <v>39732.230000000003</v>
      </c>
      <c r="O375" s="68">
        <v>37254.44</v>
      </c>
      <c r="P375" s="96">
        <v>70577.27</v>
      </c>
      <c r="Q375" s="68">
        <v>17151.18</v>
      </c>
      <c r="R375" s="68">
        <v>30227.84</v>
      </c>
      <c r="S375" s="68">
        <v>27006.21</v>
      </c>
      <c r="T375" s="68">
        <v>33474.03</v>
      </c>
      <c r="U375" s="68">
        <v>73366.62</v>
      </c>
      <c r="V375" s="68">
        <v>40460.29</v>
      </c>
      <c r="W375" s="68">
        <v>14219.04</v>
      </c>
      <c r="X375" s="68">
        <v>0</v>
      </c>
      <c r="Y375" s="68">
        <v>0</v>
      </c>
      <c r="Z375" s="68">
        <v>42325.88</v>
      </c>
      <c r="AA375" s="68">
        <v>0</v>
      </c>
      <c r="AB375" s="68">
        <v>36407.96</v>
      </c>
      <c r="AC375" s="68">
        <v>0</v>
      </c>
    </row>
    <row r="376" spans="1:29" x14ac:dyDescent="0.55000000000000004">
      <c r="A376" s="49" t="s">
        <v>848</v>
      </c>
      <c r="B376" s="49" t="s">
        <v>849</v>
      </c>
      <c r="C376" s="49" t="s">
        <v>826</v>
      </c>
      <c r="D376" s="49" t="s">
        <v>523</v>
      </c>
      <c r="E376" s="68">
        <v>3483.71</v>
      </c>
      <c r="F376" s="68">
        <v>3511.38</v>
      </c>
      <c r="G376" s="68">
        <v>3388.4</v>
      </c>
      <c r="H376" s="68">
        <v>2269.46</v>
      </c>
      <c r="I376" s="68">
        <v>2986.56</v>
      </c>
      <c r="J376" s="68">
        <v>3896.31</v>
      </c>
      <c r="K376" s="68">
        <v>3202.1</v>
      </c>
      <c r="L376" s="68">
        <v>3645.19</v>
      </c>
      <c r="M376" s="68">
        <v>3231.94</v>
      </c>
      <c r="N376" s="68">
        <v>3589.1</v>
      </c>
      <c r="O376" s="68">
        <v>3016.07</v>
      </c>
      <c r="P376" s="96">
        <v>5575.92</v>
      </c>
      <c r="Q376" s="68">
        <v>1292.49</v>
      </c>
      <c r="R376" s="68">
        <v>2334.54</v>
      </c>
      <c r="S376" s="68">
        <v>2115.44</v>
      </c>
      <c r="T376" s="68">
        <v>2677.73</v>
      </c>
      <c r="U376" s="68">
        <v>5714.03</v>
      </c>
      <c r="V376" s="68">
        <v>3254.51</v>
      </c>
      <c r="W376" s="68">
        <v>1120.96</v>
      </c>
      <c r="X376" s="68">
        <v>0</v>
      </c>
      <c r="Y376" s="68">
        <v>0</v>
      </c>
      <c r="Z376" s="68">
        <v>3644.17</v>
      </c>
      <c r="AA376" s="68">
        <v>0</v>
      </c>
      <c r="AB376" s="68">
        <v>3175.63</v>
      </c>
      <c r="AC376" s="68">
        <v>0</v>
      </c>
    </row>
    <row r="377" spans="1:29" x14ac:dyDescent="0.55000000000000004">
      <c r="A377" s="49" t="s">
        <v>850</v>
      </c>
      <c r="B377" s="49" t="s">
        <v>851</v>
      </c>
      <c r="C377" s="49" t="s">
        <v>826</v>
      </c>
      <c r="D377" s="49" t="s">
        <v>523</v>
      </c>
      <c r="E377" s="68">
        <v>2336.81</v>
      </c>
      <c r="F377" s="68">
        <v>3587.5</v>
      </c>
      <c r="G377" s="68">
        <v>880.18</v>
      </c>
      <c r="H377" s="68">
        <v>3797.55</v>
      </c>
      <c r="I377" s="68">
        <v>4612.28</v>
      </c>
      <c r="J377" s="68">
        <v>5181.08</v>
      </c>
      <c r="K377" s="68">
        <v>2890.12</v>
      </c>
      <c r="L377" s="68">
        <v>3389.93</v>
      </c>
      <c r="M377" s="68">
        <v>1234.3399999999999</v>
      </c>
      <c r="N377" s="68">
        <v>8067.96</v>
      </c>
      <c r="O377" s="68">
        <v>2198.58</v>
      </c>
      <c r="P377" s="96">
        <v>5030.13</v>
      </c>
      <c r="Q377" s="68">
        <v>549.91999999999996</v>
      </c>
      <c r="R377" s="68">
        <v>646.59</v>
      </c>
      <c r="S377" s="68">
        <v>2196.08</v>
      </c>
      <c r="T377" s="68">
        <v>2202.19</v>
      </c>
      <c r="U377" s="68">
        <v>3381.57</v>
      </c>
      <c r="V377" s="68">
        <v>2193.09</v>
      </c>
      <c r="W377" s="68">
        <v>703.72</v>
      </c>
      <c r="X377" s="68">
        <v>0</v>
      </c>
      <c r="Y377" s="68">
        <v>0</v>
      </c>
      <c r="Z377" s="68">
        <v>3464.89</v>
      </c>
      <c r="AA377" s="68">
        <v>0</v>
      </c>
      <c r="AB377" s="68">
        <v>6551.59</v>
      </c>
      <c r="AC377" s="68">
        <v>0</v>
      </c>
    </row>
    <row r="378" spans="1:29" x14ac:dyDescent="0.55000000000000004">
      <c r="A378" s="49" t="s">
        <v>852</v>
      </c>
      <c r="B378" s="49" t="s">
        <v>853</v>
      </c>
      <c r="C378" s="49" t="s">
        <v>826</v>
      </c>
      <c r="D378" s="49" t="s">
        <v>523</v>
      </c>
      <c r="E378" s="68">
        <v>981.86</v>
      </c>
      <c r="F378" s="68">
        <v>1683.19</v>
      </c>
      <c r="G378" s="68">
        <v>973.05</v>
      </c>
      <c r="H378" s="68">
        <v>474.73</v>
      </c>
      <c r="I378" s="68">
        <v>1171.2</v>
      </c>
      <c r="J378" s="68">
        <v>1570.92</v>
      </c>
      <c r="K378" s="68">
        <v>558.72</v>
      </c>
      <c r="L378" s="68">
        <v>1107.83</v>
      </c>
      <c r="M378" s="68">
        <v>1642.97</v>
      </c>
      <c r="N378" s="68">
        <v>835.23</v>
      </c>
      <c r="O378" s="68">
        <v>468.09</v>
      </c>
      <c r="P378" s="96">
        <v>1906.97</v>
      </c>
      <c r="Q378" s="68">
        <v>1643.7</v>
      </c>
      <c r="R378" s="68">
        <v>863.51</v>
      </c>
      <c r="S378" s="68">
        <v>1548.78</v>
      </c>
      <c r="T378" s="68">
        <v>222.61</v>
      </c>
      <c r="U378" s="68">
        <v>4182.6400000000003</v>
      </c>
      <c r="V378" s="68">
        <v>1949.42</v>
      </c>
      <c r="W378" s="68">
        <v>851.14</v>
      </c>
      <c r="X378" s="68">
        <v>0</v>
      </c>
      <c r="Y378" s="68">
        <v>0</v>
      </c>
      <c r="Z378" s="68">
        <v>849.24</v>
      </c>
      <c r="AA378" s="68">
        <v>0</v>
      </c>
      <c r="AB378" s="68">
        <v>1116.47</v>
      </c>
      <c r="AC378" s="68">
        <v>0</v>
      </c>
    </row>
    <row r="379" spans="1:29" x14ac:dyDescent="0.55000000000000004">
      <c r="A379" s="49" t="s">
        <v>854</v>
      </c>
      <c r="B379" s="49" t="s">
        <v>855</v>
      </c>
      <c r="C379" s="49" t="s">
        <v>826</v>
      </c>
      <c r="D379" s="49" t="s">
        <v>523</v>
      </c>
      <c r="E379" s="68">
        <v>436.08</v>
      </c>
      <c r="F379" s="68">
        <v>441.16</v>
      </c>
      <c r="G379" s="68">
        <v>424.15</v>
      </c>
      <c r="H379" s="68">
        <v>283.12</v>
      </c>
      <c r="I379" s="68">
        <v>368.97</v>
      </c>
      <c r="J379" s="68">
        <v>489.94</v>
      </c>
      <c r="K379" s="68">
        <v>390.62</v>
      </c>
      <c r="L379" s="68">
        <v>457.57</v>
      </c>
      <c r="M379" s="68">
        <v>399.13</v>
      </c>
      <c r="N379" s="68">
        <v>441.54</v>
      </c>
      <c r="O379" s="68">
        <v>376.06</v>
      </c>
      <c r="P379" s="96">
        <v>698.33</v>
      </c>
      <c r="Q379" s="68">
        <v>161.22</v>
      </c>
      <c r="R379" s="68">
        <v>284.14</v>
      </c>
      <c r="S379" s="68">
        <v>271.68</v>
      </c>
      <c r="T379" s="68">
        <v>330.8</v>
      </c>
      <c r="U379" s="68">
        <v>718.6</v>
      </c>
      <c r="V379" s="68">
        <v>395.41</v>
      </c>
      <c r="W379" s="68">
        <v>133.66</v>
      </c>
      <c r="X379" s="68">
        <v>0</v>
      </c>
      <c r="Y379" s="68">
        <v>0</v>
      </c>
      <c r="Z379" s="68">
        <v>589.71</v>
      </c>
      <c r="AA379" s="68">
        <v>0</v>
      </c>
      <c r="AB379" s="68">
        <v>395.94</v>
      </c>
      <c r="AC379" s="68">
        <v>0</v>
      </c>
    </row>
    <row r="380" spans="1:29" x14ac:dyDescent="0.55000000000000004">
      <c r="A380" s="49" t="s">
        <v>856</v>
      </c>
      <c r="B380" s="49" t="s">
        <v>857</v>
      </c>
      <c r="C380" s="49" t="s">
        <v>826</v>
      </c>
      <c r="D380" s="49" t="s">
        <v>147</v>
      </c>
      <c r="E380" s="68">
        <v>0</v>
      </c>
      <c r="F380" s="68">
        <v>465</v>
      </c>
      <c r="G380" s="68">
        <v>0</v>
      </c>
      <c r="H380" s="68">
        <v>1567.2</v>
      </c>
      <c r="I380" s="68">
        <v>1400</v>
      </c>
      <c r="J380" s="68">
        <v>0</v>
      </c>
      <c r="K380" s="68">
        <v>222</v>
      </c>
      <c r="L380" s="68">
        <v>0</v>
      </c>
      <c r="M380" s="68">
        <v>0</v>
      </c>
      <c r="N380" s="68">
        <v>0</v>
      </c>
      <c r="O380" s="68">
        <v>0</v>
      </c>
      <c r="P380" s="96">
        <v>0</v>
      </c>
      <c r="Q380" s="68">
        <v>11917.5</v>
      </c>
      <c r="R380" s="68">
        <v>0</v>
      </c>
      <c r="S380" s="68">
        <v>9504</v>
      </c>
      <c r="T380" s="68">
        <v>0</v>
      </c>
      <c r="U380" s="68">
        <v>9770.5</v>
      </c>
      <c r="V380" s="68">
        <v>0</v>
      </c>
      <c r="W380" s="68">
        <v>8457.75</v>
      </c>
      <c r="X380" s="68">
        <v>47867.57</v>
      </c>
      <c r="Y380" s="68">
        <v>51569.29</v>
      </c>
      <c r="Z380" s="68">
        <v>8258.75</v>
      </c>
      <c r="AA380" s="68">
        <v>41595.550000000003</v>
      </c>
      <c r="AB380" s="68">
        <v>0</v>
      </c>
      <c r="AC380" s="68">
        <v>0</v>
      </c>
    </row>
    <row r="381" spans="1:29" x14ac:dyDescent="0.55000000000000004">
      <c r="A381" s="49" t="s">
        <v>952</v>
      </c>
      <c r="B381" s="49" t="s">
        <v>953</v>
      </c>
      <c r="C381" s="49" t="s">
        <v>826</v>
      </c>
      <c r="D381" s="49" t="s">
        <v>147</v>
      </c>
      <c r="E381" s="68">
        <v>0</v>
      </c>
      <c r="F381" s="68">
        <v>0</v>
      </c>
      <c r="G381" s="68">
        <v>0</v>
      </c>
      <c r="H381" s="68">
        <v>0</v>
      </c>
      <c r="I381" s="68">
        <v>0</v>
      </c>
      <c r="J381" s="68">
        <v>0</v>
      </c>
      <c r="K381" s="68">
        <v>0</v>
      </c>
      <c r="L381" s="68">
        <v>0</v>
      </c>
      <c r="M381" s="68">
        <v>0</v>
      </c>
      <c r="N381" s="68">
        <v>0</v>
      </c>
      <c r="O381" s="68">
        <v>0</v>
      </c>
      <c r="P381" s="96">
        <v>0</v>
      </c>
      <c r="Q381" s="68">
        <v>0</v>
      </c>
      <c r="R381" s="68">
        <v>0</v>
      </c>
      <c r="S381" s="68">
        <v>0</v>
      </c>
      <c r="T381" s="68">
        <v>0</v>
      </c>
      <c r="U381" s="68">
        <v>-406.25</v>
      </c>
      <c r="V381" s="68">
        <v>0</v>
      </c>
      <c r="W381" s="68">
        <v>0</v>
      </c>
      <c r="X381" s="68">
        <v>0</v>
      </c>
      <c r="Y381" s="68">
        <v>0</v>
      </c>
      <c r="Z381" s="68">
        <v>0</v>
      </c>
      <c r="AA381" s="68">
        <v>0</v>
      </c>
      <c r="AB381" s="68">
        <v>0</v>
      </c>
      <c r="AC381" s="68">
        <v>0</v>
      </c>
    </row>
    <row r="382" spans="1:29" x14ac:dyDescent="0.55000000000000004">
      <c r="A382" s="49" t="s">
        <v>858</v>
      </c>
      <c r="B382" s="49" t="s">
        <v>859</v>
      </c>
      <c r="C382" s="49" t="s">
        <v>826</v>
      </c>
      <c r="D382" s="49" t="s">
        <v>523</v>
      </c>
      <c r="E382" s="68">
        <v>14280.53</v>
      </c>
      <c r="F382" s="68">
        <v>9097.2999999999993</v>
      </c>
      <c r="G382" s="68">
        <v>6899</v>
      </c>
      <c r="H382" s="68">
        <v>3548.9</v>
      </c>
      <c r="I382" s="68">
        <v>0</v>
      </c>
      <c r="J382" s="68">
        <v>8159.92</v>
      </c>
      <c r="K382" s="68">
        <v>6672.48</v>
      </c>
      <c r="L382" s="68">
        <v>0</v>
      </c>
      <c r="M382" s="68">
        <v>9393.0499999999993</v>
      </c>
      <c r="N382" s="68">
        <v>6622.53</v>
      </c>
      <c r="O382" s="68">
        <v>2691.12</v>
      </c>
      <c r="P382" s="96">
        <v>10288.64</v>
      </c>
      <c r="Q382" s="68">
        <v>10620.15</v>
      </c>
      <c r="R382" s="68">
        <v>9522.15</v>
      </c>
      <c r="S382" s="68">
        <v>7642.62</v>
      </c>
      <c r="T382" s="68">
        <v>6431.28</v>
      </c>
      <c r="U382" s="68">
        <v>12167.78</v>
      </c>
      <c r="V382" s="68">
        <v>6490.7</v>
      </c>
      <c r="W382" s="68">
        <v>8775.1</v>
      </c>
      <c r="X382" s="68">
        <v>0</v>
      </c>
      <c r="Y382" s="68">
        <v>0</v>
      </c>
      <c r="Z382" s="68">
        <v>5915</v>
      </c>
      <c r="AA382" s="68">
        <v>0</v>
      </c>
      <c r="AB382" s="68">
        <v>1422.65</v>
      </c>
      <c r="AC382" s="68">
        <v>0</v>
      </c>
    </row>
    <row r="383" spans="1:29" x14ac:dyDescent="0.55000000000000004">
      <c r="A383" s="49" t="s">
        <v>860</v>
      </c>
      <c r="B383" s="49" t="s">
        <v>861</v>
      </c>
      <c r="C383" s="49" t="s">
        <v>826</v>
      </c>
      <c r="D383" s="49" t="s">
        <v>523</v>
      </c>
      <c r="E383" s="68">
        <v>1138.4100000000001</v>
      </c>
      <c r="F383" s="68">
        <v>695.94</v>
      </c>
      <c r="G383" s="68">
        <v>630.82000000000005</v>
      </c>
      <c r="H383" s="68">
        <v>274.20999999999998</v>
      </c>
      <c r="I383" s="68">
        <v>0</v>
      </c>
      <c r="J383" s="68">
        <v>624.23</v>
      </c>
      <c r="K383" s="68">
        <v>570.13</v>
      </c>
      <c r="L383" s="68">
        <v>0</v>
      </c>
      <c r="M383" s="68">
        <v>718.57</v>
      </c>
      <c r="N383" s="68">
        <v>606.54</v>
      </c>
      <c r="O383" s="68">
        <v>232.21</v>
      </c>
      <c r="P383" s="96">
        <v>788.72</v>
      </c>
      <c r="Q383" s="68">
        <v>814.66</v>
      </c>
      <c r="R383" s="68">
        <v>729.27</v>
      </c>
      <c r="S383" s="68">
        <v>584.66</v>
      </c>
      <c r="T383" s="68">
        <v>549.66</v>
      </c>
      <c r="U383" s="68">
        <v>865.89</v>
      </c>
      <c r="V383" s="68">
        <v>485.02</v>
      </c>
      <c r="W383" s="68">
        <v>653.71</v>
      </c>
      <c r="X383" s="68">
        <v>0</v>
      </c>
      <c r="Y383" s="68">
        <v>0</v>
      </c>
      <c r="Z383" s="68">
        <v>554.19000000000005</v>
      </c>
      <c r="AA383" s="68">
        <v>0</v>
      </c>
      <c r="AB383" s="68">
        <v>425.32</v>
      </c>
      <c r="AC383" s="68">
        <v>0</v>
      </c>
    </row>
    <row r="384" spans="1:29" x14ac:dyDescent="0.55000000000000004">
      <c r="A384" s="49" t="s">
        <v>862</v>
      </c>
      <c r="B384" s="49" t="s">
        <v>863</v>
      </c>
      <c r="C384" s="49" t="s">
        <v>826</v>
      </c>
      <c r="D384" s="49" t="s">
        <v>523</v>
      </c>
      <c r="E384" s="68">
        <v>0</v>
      </c>
      <c r="F384" s="68">
        <v>0</v>
      </c>
      <c r="G384" s="68">
        <v>1132.02</v>
      </c>
      <c r="H384" s="68">
        <v>48.87</v>
      </c>
      <c r="I384" s="68">
        <v>0</v>
      </c>
      <c r="J384" s="68">
        <v>327.08</v>
      </c>
      <c r="K384" s="68">
        <v>817.94</v>
      </c>
      <c r="L384" s="68">
        <v>0</v>
      </c>
      <c r="M384" s="68">
        <v>48.47</v>
      </c>
      <c r="N384" s="68">
        <v>37</v>
      </c>
      <c r="O384" s="68">
        <v>-1.9</v>
      </c>
      <c r="P384" s="96">
        <v>657.5</v>
      </c>
      <c r="Q384" s="68">
        <v>100.42</v>
      </c>
      <c r="R384" s="68">
        <v>0</v>
      </c>
      <c r="S384" s="68">
        <v>25.13</v>
      </c>
      <c r="T384" s="68">
        <v>0</v>
      </c>
      <c r="U384" s="68">
        <v>44.03</v>
      </c>
      <c r="V384" s="68">
        <v>137.27000000000001</v>
      </c>
      <c r="W384" s="68">
        <v>368.87</v>
      </c>
      <c r="X384" s="68">
        <v>0</v>
      </c>
      <c r="Y384" s="68">
        <v>0</v>
      </c>
      <c r="Z384" s="68">
        <v>367.97</v>
      </c>
      <c r="AA384" s="68">
        <v>0</v>
      </c>
      <c r="AB384" s="68">
        <v>5</v>
      </c>
      <c r="AC384" s="68">
        <v>0</v>
      </c>
    </row>
    <row r="385" spans="1:29" x14ac:dyDescent="0.55000000000000004">
      <c r="A385" s="49" t="s">
        <v>864</v>
      </c>
      <c r="B385" s="49" t="s">
        <v>865</v>
      </c>
      <c r="C385" s="49" t="s">
        <v>826</v>
      </c>
      <c r="D385" s="49" t="s">
        <v>523</v>
      </c>
      <c r="E385" s="68">
        <v>261.74</v>
      </c>
      <c r="F385" s="68">
        <v>0</v>
      </c>
      <c r="G385" s="68">
        <v>0</v>
      </c>
      <c r="H385" s="68">
        <v>0</v>
      </c>
      <c r="I385" s="68">
        <v>0</v>
      </c>
      <c r="J385" s="68">
        <v>0</v>
      </c>
      <c r="K385" s="68">
        <v>0</v>
      </c>
      <c r="L385" s="68">
        <v>0</v>
      </c>
      <c r="M385" s="68">
        <v>0</v>
      </c>
      <c r="N385" s="68">
        <v>0</v>
      </c>
      <c r="O385" s="68">
        <v>0</v>
      </c>
      <c r="P385" s="96">
        <v>742.94</v>
      </c>
      <c r="Q385" s="68">
        <v>0</v>
      </c>
      <c r="R385" s="68">
        <v>0</v>
      </c>
      <c r="S385" s="68">
        <v>0</v>
      </c>
      <c r="T385" s="68">
        <v>0</v>
      </c>
      <c r="U385" s="68">
        <v>1183.32</v>
      </c>
      <c r="V385" s="68">
        <v>419.95</v>
      </c>
      <c r="W385" s="68">
        <v>1617.2</v>
      </c>
      <c r="X385" s="68">
        <v>0</v>
      </c>
      <c r="Y385" s="68">
        <v>0</v>
      </c>
      <c r="Z385" s="68">
        <v>194.54</v>
      </c>
      <c r="AA385" s="68">
        <v>0</v>
      </c>
      <c r="AB385" s="68">
        <v>0</v>
      </c>
      <c r="AC385" s="68">
        <v>0</v>
      </c>
    </row>
    <row r="386" spans="1:29" x14ac:dyDescent="0.55000000000000004">
      <c r="A386" s="49" t="s">
        <v>866</v>
      </c>
      <c r="B386" s="49" t="s">
        <v>867</v>
      </c>
      <c r="C386" s="49" t="s">
        <v>826</v>
      </c>
      <c r="D386" s="49" t="s">
        <v>523</v>
      </c>
      <c r="E386" s="68">
        <v>134.24</v>
      </c>
      <c r="F386" s="68">
        <v>85.51</v>
      </c>
      <c r="G386" s="68">
        <v>75.45</v>
      </c>
      <c r="H386" s="68">
        <v>33.36</v>
      </c>
      <c r="I386" s="68">
        <v>0</v>
      </c>
      <c r="J386" s="68">
        <v>76.7</v>
      </c>
      <c r="K386" s="68">
        <v>70.05</v>
      </c>
      <c r="L386" s="68">
        <v>0</v>
      </c>
      <c r="M386" s="68">
        <v>88.29</v>
      </c>
      <c r="N386" s="68">
        <v>62.25</v>
      </c>
      <c r="O386" s="68">
        <v>25.3</v>
      </c>
      <c r="P386" s="96">
        <v>102.71</v>
      </c>
      <c r="Q386" s="68">
        <v>99.83</v>
      </c>
      <c r="R386" s="68">
        <v>89.51</v>
      </c>
      <c r="S386" s="68">
        <v>71.84</v>
      </c>
      <c r="T386" s="68">
        <v>60.45</v>
      </c>
      <c r="U386" s="68">
        <v>114.38</v>
      </c>
      <c r="V386" s="68">
        <v>61.01</v>
      </c>
      <c r="W386" s="68">
        <v>82.49</v>
      </c>
      <c r="X386" s="68">
        <v>0</v>
      </c>
      <c r="Y386" s="68">
        <v>0</v>
      </c>
      <c r="Z386" s="68">
        <v>103.6</v>
      </c>
      <c r="AA386" s="68">
        <v>0</v>
      </c>
      <c r="AB386" s="68">
        <v>13.37</v>
      </c>
      <c r="AC386" s="68">
        <v>0</v>
      </c>
    </row>
    <row r="387" spans="1:29" x14ac:dyDescent="0.55000000000000004">
      <c r="A387" s="49" t="s">
        <v>868</v>
      </c>
      <c r="B387" s="49" t="s">
        <v>869</v>
      </c>
      <c r="C387" s="49" t="s">
        <v>826</v>
      </c>
      <c r="D387" s="49" t="s">
        <v>147</v>
      </c>
      <c r="E387" s="68">
        <v>0</v>
      </c>
      <c r="F387" s="68">
        <v>744.35</v>
      </c>
      <c r="G387" s="68">
        <v>0</v>
      </c>
      <c r="H387" s="68">
        <v>0</v>
      </c>
      <c r="I387" s="68">
        <v>1267.2</v>
      </c>
      <c r="J387" s="68">
        <v>0</v>
      </c>
      <c r="K387" s="68">
        <v>364</v>
      </c>
      <c r="L387" s="68">
        <v>4251</v>
      </c>
      <c r="M387" s="68">
        <v>0</v>
      </c>
      <c r="N387" s="68">
        <v>5813.5</v>
      </c>
      <c r="O387" s="68">
        <v>0</v>
      </c>
      <c r="P387" s="96">
        <v>0</v>
      </c>
      <c r="Q387" s="68">
        <v>0</v>
      </c>
      <c r="R387" s="68">
        <v>0</v>
      </c>
      <c r="S387" s="68">
        <v>0</v>
      </c>
      <c r="T387" s="68">
        <v>0</v>
      </c>
      <c r="U387" s="68">
        <v>0</v>
      </c>
      <c r="V387" s="68">
        <v>0</v>
      </c>
      <c r="W387" s="68">
        <v>0</v>
      </c>
      <c r="X387" s="68">
        <v>9246.7999999999993</v>
      </c>
      <c r="Y387" s="68">
        <v>10974.25</v>
      </c>
      <c r="Z387" s="68">
        <v>1457.25</v>
      </c>
      <c r="AA387" s="68">
        <v>4148.79</v>
      </c>
      <c r="AB387" s="68">
        <v>12982.5</v>
      </c>
      <c r="AC387" s="68">
        <v>0</v>
      </c>
    </row>
    <row r="388" spans="1:29" x14ac:dyDescent="0.55000000000000004">
      <c r="A388" t="s">
        <v>870</v>
      </c>
      <c r="B388" t="s">
        <v>871</v>
      </c>
      <c r="C388" t="s">
        <v>485</v>
      </c>
      <c r="D388" t="s">
        <v>147</v>
      </c>
      <c r="E388">
        <v>0</v>
      </c>
      <c r="F388">
        <v>0</v>
      </c>
      <c r="G388">
        <v>0</v>
      </c>
      <c r="H388">
        <v>0</v>
      </c>
      <c r="I388">
        <v>0</v>
      </c>
      <c r="J388">
        <v>0</v>
      </c>
      <c r="K388">
        <v>0</v>
      </c>
      <c r="L388">
        <v>0</v>
      </c>
      <c r="M388">
        <v>0</v>
      </c>
      <c r="N388">
        <v>0</v>
      </c>
      <c r="O388">
        <v>0</v>
      </c>
      <c r="P388">
        <v>0</v>
      </c>
      <c r="Q388">
        <v>95.15</v>
      </c>
      <c r="R388">
        <v>980</v>
      </c>
      <c r="S388">
        <v>0</v>
      </c>
      <c r="T388">
        <v>0</v>
      </c>
      <c r="U388">
        <v>7409.17</v>
      </c>
      <c r="V388">
        <v>1765.94</v>
      </c>
      <c r="W388">
        <v>3574.5</v>
      </c>
      <c r="X388">
        <v>0</v>
      </c>
      <c r="Y388">
        <v>130</v>
      </c>
      <c r="Z388">
        <v>-65</v>
      </c>
      <c r="AA388">
        <v>0</v>
      </c>
      <c r="AB388">
        <v>0</v>
      </c>
    </row>
    <row r="389" spans="1:29" x14ac:dyDescent="0.55000000000000004">
      <c r="A389" t="s">
        <v>872</v>
      </c>
      <c r="B389" t="s">
        <v>873</v>
      </c>
      <c r="C389" t="s">
        <v>510</v>
      </c>
      <c r="D389" t="s">
        <v>147</v>
      </c>
      <c r="E389">
        <v>2448.23</v>
      </c>
      <c r="F389">
        <v>10442.370000000001</v>
      </c>
      <c r="G389">
        <v>13559.26</v>
      </c>
      <c r="H389">
        <v>738.56</v>
      </c>
      <c r="I389">
        <v>2801.75</v>
      </c>
      <c r="J389">
        <v>10560.51</v>
      </c>
      <c r="K389">
        <v>1612.07</v>
      </c>
      <c r="L389">
        <v>3879.69</v>
      </c>
      <c r="M389">
        <v>6247.48</v>
      </c>
      <c r="N389">
        <v>18260.43</v>
      </c>
      <c r="O389">
        <v>5252.97</v>
      </c>
      <c r="P389">
        <v>13179.85</v>
      </c>
      <c r="Q389">
        <v>8025.65</v>
      </c>
      <c r="R389">
        <v>1843.46</v>
      </c>
      <c r="S389">
        <v>4953.78</v>
      </c>
      <c r="T389">
        <v>1399.48</v>
      </c>
      <c r="U389">
        <v>20690.080000000002</v>
      </c>
      <c r="V389">
        <v>4900.55</v>
      </c>
      <c r="W389">
        <v>63.14</v>
      </c>
      <c r="X389">
        <v>4674.97</v>
      </c>
      <c r="Y389">
        <v>5306.08</v>
      </c>
      <c r="Z389">
        <v>747</v>
      </c>
      <c r="AA389">
        <v>2247.58</v>
      </c>
      <c r="AB389">
        <v>6147.55</v>
      </c>
    </row>
    <row r="390" spans="1:29" x14ac:dyDescent="0.55000000000000004">
      <c r="A390" t="s">
        <v>971</v>
      </c>
      <c r="B390" t="s">
        <v>972</v>
      </c>
      <c r="C390" t="s">
        <v>447</v>
      </c>
      <c r="D390" t="s">
        <v>147</v>
      </c>
      <c r="E390">
        <v>500</v>
      </c>
      <c r="F390">
        <v>500</v>
      </c>
      <c r="G390">
        <v>500</v>
      </c>
      <c r="H390">
        <v>500</v>
      </c>
      <c r="I390">
        <v>500</v>
      </c>
      <c r="J390">
        <v>500</v>
      </c>
      <c r="K390">
        <v>500</v>
      </c>
      <c r="L390">
        <v>500</v>
      </c>
      <c r="M390">
        <v>500</v>
      </c>
      <c r="N390">
        <v>500</v>
      </c>
      <c r="O390">
        <v>500</v>
      </c>
      <c r="P390">
        <v>500</v>
      </c>
      <c r="Q390">
        <v>500</v>
      </c>
      <c r="R390">
        <v>500</v>
      </c>
      <c r="S390">
        <v>500</v>
      </c>
      <c r="T390">
        <v>500</v>
      </c>
      <c r="U390">
        <v>500</v>
      </c>
      <c r="V390">
        <v>500</v>
      </c>
      <c r="W390">
        <v>500</v>
      </c>
      <c r="X390">
        <v>0</v>
      </c>
      <c r="Y390">
        <v>0</v>
      </c>
      <c r="Z390">
        <v>0</v>
      </c>
      <c r="AA390">
        <v>0</v>
      </c>
      <c r="AB390">
        <v>500</v>
      </c>
    </row>
    <row r="401" spans="3:28" s="7" customFormat="1" x14ac:dyDescent="0.55000000000000004"/>
    <row r="403" spans="3:28" x14ac:dyDescent="0.55000000000000004">
      <c r="D403" s="89" t="s">
        <v>115</v>
      </c>
    </row>
    <row r="404" spans="3:28" x14ac:dyDescent="0.55000000000000004">
      <c r="C404" s="90" t="s">
        <v>874</v>
      </c>
    </row>
    <row r="405" spans="3:28" x14ac:dyDescent="0.55000000000000004">
      <c r="C405" s="17" t="s">
        <v>875</v>
      </c>
      <c r="D405" s="69">
        <v>0</v>
      </c>
      <c r="E405" s="91">
        <v>0</v>
      </c>
      <c r="F405" s="91">
        <v>0</v>
      </c>
      <c r="G405" s="91">
        <v>0</v>
      </c>
      <c r="H405" s="91">
        <v>0</v>
      </c>
      <c r="I405" s="91">
        <v>0</v>
      </c>
      <c r="J405" s="91">
        <v>0</v>
      </c>
      <c r="K405" s="91">
        <v>0</v>
      </c>
      <c r="L405" s="91">
        <v>0</v>
      </c>
      <c r="M405" s="91">
        <v>0</v>
      </c>
      <c r="N405" s="91">
        <v>0</v>
      </c>
      <c r="O405" s="91">
        <v>0</v>
      </c>
      <c r="P405" s="91">
        <v>0</v>
      </c>
      <c r="Q405" s="91">
        <v>0</v>
      </c>
      <c r="R405" s="91">
        <v>0</v>
      </c>
      <c r="S405" s="91">
        <v>0</v>
      </c>
      <c r="T405" s="91">
        <v>0</v>
      </c>
      <c r="U405" s="91">
        <v>0</v>
      </c>
      <c r="V405" s="91">
        <v>0</v>
      </c>
      <c r="W405" s="91">
        <v>0</v>
      </c>
      <c r="X405" s="91">
        <v>0</v>
      </c>
      <c r="Y405" s="91">
        <v>0</v>
      </c>
      <c r="Z405" s="91">
        <v>0</v>
      </c>
      <c r="AA405" s="91">
        <v>0</v>
      </c>
      <c r="AB405" s="91">
        <v>0</v>
      </c>
    </row>
    <row r="406" spans="3:28" x14ac:dyDescent="0.55000000000000004">
      <c r="C406" s="17" t="s">
        <v>156</v>
      </c>
      <c r="D406" s="69">
        <v>17438</v>
      </c>
      <c r="E406" s="91">
        <v>1158</v>
      </c>
      <c r="F406" s="91">
        <v>654</v>
      </c>
      <c r="G406" s="91">
        <v>856</v>
      </c>
      <c r="H406" s="91">
        <v>644</v>
      </c>
      <c r="I406" s="91">
        <v>982</v>
      </c>
      <c r="J406" s="91">
        <v>1185</v>
      </c>
      <c r="K406" s="91">
        <v>1008</v>
      </c>
      <c r="L406" s="91">
        <v>795</v>
      </c>
      <c r="M406" s="91">
        <v>734</v>
      </c>
      <c r="N406" s="91">
        <v>811</v>
      </c>
      <c r="O406" s="91">
        <v>420</v>
      </c>
      <c r="P406" s="91">
        <v>1109</v>
      </c>
      <c r="Q406" s="91">
        <v>183</v>
      </c>
      <c r="R406" s="91">
        <v>481</v>
      </c>
      <c r="S406" s="91">
        <v>532</v>
      </c>
      <c r="T406" s="91">
        <v>566</v>
      </c>
      <c r="U406" s="91">
        <v>796</v>
      </c>
      <c r="V406" s="91">
        <v>663</v>
      </c>
      <c r="W406" s="91">
        <v>585</v>
      </c>
      <c r="X406" s="91">
        <v>640</v>
      </c>
      <c r="Y406" s="91">
        <v>806</v>
      </c>
      <c r="Z406" s="91">
        <v>1017</v>
      </c>
      <c r="AA406" s="91">
        <v>526</v>
      </c>
      <c r="AB406" s="91">
        <v>287</v>
      </c>
    </row>
    <row r="407" spans="3:28" x14ac:dyDescent="0.55000000000000004">
      <c r="C407" s="17" t="s">
        <v>150</v>
      </c>
      <c r="D407" s="69">
        <v>7131</v>
      </c>
      <c r="E407" s="91">
        <v>221</v>
      </c>
      <c r="F407" s="91">
        <v>283</v>
      </c>
      <c r="G407" s="91">
        <v>322</v>
      </c>
      <c r="H407" s="91">
        <v>78</v>
      </c>
      <c r="I407" s="91">
        <v>5</v>
      </c>
      <c r="J407" s="91">
        <v>104</v>
      </c>
      <c r="K407" s="91">
        <v>32</v>
      </c>
      <c r="L407" s="91">
        <v>251</v>
      </c>
      <c r="M407" s="91">
        <v>483</v>
      </c>
      <c r="N407" s="91">
        <v>486</v>
      </c>
      <c r="O407" s="91">
        <v>567</v>
      </c>
      <c r="P407" s="91">
        <v>559</v>
      </c>
      <c r="Q407" s="91">
        <v>226</v>
      </c>
      <c r="R407" s="91">
        <v>180</v>
      </c>
      <c r="S407" s="91">
        <v>178</v>
      </c>
      <c r="T407" s="91">
        <v>113</v>
      </c>
      <c r="U407" s="91">
        <v>820</v>
      </c>
      <c r="V407" s="91">
        <v>372</v>
      </c>
      <c r="W407" s="91">
        <v>207</v>
      </c>
      <c r="X407" s="91">
        <v>221</v>
      </c>
      <c r="Y407" s="91">
        <v>160</v>
      </c>
      <c r="Z407" s="91">
        <v>101</v>
      </c>
      <c r="AA407" s="91">
        <v>53</v>
      </c>
      <c r="AB407" s="91">
        <v>1109</v>
      </c>
    </row>
    <row r="408" spans="3:28" x14ac:dyDescent="0.55000000000000004">
      <c r="C408" s="17" t="s">
        <v>146</v>
      </c>
      <c r="D408" s="69">
        <v>2123</v>
      </c>
      <c r="E408" s="91">
        <v>384</v>
      </c>
      <c r="F408" s="91">
        <v>64</v>
      </c>
      <c r="G408" s="91">
        <v>81</v>
      </c>
      <c r="H408" s="91">
        <v>103</v>
      </c>
      <c r="I408" s="91">
        <v>124</v>
      </c>
      <c r="J408" s="91">
        <v>106</v>
      </c>
      <c r="K408" s="91">
        <v>79</v>
      </c>
      <c r="L408" s="91">
        <v>58</v>
      </c>
      <c r="M408" s="91">
        <v>144</v>
      </c>
      <c r="N408" s="91">
        <v>116</v>
      </c>
      <c r="O408" s="91">
        <v>69</v>
      </c>
      <c r="P408" s="91">
        <v>7</v>
      </c>
      <c r="Q408" s="91">
        <v>66</v>
      </c>
      <c r="R408" s="91">
        <v>7</v>
      </c>
      <c r="S408" s="91">
        <v>132</v>
      </c>
      <c r="T408" s="91">
        <v>-104</v>
      </c>
      <c r="U408" s="91">
        <v>156</v>
      </c>
      <c r="V408" s="91">
        <v>6</v>
      </c>
      <c r="W408" s="91">
        <v>-58</v>
      </c>
      <c r="X408" s="91">
        <v>-60</v>
      </c>
      <c r="Y408" s="91">
        <v>114</v>
      </c>
      <c r="Z408" s="91">
        <v>161</v>
      </c>
      <c r="AA408" s="91">
        <v>245</v>
      </c>
      <c r="AB408" s="91">
        <v>123</v>
      </c>
    </row>
    <row r="409" spans="3:28" x14ac:dyDescent="0.55000000000000004">
      <c r="C409" s="17" t="s">
        <v>159</v>
      </c>
      <c r="D409" s="69">
        <v>31887</v>
      </c>
      <c r="E409" s="91">
        <v>811</v>
      </c>
      <c r="F409" s="91">
        <v>1605</v>
      </c>
      <c r="G409" s="91">
        <v>2215</v>
      </c>
      <c r="H409" s="91">
        <v>1551</v>
      </c>
      <c r="I409" s="91">
        <v>1598</v>
      </c>
      <c r="J409" s="91">
        <v>30</v>
      </c>
      <c r="K409" s="91">
        <v>707</v>
      </c>
      <c r="L409" s="91">
        <v>2946</v>
      </c>
      <c r="M409" s="91">
        <v>352</v>
      </c>
      <c r="N409" s="91">
        <v>1268</v>
      </c>
      <c r="O409" s="91">
        <v>588</v>
      </c>
      <c r="P409" s="91">
        <v>407</v>
      </c>
      <c r="Q409" s="91">
        <v>1957</v>
      </c>
      <c r="R409" s="91">
        <v>739</v>
      </c>
      <c r="S409" s="91">
        <v>1455</v>
      </c>
      <c r="T409" s="91">
        <v>432</v>
      </c>
      <c r="U409" s="91">
        <v>43</v>
      </c>
      <c r="V409" s="91">
        <v>645</v>
      </c>
      <c r="W409" s="91">
        <v>1898</v>
      </c>
      <c r="X409" s="91">
        <v>2051</v>
      </c>
      <c r="Y409" s="91">
        <v>2049</v>
      </c>
      <c r="Z409" s="91">
        <v>1765</v>
      </c>
      <c r="AA409" s="91">
        <v>2374</v>
      </c>
      <c r="AB409" s="91">
        <v>2401</v>
      </c>
    </row>
    <row r="410" spans="3:28" x14ac:dyDescent="0.55000000000000004">
      <c r="C410" s="17" t="s">
        <v>153</v>
      </c>
      <c r="D410" s="69">
        <v>623</v>
      </c>
      <c r="E410" s="91">
        <v>0</v>
      </c>
      <c r="F410" s="91">
        <v>0</v>
      </c>
      <c r="G410" s="91">
        <v>0</v>
      </c>
      <c r="H410" s="91">
        <v>0</v>
      </c>
      <c r="I410" s="91">
        <v>0</v>
      </c>
      <c r="J410" s="91">
        <v>0</v>
      </c>
      <c r="K410" s="91">
        <v>0</v>
      </c>
      <c r="L410" s="91">
        <v>0</v>
      </c>
      <c r="M410" s="91">
        <v>0</v>
      </c>
      <c r="N410" s="91">
        <v>0</v>
      </c>
      <c r="O410" s="91">
        <v>0</v>
      </c>
      <c r="P410" s="91">
        <v>0</v>
      </c>
      <c r="Q410" s="91">
        <v>191</v>
      </c>
      <c r="R410" s="91">
        <v>0</v>
      </c>
      <c r="S410" s="91">
        <v>280</v>
      </c>
      <c r="T410" s="91">
        <v>0</v>
      </c>
      <c r="U410" s="91">
        <v>0</v>
      </c>
      <c r="V410" s="91">
        <v>0</v>
      </c>
      <c r="W410" s="91">
        <v>0</v>
      </c>
      <c r="X410" s="91">
        <v>78</v>
      </c>
      <c r="Y410" s="91">
        <v>0</v>
      </c>
      <c r="Z410" s="91">
        <v>0</v>
      </c>
      <c r="AA410" s="91">
        <v>74</v>
      </c>
      <c r="AB410" s="91">
        <v>0</v>
      </c>
    </row>
    <row r="411" spans="3:28" x14ac:dyDescent="0.55000000000000004">
      <c r="C411" s="17" t="s">
        <v>876</v>
      </c>
      <c r="D411" s="69">
        <v>0</v>
      </c>
      <c r="E411" s="91">
        <v>0</v>
      </c>
      <c r="F411" s="91">
        <v>0</v>
      </c>
      <c r="G411" s="91">
        <v>0</v>
      </c>
      <c r="H411" s="91">
        <v>0</v>
      </c>
      <c r="I411" s="91">
        <v>0</v>
      </c>
      <c r="J411" s="91">
        <v>0</v>
      </c>
      <c r="K411" s="91">
        <v>0</v>
      </c>
      <c r="L411" s="91">
        <v>0</v>
      </c>
      <c r="M411" s="91">
        <v>0</v>
      </c>
      <c r="N411" s="91">
        <v>0</v>
      </c>
      <c r="O411" s="91">
        <v>0</v>
      </c>
      <c r="P411" s="91">
        <v>0</v>
      </c>
      <c r="Q411" s="91">
        <v>0</v>
      </c>
      <c r="R411" s="91">
        <v>0</v>
      </c>
      <c r="S411" s="91">
        <v>0</v>
      </c>
      <c r="T411" s="91">
        <v>0</v>
      </c>
      <c r="U411" s="91">
        <v>0</v>
      </c>
      <c r="V411" s="91">
        <v>0</v>
      </c>
      <c r="W411" s="91">
        <v>0</v>
      </c>
      <c r="X411" s="91">
        <v>0</v>
      </c>
      <c r="Y411" s="91">
        <v>0</v>
      </c>
      <c r="Z411" s="91">
        <v>0</v>
      </c>
      <c r="AA411" s="91">
        <v>0</v>
      </c>
      <c r="AB411" s="91">
        <v>0</v>
      </c>
    </row>
    <row r="412" spans="3:28" x14ac:dyDescent="0.55000000000000004">
      <c r="C412" s="17" t="s">
        <v>166</v>
      </c>
      <c r="D412" s="69">
        <v>1443</v>
      </c>
      <c r="E412" s="91">
        <v>130</v>
      </c>
      <c r="F412" s="91">
        <v>58</v>
      </c>
      <c r="G412" s="91">
        <v>93</v>
      </c>
      <c r="H412" s="91">
        <v>0</v>
      </c>
      <c r="I412" s="91">
        <v>66</v>
      </c>
      <c r="J412" s="91">
        <v>0</v>
      </c>
      <c r="K412" s="91">
        <v>89</v>
      </c>
      <c r="L412" s="91">
        <v>206</v>
      </c>
      <c r="M412" s="91">
        <v>-2</v>
      </c>
      <c r="N412" s="91">
        <v>-62</v>
      </c>
      <c r="O412" s="91">
        <v>2</v>
      </c>
      <c r="P412" s="91">
        <v>0</v>
      </c>
      <c r="Q412" s="91">
        <v>184</v>
      </c>
      <c r="R412" s="91">
        <v>0</v>
      </c>
      <c r="S412" s="91">
        <v>230</v>
      </c>
      <c r="T412" s="91">
        <v>250</v>
      </c>
      <c r="U412" s="91">
        <v>0</v>
      </c>
      <c r="V412" s="91">
        <v>0</v>
      </c>
      <c r="W412" s="91">
        <v>0</v>
      </c>
      <c r="X412" s="91">
        <v>43</v>
      </c>
      <c r="Y412" s="91">
        <v>98</v>
      </c>
      <c r="Z412" s="91">
        <v>27</v>
      </c>
      <c r="AA412" s="91">
        <v>31</v>
      </c>
      <c r="AB412" s="91">
        <v>0</v>
      </c>
    </row>
    <row r="413" spans="3:28" x14ac:dyDescent="0.55000000000000004">
      <c r="C413" s="17"/>
      <c r="D413" s="92">
        <v>60645</v>
      </c>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row>
    <row r="414" spans="3:28" x14ac:dyDescent="0.55000000000000004">
      <c r="C414" s="90" t="s">
        <v>877</v>
      </c>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row>
    <row r="415" spans="3:28" x14ac:dyDescent="0.55000000000000004">
      <c r="C415" s="17" t="s">
        <v>878</v>
      </c>
      <c r="D415" s="69">
        <v>0</v>
      </c>
      <c r="E415" s="91">
        <v>0</v>
      </c>
      <c r="F415" s="91">
        <v>0</v>
      </c>
      <c r="G415" s="91">
        <v>0</v>
      </c>
      <c r="H415" s="91">
        <v>0</v>
      </c>
      <c r="I415" s="91">
        <v>0</v>
      </c>
      <c r="J415" s="91">
        <v>0</v>
      </c>
      <c r="K415" s="91">
        <v>0</v>
      </c>
      <c r="L415" s="91">
        <v>0</v>
      </c>
      <c r="M415" s="91">
        <v>0</v>
      </c>
      <c r="N415" s="91">
        <v>0</v>
      </c>
      <c r="O415" s="91">
        <v>0</v>
      </c>
      <c r="P415" s="91">
        <v>0</v>
      </c>
      <c r="Q415" s="91">
        <v>0</v>
      </c>
      <c r="R415" s="91">
        <v>0</v>
      </c>
      <c r="S415" s="91">
        <v>0</v>
      </c>
      <c r="T415" s="91">
        <v>0</v>
      </c>
      <c r="U415" s="91">
        <v>0</v>
      </c>
      <c r="V415" s="91">
        <v>0</v>
      </c>
      <c r="W415" s="91">
        <v>0</v>
      </c>
      <c r="X415" s="91">
        <v>0</v>
      </c>
      <c r="Y415" s="91">
        <v>0</v>
      </c>
      <c r="Z415" s="91">
        <v>0</v>
      </c>
      <c r="AA415" s="91">
        <v>0</v>
      </c>
      <c r="AB415" s="91">
        <v>0</v>
      </c>
    </row>
    <row r="416" spans="3:28" x14ac:dyDescent="0.55000000000000004">
      <c r="C416" s="17" t="s">
        <v>238</v>
      </c>
      <c r="D416" s="69">
        <v>-11783470.629999999</v>
      </c>
      <c r="E416" s="91">
        <v>-771288.72000000009</v>
      </c>
      <c r="F416" s="91">
        <v>-424047.01</v>
      </c>
      <c r="G416" s="91">
        <v>-550112.24000000011</v>
      </c>
      <c r="H416" s="91">
        <v>-466032.52999999991</v>
      </c>
      <c r="I416" s="91">
        <v>-592910.52999999991</v>
      </c>
      <c r="J416" s="91">
        <v>-825295.61999999988</v>
      </c>
      <c r="K416" s="91">
        <v>-702949.99</v>
      </c>
      <c r="L416" s="91">
        <v>-509422.32</v>
      </c>
      <c r="M416" s="91">
        <v>-474731.62</v>
      </c>
      <c r="N416" s="91">
        <v>-546933.43000000005</v>
      </c>
      <c r="O416" s="91">
        <v>-246060.50000000009</v>
      </c>
      <c r="P416" s="91">
        <v>-716537.72</v>
      </c>
      <c r="Q416" s="91">
        <v>-120002.29000000001</v>
      </c>
      <c r="R416" s="91">
        <v>-393090.16999999993</v>
      </c>
      <c r="S416" s="91">
        <v>-412221.1399999999</v>
      </c>
      <c r="T416" s="91">
        <v>-414731.00000000006</v>
      </c>
      <c r="U416" s="91">
        <v>-572729.83000000019</v>
      </c>
      <c r="V416" s="91">
        <v>-500272.61</v>
      </c>
      <c r="W416" s="91">
        <v>-454944.80000000005</v>
      </c>
      <c r="X416" s="91">
        <v>-404707.03</v>
      </c>
      <c r="Y416" s="91">
        <v>-504010.07000000007</v>
      </c>
      <c r="Z416" s="91">
        <v>-631287.83000000007</v>
      </c>
      <c r="AA416" s="91">
        <v>-358613.2</v>
      </c>
      <c r="AB416" s="91">
        <v>-190538.43</v>
      </c>
    </row>
    <row r="417" spans="3:28" x14ac:dyDescent="0.55000000000000004">
      <c r="C417" s="17" t="s">
        <v>232</v>
      </c>
      <c r="D417" s="69">
        <v>-3671358.3800000008</v>
      </c>
      <c r="E417" s="91">
        <v>-122008.35999999999</v>
      </c>
      <c r="F417" s="91">
        <v>-138600.01000000007</v>
      </c>
      <c r="G417" s="91">
        <v>-184987.91999999998</v>
      </c>
      <c r="H417" s="91">
        <v>-35756.210000000006</v>
      </c>
      <c r="I417" s="91">
        <v>2923.19</v>
      </c>
      <c r="J417" s="91">
        <v>-90077.76999999999</v>
      </c>
      <c r="K417" s="91">
        <v>-18662</v>
      </c>
      <c r="L417" s="91">
        <v>-94949.04</v>
      </c>
      <c r="M417" s="91">
        <v>-250682.31</v>
      </c>
      <c r="N417" s="91">
        <v>-194032.22000000003</v>
      </c>
      <c r="O417" s="91">
        <v>-210326.78000000003</v>
      </c>
      <c r="P417" s="91">
        <v>-303785.19000000012</v>
      </c>
      <c r="Q417" s="91">
        <v>-84509</v>
      </c>
      <c r="R417" s="91">
        <v>-97712.150000000009</v>
      </c>
      <c r="S417" s="91">
        <v>-134612.38999999998</v>
      </c>
      <c r="T417" s="91">
        <v>-38102.549999999988</v>
      </c>
      <c r="U417" s="91">
        <v>-523766.4</v>
      </c>
      <c r="V417" s="91">
        <v>-206317.61</v>
      </c>
      <c r="W417" s="91">
        <v>-87188.700000000012</v>
      </c>
      <c r="X417" s="91">
        <v>-94327.98000000001</v>
      </c>
      <c r="Y417" s="91">
        <v>-73810.559999999998</v>
      </c>
      <c r="Z417" s="91">
        <v>-67143.33</v>
      </c>
      <c r="AA417" s="91">
        <v>-23179.739999999998</v>
      </c>
      <c r="AB417" s="91">
        <v>-599743.34999999986</v>
      </c>
    </row>
    <row r="418" spans="3:28" x14ac:dyDescent="0.55000000000000004">
      <c r="C418" s="17" t="s">
        <v>229</v>
      </c>
      <c r="D418" s="69">
        <v>-887709.82000000007</v>
      </c>
      <c r="E418" s="91">
        <v>-120160.29999999999</v>
      </c>
      <c r="F418" s="91">
        <v>-15003.14</v>
      </c>
      <c r="G418" s="91">
        <v>-23528.1</v>
      </c>
      <c r="H418" s="91">
        <v>-26498.5</v>
      </c>
      <c r="I418" s="91">
        <v>-36510</v>
      </c>
      <c r="J418" s="91">
        <v>-85297.7</v>
      </c>
      <c r="K418" s="91">
        <v>-20540</v>
      </c>
      <c r="L418" s="91">
        <v>-11130</v>
      </c>
      <c r="M418" s="91">
        <v>-47554.62</v>
      </c>
      <c r="N418" s="91">
        <v>-35483.800000000003</v>
      </c>
      <c r="O418" s="91">
        <v>-17390.96</v>
      </c>
      <c r="P418" s="91">
        <v>-2180.8900000000003</v>
      </c>
      <c r="Q418" s="91">
        <v>-22290.559999999998</v>
      </c>
      <c r="R418" s="91">
        <v>-15471.759999999998</v>
      </c>
      <c r="S418" s="91">
        <v>-40125.270000000004</v>
      </c>
      <c r="T418" s="91">
        <v>29882.84</v>
      </c>
      <c r="U418" s="91">
        <v>-101941.4</v>
      </c>
      <c r="V418" s="91">
        <v>-3500.98</v>
      </c>
      <c r="W418" s="91">
        <v>-1971.9400000000005</v>
      </c>
      <c r="X418" s="91">
        <v>14212.980000000003</v>
      </c>
      <c r="Y418" s="91">
        <v>-48807.430000000008</v>
      </c>
      <c r="Z418" s="91">
        <v>-58415.98</v>
      </c>
      <c r="AA418" s="91">
        <v>-67280.779999999984</v>
      </c>
      <c r="AB418" s="91">
        <v>-130721.53000000001</v>
      </c>
    </row>
    <row r="419" spans="3:28" x14ac:dyDescent="0.55000000000000004">
      <c r="C419" s="17" t="s">
        <v>241</v>
      </c>
      <c r="D419" s="69">
        <v>-8064330.5199999986</v>
      </c>
      <c r="E419" s="91">
        <v>-195923.09</v>
      </c>
      <c r="F419" s="91">
        <v>-336243.36</v>
      </c>
      <c r="G419" s="91">
        <v>-501715.85000000009</v>
      </c>
      <c r="H419" s="91">
        <v>-365159.99999999994</v>
      </c>
      <c r="I419" s="91">
        <v>-367947.08</v>
      </c>
      <c r="J419" s="91">
        <v>-7236.3</v>
      </c>
      <c r="K419" s="91">
        <v>-167758.07</v>
      </c>
      <c r="L419" s="91">
        <v>-615711.7699999999</v>
      </c>
      <c r="M419" s="91">
        <v>-92499.839999999997</v>
      </c>
      <c r="N419" s="91">
        <v>-323731.52</v>
      </c>
      <c r="O419" s="91">
        <v>-145060.15</v>
      </c>
      <c r="P419" s="91">
        <v>-97541.62</v>
      </c>
      <c r="Q419" s="91">
        <v>-431771.04000000004</v>
      </c>
      <c r="R419" s="91">
        <v>-221075.63</v>
      </c>
      <c r="S419" s="91">
        <v>-384265.55</v>
      </c>
      <c r="T419" s="91">
        <v>-111366.93000000002</v>
      </c>
      <c r="U419" s="91">
        <v>-13333.36</v>
      </c>
      <c r="V419" s="91">
        <v>-186907.02</v>
      </c>
      <c r="W419" s="91">
        <v>-421759.18000000005</v>
      </c>
      <c r="X419" s="91">
        <v>-524615.17999999982</v>
      </c>
      <c r="Y419" s="91">
        <v>-510689.77999999997</v>
      </c>
      <c r="Z419" s="91">
        <v>-445433.04999999993</v>
      </c>
      <c r="AA419" s="91">
        <v>-598798.88</v>
      </c>
      <c r="AB419" s="91">
        <v>-997786.2699999999</v>
      </c>
    </row>
    <row r="420" spans="3:28" x14ac:dyDescent="0.55000000000000004">
      <c r="C420" s="17" t="s">
        <v>235</v>
      </c>
      <c r="D420" s="69">
        <v>-180412.21</v>
      </c>
      <c r="E420" s="91">
        <v>0</v>
      </c>
      <c r="F420" s="91">
        <v>0</v>
      </c>
      <c r="G420" s="91">
        <v>0</v>
      </c>
      <c r="H420" s="91">
        <v>0</v>
      </c>
      <c r="I420" s="91">
        <v>0</v>
      </c>
      <c r="J420" s="91">
        <v>0</v>
      </c>
      <c r="K420" s="91">
        <v>0</v>
      </c>
      <c r="L420" s="91">
        <v>0</v>
      </c>
      <c r="M420" s="91">
        <v>0</v>
      </c>
      <c r="N420" s="91">
        <v>0</v>
      </c>
      <c r="O420" s="91">
        <v>0</v>
      </c>
      <c r="P420" s="91">
        <v>0</v>
      </c>
      <c r="Q420" s="91">
        <v>-51711.139999999985</v>
      </c>
      <c r="R420" s="91">
        <v>0</v>
      </c>
      <c r="S420" s="91">
        <v>-80398.89</v>
      </c>
      <c r="T420" s="91">
        <v>0</v>
      </c>
      <c r="U420" s="91">
        <v>0</v>
      </c>
      <c r="V420" s="91">
        <v>0</v>
      </c>
      <c r="W420" s="91">
        <v>0</v>
      </c>
      <c r="X420" s="91">
        <v>-24034.800000000007</v>
      </c>
      <c r="Y420" s="91">
        <v>0</v>
      </c>
      <c r="Z420" s="91">
        <v>0</v>
      </c>
      <c r="AA420" s="91">
        <v>-24267.38</v>
      </c>
      <c r="AB420" s="91">
        <v>0</v>
      </c>
    </row>
    <row r="421" spans="3:28" x14ac:dyDescent="0.55000000000000004">
      <c r="C421" s="17" t="s">
        <v>879</v>
      </c>
      <c r="D421" s="69">
        <v>0</v>
      </c>
      <c r="E421" s="91">
        <v>0</v>
      </c>
      <c r="F421" s="91">
        <v>0</v>
      </c>
      <c r="G421" s="91">
        <v>0</v>
      </c>
      <c r="H421" s="91">
        <v>0</v>
      </c>
      <c r="I421" s="91">
        <v>0</v>
      </c>
      <c r="J421" s="91">
        <v>0</v>
      </c>
      <c r="K421" s="91">
        <v>0</v>
      </c>
      <c r="L421" s="91">
        <v>0</v>
      </c>
      <c r="M421" s="91">
        <v>0</v>
      </c>
      <c r="N421" s="91">
        <v>0</v>
      </c>
      <c r="O421" s="91">
        <v>0</v>
      </c>
      <c r="P421" s="91">
        <v>0</v>
      </c>
      <c r="Q421" s="91">
        <v>0</v>
      </c>
      <c r="R421" s="91">
        <v>0</v>
      </c>
      <c r="S421" s="91">
        <v>0</v>
      </c>
      <c r="T421" s="91">
        <v>0</v>
      </c>
      <c r="U421" s="91">
        <v>0</v>
      </c>
      <c r="V421" s="91">
        <v>0</v>
      </c>
      <c r="W421" s="91">
        <v>0</v>
      </c>
      <c r="X421" s="91">
        <v>0</v>
      </c>
      <c r="Y421" s="91">
        <v>0</v>
      </c>
      <c r="Z421" s="91">
        <v>0</v>
      </c>
      <c r="AA421" s="91">
        <v>0</v>
      </c>
      <c r="AB421" s="91">
        <v>0</v>
      </c>
    </row>
    <row r="422" spans="3:28" x14ac:dyDescent="0.55000000000000004">
      <c r="C422" s="17" t="s">
        <v>274</v>
      </c>
      <c r="D422" s="69">
        <v>-789185.27</v>
      </c>
      <c r="E422" s="91">
        <v>-43321.280000000006</v>
      </c>
      <c r="F422" s="91">
        <v>-93241.1</v>
      </c>
      <c r="G422" s="91">
        <v>-89556.38</v>
      </c>
      <c r="H422" s="91">
        <v>-26398.32</v>
      </c>
      <c r="I422" s="91">
        <v>-29628.2</v>
      </c>
      <c r="J422" s="91">
        <v>-8840.52</v>
      </c>
      <c r="K422" s="91">
        <v>-34679.700000000004</v>
      </c>
      <c r="L422" s="91">
        <v>-42914.349999999991</v>
      </c>
      <c r="M422" s="91">
        <v>6482.7200000000012</v>
      </c>
      <c r="N422" s="91">
        <v>-57339.6</v>
      </c>
      <c r="O422" s="91">
        <v>-14990.19</v>
      </c>
      <c r="P422" s="91">
        <v>-4383.82</v>
      </c>
      <c r="Q422" s="91">
        <v>-60564.89</v>
      </c>
      <c r="R422" s="91">
        <v>-8197.7200000000012</v>
      </c>
      <c r="S422" s="91">
        <v>-27883.07</v>
      </c>
      <c r="T422" s="91">
        <v>-10436.75</v>
      </c>
      <c r="U422" s="91">
        <v>-15224.66</v>
      </c>
      <c r="V422" s="91">
        <v>-7317.41</v>
      </c>
      <c r="W422" s="91">
        <v>-28210.550000000003</v>
      </c>
      <c r="X422" s="91">
        <v>-42027.490000000005</v>
      </c>
      <c r="Y422" s="91">
        <v>-39723.179999999993</v>
      </c>
      <c r="Z422" s="91">
        <v>-63804.070000000007</v>
      </c>
      <c r="AA422" s="91">
        <v>-43242.739999999991</v>
      </c>
      <c r="AB422" s="91">
        <v>-3742</v>
      </c>
    </row>
    <row r="423" spans="3:28" x14ac:dyDescent="0.55000000000000004">
      <c r="C423" s="17" t="s">
        <v>244</v>
      </c>
      <c r="D423" s="69">
        <v>-359943.22</v>
      </c>
      <c r="E423" s="91">
        <v>-31417.1</v>
      </c>
      <c r="F423" s="91">
        <v>-12161.44</v>
      </c>
      <c r="G423" s="91">
        <v>-21050.55</v>
      </c>
      <c r="H423" s="91">
        <v>0</v>
      </c>
      <c r="I423" s="91">
        <v>-14987.94</v>
      </c>
      <c r="J423" s="91">
        <v>0</v>
      </c>
      <c r="K423" s="91">
        <v>-21741.81</v>
      </c>
      <c r="L423" s="91">
        <v>-43066.399999999987</v>
      </c>
      <c r="M423" s="91">
        <v>-119.55000000000001</v>
      </c>
      <c r="N423" s="91">
        <v>0</v>
      </c>
      <c r="O423" s="91">
        <v>-495.04</v>
      </c>
      <c r="P423" s="91">
        <v>-1231.02</v>
      </c>
      <c r="Q423" s="91">
        <v>-40479.879999999997</v>
      </c>
      <c r="R423" s="91">
        <v>0</v>
      </c>
      <c r="S423" s="91">
        <v>-59928.36</v>
      </c>
      <c r="T423" s="91">
        <v>-63305.000000000007</v>
      </c>
      <c r="U423" s="91">
        <v>0</v>
      </c>
      <c r="V423" s="91">
        <v>0</v>
      </c>
      <c r="W423" s="91">
        <v>0</v>
      </c>
      <c r="X423" s="91">
        <v>-11012.03</v>
      </c>
      <c r="Y423" s="91">
        <v>-24268.719999999998</v>
      </c>
      <c r="Z423" s="91">
        <v>-6813.99</v>
      </c>
      <c r="AA423" s="91">
        <v>-7864.3899999999994</v>
      </c>
      <c r="AB423" s="91">
        <v>0</v>
      </c>
    </row>
    <row r="424" spans="3:28" x14ac:dyDescent="0.55000000000000004">
      <c r="C424" s="17"/>
      <c r="D424" s="92">
        <v>-25736410.049999997</v>
      </c>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row>
    <row r="425" spans="3:28" x14ac:dyDescent="0.55000000000000004">
      <c r="C425" s="90" t="s">
        <v>880</v>
      </c>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row>
    <row r="426" spans="3:28" x14ac:dyDescent="0.55000000000000004">
      <c r="C426" s="17" t="s">
        <v>457</v>
      </c>
      <c r="D426" s="69">
        <v>8827014.0399999991</v>
      </c>
      <c r="E426" s="91">
        <v>370614.45000000007</v>
      </c>
      <c r="F426" s="91">
        <v>319478.09000000003</v>
      </c>
      <c r="G426" s="91">
        <v>446238.89000000007</v>
      </c>
      <c r="H426" s="91">
        <v>295168.86999999994</v>
      </c>
      <c r="I426" s="91">
        <v>349762.05</v>
      </c>
      <c r="J426" s="91">
        <v>250724.97</v>
      </c>
      <c r="K426" s="91">
        <v>280854.99</v>
      </c>
      <c r="L426" s="91">
        <v>556379.9</v>
      </c>
      <c r="M426" s="91">
        <v>247719.51</v>
      </c>
      <c r="N426" s="91">
        <v>445744.14999999997</v>
      </c>
      <c r="O426" s="91">
        <v>231027.91999999998</v>
      </c>
      <c r="P426" s="91">
        <v>254517.13999999998</v>
      </c>
      <c r="Q426" s="91">
        <v>386293.07</v>
      </c>
      <c r="R426" s="91">
        <v>203755.85000000003</v>
      </c>
      <c r="S426" s="91">
        <v>397942.33000000007</v>
      </c>
      <c r="T426" s="91">
        <v>186849.36</v>
      </c>
      <c r="U426" s="91">
        <v>378936.89999999997</v>
      </c>
      <c r="V426" s="91">
        <v>248164.34000000003</v>
      </c>
      <c r="W426" s="91">
        <v>316253.67</v>
      </c>
      <c r="X426" s="91">
        <v>452751.60000000003</v>
      </c>
      <c r="Y426" s="91">
        <v>473539.25999999989</v>
      </c>
      <c r="Z426" s="91">
        <v>444538.66999999987</v>
      </c>
      <c r="AA426" s="91">
        <v>438982.75</v>
      </c>
      <c r="AB426" s="91">
        <v>850775.30999999982</v>
      </c>
    </row>
    <row r="427" spans="3:28" x14ac:dyDescent="0.55000000000000004">
      <c r="C427" s="17" t="s">
        <v>616</v>
      </c>
      <c r="D427" s="69">
        <v>401537.62000000005</v>
      </c>
      <c r="E427" s="91">
        <v>23064.74</v>
      </c>
      <c r="F427" s="91">
        <v>18861.259999999998</v>
      </c>
      <c r="G427" s="91">
        <v>8790.07</v>
      </c>
      <c r="H427" s="91">
        <v>14331.62</v>
      </c>
      <c r="I427" s="91">
        <v>18716.23</v>
      </c>
      <c r="J427" s="91">
        <v>7359.25</v>
      </c>
      <c r="K427" s="91">
        <v>16532.79</v>
      </c>
      <c r="L427" s="91">
        <v>22717.62</v>
      </c>
      <c r="M427" s="91">
        <v>10986.78</v>
      </c>
      <c r="N427" s="91">
        <v>17272.849999999999</v>
      </c>
      <c r="O427" s="91">
        <v>10879.3</v>
      </c>
      <c r="P427" s="91">
        <v>14152.91</v>
      </c>
      <c r="Q427" s="91">
        <v>15532.89</v>
      </c>
      <c r="R427" s="91">
        <v>13115.16</v>
      </c>
      <c r="S427" s="91">
        <v>24441.45</v>
      </c>
      <c r="T427" s="91">
        <v>8197.07</v>
      </c>
      <c r="U427" s="91">
        <v>16331.99</v>
      </c>
      <c r="V427" s="91">
        <v>12753.68</v>
      </c>
      <c r="W427" s="91">
        <v>13142.14</v>
      </c>
      <c r="X427" s="91">
        <v>25483.25</v>
      </c>
      <c r="Y427" s="91">
        <v>27167.15</v>
      </c>
      <c r="Z427" s="91">
        <v>22886.49</v>
      </c>
      <c r="AA427" s="91">
        <v>23537.72</v>
      </c>
      <c r="AB427" s="91">
        <v>15283.21</v>
      </c>
    </row>
    <row r="428" spans="3:28" x14ac:dyDescent="0.55000000000000004">
      <c r="C428" s="17" t="s">
        <v>599</v>
      </c>
      <c r="D428" s="69">
        <v>1005007.3899999999</v>
      </c>
      <c r="E428" s="91">
        <v>43504.890000000007</v>
      </c>
      <c r="F428" s="91">
        <v>46280.860000000008</v>
      </c>
      <c r="G428" s="91">
        <v>57619.46</v>
      </c>
      <c r="H428" s="91">
        <v>36790.169999999991</v>
      </c>
      <c r="I428" s="91">
        <v>33117.810000000005</v>
      </c>
      <c r="J428" s="91">
        <v>33960.65</v>
      </c>
      <c r="K428" s="91">
        <v>28865.64</v>
      </c>
      <c r="L428" s="91">
        <v>59299.17</v>
      </c>
      <c r="M428" s="91">
        <v>26116.59</v>
      </c>
      <c r="N428" s="91">
        <v>45805.99</v>
      </c>
      <c r="O428" s="91">
        <v>34146.420000000006</v>
      </c>
      <c r="P428" s="91">
        <v>28391.250000000004</v>
      </c>
      <c r="Q428" s="91">
        <v>39246.460000000006</v>
      </c>
      <c r="R428" s="91">
        <v>30627.51</v>
      </c>
      <c r="S428" s="91">
        <v>44981.58</v>
      </c>
      <c r="T428" s="91">
        <v>31420.150000000009</v>
      </c>
      <c r="U428" s="91">
        <v>60319.070000000007</v>
      </c>
      <c r="V428" s="91">
        <v>30862.399999999998</v>
      </c>
      <c r="W428" s="91">
        <v>35466.410000000003</v>
      </c>
      <c r="X428" s="91">
        <v>47510.549999999996</v>
      </c>
      <c r="Y428" s="91">
        <v>46021.760000000002</v>
      </c>
      <c r="Z428" s="91">
        <v>51097.47</v>
      </c>
      <c r="AA428" s="91">
        <v>54657.69</v>
      </c>
      <c r="AB428" s="91">
        <v>58897.440000000002</v>
      </c>
    </row>
    <row r="429" spans="3:28" x14ac:dyDescent="0.55000000000000004">
      <c r="C429" s="17" t="s">
        <v>562</v>
      </c>
      <c r="D429" s="69">
        <v>714062.60000000009</v>
      </c>
      <c r="E429" s="91">
        <v>40742.559999999998</v>
      </c>
      <c r="F429" s="91">
        <v>30402.550000000007</v>
      </c>
      <c r="G429" s="91">
        <v>43739.040000000008</v>
      </c>
      <c r="H429" s="91">
        <v>23630.440000000006</v>
      </c>
      <c r="I429" s="91">
        <v>35435.64</v>
      </c>
      <c r="J429" s="91">
        <v>18762.490000000002</v>
      </c>
      <c r="K429" s="91">
        <v>22878.11</v>
      </c>
      <c r="L429" s="91">
        <v>34508.71</v>
      </c>
      <c r="M429" s="91">
        <v>19147.09</v>
      </c>
      <c r="N429" s="91">
        <v>22636.46</v>
      </c>
      <c r="O429" s="91">
        <v>19629.180000000004</v>
      </c>
      <c r="P429" s="91">
        <v>18534.05</v>
      </c>
      <c r="Q429" s="91">
        <v>28402.05</v>
      </c>
      <c r="R429" s="91">
        <v>11991.45</v>
      </c>
      <c r="S429" s="91">
        <v>30298.31</v>
      </c>
      <c r="T429" s="91">
        <v>18282.349999999999</v>
      </c>
      <c r="U429" s="91">
        <v>31451.890000000003</v>
      </c>
      <c r="V429" s="91">
        <v>25225</v>
      </c>
      <c r="W429" s="91">
        <v>25132.810000000005</v>
      </c>
      <c r="X429" s="91">
        <v>46655.44</v>
      </c>
      <c r="Y429" s="91">
        <v>36034.829999999987</v>
      </c>
      <c r="Z429" s="91">
        <v>40013.910000000003</v>
      </c>
      <c r="AA429" s="91">
        <v>40446.44</v>
      </c>
      <c r="AB429" s="91">
        <v>50081.799999999988</v>
      </c>
    </row>
    <row r="430" spans="3:28" x14ac:dyDescent="0.55000000000000004">
      <c r="C430" s="17" t="s">
        <v>522</v>
      </c>
      <c r="D430" s="69">
        <v>788876.88999999978</v>
      </c>
      <c r="E430" s="91">
        <v>33437.929999999993</v>
      </c>
      <c r="F430" s="91">
        <v>36420.35</v>
      </c>
      <c r="G430" s="91">
        <v>36887.259999999995</v>
      </c>
      <c r="H430" s="91">
        <v>27858.789999999997</v>
      </c>
      <c r="I430" s="91">
        <v>30248.409999999996</v>
      </c>
      <c r="J430" s="91">
        <v>28908.400000000001</v>
      </c>
      <c r="K430" s="91">
        <v>23811.8</v>
      </c>
      <c r="L430" s="91">
        <v>29794.21</v>
      </c>
      <c r="M430" s="91">
        <v>22412.039999999997</v>
      </c>
      <c r="N430" s="91">
        <v>32788.239999999998</v>
      </c>
      <c r="O430" s="91">
        <v>20801.7</v>
      </c>
      <c r="P430" s="91">
        <v>25565.61</v>
      </c>
      <c r="Q430" s="91">
        <v>33737.440000000002</v>
      </c>
      <c r="R430" s="91">
        <v>23416.420000000002</v>
      </c>
      <c r="S430" s="91">
        <v>42090.400000000001</v>
      </c>
      <c r="T430" s="91">
        <v>27394.71</v>
      </c>
      <c r="U430" s="91">
        <v>37013.969999999994</v>
      </c>
      <c r="V430" s="91">
        <v>25024.600000000002</v>
      </c>
      <c r="W430" s="91">
        <v>31005.209999999995</v>
      </c>
      <c r="X430" s="91">
        <v>36485.859999999993</v>
      </c>
      <c r="Y430" s="91">
        <v>31475.89</v>
      </c>
      <c r="Z430" s="91">
        <v>42442.45</v>
      </c>
      <c r="AA430" s="91">
        <v>50980.079999999994</v>
      </c>
      <c r="AB430" s="91">
        <v>58875.12000000001</v>
      </c>
    </row>
    <row r="431" spans="3:28" x14ac:dyDescent="0.55000000000000004">
      <c r="C431" s="17" t="s">
        <v>731</v>
      </c>
      <c r="D431" s="69">
        <v>8846.9500000000007</v>
      </c>
      <c r="E431" s="91">
        <v>800</v>
      </c>
      <c r="F431" s="91">
        <v>35</v>
      </c>
      <c r="G431" s="91">
        <v>0</v>
      </c>
      <c r="H431" s="91">
        <v>35</v>
      </c>
      <c r="I431" s="91">
        <v>-151.63</v>
      </c>
      <c r="J431" s="91">
        <v>214.98</v>
      </c>
      <c r="K431" s="91">
        <v>0</v>
      </c>
      <c r="L431" s="91">
        <v>0</v>
      </c>
      <c r="M431" s="91">
        <v>410</v>
      </c>
      <c r="N431" s="91">
        <v>1000</v>
      </c>
      <c r="O431" s="91">
        <v>1209.67</v>
      </c>
      <c r="P431" s="91">
        <v>0</v>
      </c>
      <c r="Q431" s="91">
        <v>0</v>
      </c>
      <c r="R431" s="91">
        <v>0</v>
      </c>
      <c r="S431" s="91">
        <v>0</v>
      </c>
      <c r="T431" s="91">
        <v>0</v>
      </c>
      <c r="U431" s="91">
        <v>5277.81</v>
      </c>
      <c r="V431" s="91">
        <v>0</v>
      </c>
      <c r="W431" s="91">
        <v>0</v>
      </c>
      <c r="X431" s="91">
        <v>16.12</v>
      </c>
      <c r="Y431" s="91">
        <v>0</v>
      </c>
      <c r="Z431" s="91">
        <v>0</v>
      </c>
      <c r="AA431" s="91">
        <v>0</v>
      </c>
      <c r="AB431" s="91">
        <v>0</v>
      </c>
    </row>
    <row r="432" spans="3:28" x14ac:dyDescent="0.55000000000000004">
      <c r="C432" s="17" t="s">
        <v>808</v>
      </c>
      <c r="D432" s="69">
        <v>6175.7699999999968</v>
      </c>
      <c r="E432" s="91">
        <v>10787.39</v>
      </c>
      <c r="F432" s="91">
        <v>-5667.19</v>
      </c>
      <c r="G432" s="91">
        <v>-10200.48</v>
      </c>
      <c r="H432" s="91">
        <v>-10074.780000000001</v>
      </c>
      <c r="I432" s="91">
        <v>-8619.08</v>
      </c>
      <c r="J432" s="91">
        <v>4538.55</v>
      </c>
      <c r="K432" s="91">
        <v>4644.58</v>
      </c>
      <c r="L432" s="91">
        <v>-9906.08</v>
      </c>
      <c r="M432" s="91">
        <v>5751.44</v>
      </c>
      <c r="N432" s="91">
        <v>-13310.33</v>
      </c>
      <c r="O432" s="91">
        <v>28078.91</v>
      </c>
      <c r="P432" s="91">
        <v>-1749.24</v>
      </c>
      <c r="Q432" s="91">
        <v>-7509.05</v>
      </c>
      <c r="R432" s="91">
        <v>8552.11</v>
      </c>
      <c r="S432" s="91">
        <v>-34086.44</v>
      </c>
      <c r="T432" s="91">
        <v>-12785.25</v>
      </c>
      <c r="U432" s="91">
        <v>-7052.17</v>
      </c>
      <c r="V432" s="91">
        <v>-11820.97</v>
      </c>
      <c r="W432" s="91">
        <v>5034.5600000000004</v>
      </c>
      <c r="X432" s="91">
        <v>21619.3</v>
      </c>
      <c r="Y432" s="91">
        <v>10233.530000000001</v>
      </c>
      <c r="Z432" s="91">
        <v>-10348.93</v>
      </c>
      <c r="AA432" s="91">
        <v>29534.89</v>
      </c>
      <c r="AB432" s="91">
        <v>20530.5</v>
      </c>
    </row>
    <row r="433" spans="3:28" x14ac:dyDescent="0.55000000000000004">
      <c r="C433" s="17" t="s">
        <v>710</v>
      </c>
      <c r="D433" s="69">
        <v>32615.86</v>
      </c>
      <c r="E433" s="91">
        <v>3665</v>
      </c>
      <c r="F433" s="91">
        <v>2450</v>
      </c>
      <c r="G433" s="91">
        <v>0</v>
      </c>
      <c r="H433" s="91">
        <v>1074.0999999999999</v>
      </c>
      <c r="I433" s="91">
        <v>350</v>
      </c>
      <c r="J433" s="91">
        <v>0</v>
      </c>
      <c r="K433" s="91">
        <v>0</v>
      </c>
      <c r="L433" s="91">
        <v>6095.78</v>
      </c>
      <c r="M433" s="91">
        <v>1181.6199999999999</v>
      </c>
      <c r="N433" s="91">
        <v>0</v>
      </c>
      <c r="O433" s="91">
        <v>602.5</v>
      </c>
      <c r="P433" s="91">
        <v>13111.25</v>
      </c>
      <c r="Q433" s="91">
        <v>0</v>
      </c>
      <c r="R433" s="91">
        <v>0</v>
      </c>
      <c r="S433" s="91">
        <v>0</v>
      </c>
      <c r="T433" s="91">
        <v>0</v>
      </c>
      <c r="U433" s="91">
        <v>0</v>
      </c>
      <c r="V433" s="91">
        <v>0</v>
      </c>
      <c r="W433" s="91">
        <v>0</v>
      </c>
      <c r="X433" s="91">
        <v>1274</v>
      </c>
      <c r="Y433" s="91">
        <v>980</v>
      </c>
      <c r="Z433" s="91">
        <v>330</v>
      </c>
      <c r="AA433" s="91">
        <v>851.61</v>
      </c>
      <c r="AB433" s="91">
        <v>650</v>
      </c>
    </row>
    <row r="434" spans="3:28" x14ac:dyDescent="0.55000000000000004">
      <c r="C434" s="17" t="s">
        <v>797</v>
      </c>
      <c r="D434" s="69">
        <v>316760.38999999996</v>
      </c>
      <c r="E434" s="91">
        <v>26313.919999999998</v>
      </c>
      <c r="F434" s="91">
        <v>15849.59</v>
      </c>
      <c r="G434" s="91">
        <v>26117.149999999998</v>
      </c>
      <c r="H434" s="91">
        <v>8832.31</v>
      </c>
      <c r="I434" s="91">
        <v>20806.349999999999</v>
      </c>
      <c r="J434" s="91">
        <v>18523.3</v>
      </c>
      <c r="K434" s="91">
        <v>18672.62</v>
      </c>
      <c r="L434" s="91">
        <v>14315.380000000001</v>
      </c>
      <c r="M434" s="91">
        <v>10013.69</v>
      </c>
      <c r="N434" s="91">
        <v>6292.29</v>
      </c>
      <c r="O434" s="91">
        <v>2895.48</v>
      </c>
      <c r="P434" s="91">
        <v>17288.669999999998</v>
      </c>
      <c r="Q434" s="91">
        <v>6480.42</v>
      </c>
      <c r="R434" s="91">
        <v>5515.36</v>
      </c>
      <c r="S434" s="91">
        <v>24843.550000000003</v>
      </c>
      <c r="T434" s="91">
        <v>4126.0600000000004</v>
      </c>
      <c r="U434" s="91">
        <v>34304.700000000004</v>
      </c>
      <c r="V434" s="91">
        <v>7352.12</v>
      </c>
      <c r="W434" s="91">
        <v>15533.29</v>
      </c>
      <c r="X434" s="91">
        <v>7038.27</v>
      </c>
      <c r="Y434" s="91">
        <v>6017.5499999999993</v>
      </c>
      <c r="Z434" s="91">
        <v>7368.16</v>
      </c>
      <c r="AA434" s="91">
        <v>4609.5</v>
      </c>
      <c r="AB434" s="91">
        <v>7650.66</v>
      </c>
    </row>
    <row r="435" spans="3:28" x14ac:dyDescent="0.55000000000000004">
      <c r="C435" s="17" t="s">
        <v>734</v>
      </c>
      <c r="D435" s="69">
        <v>430400.71</v>
      </c>
      <c r="E435" s="91">
        <v>17656.57</v>
      </c>
      <c r="F435" s="91">
        <v>16755.309999999998</v>
      </c>
      <c r="G435" s="91">
        <v>22514.04</v>
      </c>
      <c r="H435" s="91">
        <v>13288.98</v>
      </c>
      <c r="I435" s="91">
        <v>16750.830000000002</v>
      </c>
      <c r="J435" s="91">
        <v>10089.200000000001</v>
      </c>
      <c r="K435" s="91">
        <v>12192.88</v>
      </c>
      <c r="L435" s="91">
        <v>27225.16</v>
      </c>
      <c r="M435" s="91">
        <v>9715.92</v>
      </c>
      <c r="N435" s="91">
        <v>16692.53</v>
      </c>
      <c r="O435" s="91">
        <v>10326.5</v>
      </c>
      <c r="P435" s="91">
        <v>13214.07</v>
      </c>
      <c r="Q435" s="91">
        <v>16316.1</v>
      </c>
      <c r="R435" s="91">
        <v>9208.35</v>
      </c>
      <c r="S435" s="91">
        <v>16355.02</v>
      </c>
      <c r="T435" s="91">
        <v>9698.9</v>
      </c>
      <c r="U435" s="91">
        <v>14797.68</v>
      </c>
      <c r="V435" s="91">
        <v>10191.66</v>
      </c>
      <c r="W435" s="91">
        <v>15732.64</v>
      </c>
      <c r="X435" s="91">
        <v>19096.969999999998</v>
      </c>
      <c r="Y435" s="91">
        <v>20830.080000000002</v>
      </c>
      <c r="Z435" s="91">
        <v>18630.41</v>
      </c>
      <c r="AA435" s="91">
        <v>22623.64</v>
      </c>
      <c r="AB435" s="91">
        <v>70497.27</v>
      </c>
    </row>
    <row r="436" spans="3:28" x14ac:dyDescent="0.55000000000000004">
      <c r="C436" s="17" t="s">
        <v>485</v>
      </c>
      <c r="D436" s="69">
        <v>3828416.4433399998</v>
      </c>
      <c r="E436" s="91">
        <v>177475.50999999998</v>
      </c>
      <c r="F436" s="91">
        <v>142725.58999999997</v>
      </c>
      <c r="G436" s="91">
        <v>230602.69000000003</v>
      </c>
      <c r="H436" s="91">
        <v>156306.11000000002</v>
      </c>
      <c r="I436" s="91">
        <v>138109.58000000002</v>
      </c>
      <c r="J436" s="91">
        <v>134442.21</v>
      </c>
      <c r="K436" s="91">
        <v>133196.97</v>
      </c>
      <c r="L436" s="91">
        <v>185883.15000000002</v>
      </c>
      <c r="M436" s="91">
        <v>139797.37999999998</v>
      </c>
      <c r="N436" s="91">
        <v>160469.01999999999</v>
      </c>
      <c r="O436" s="91">
        <v>88922.74</v>
      </c>
      <c r="P436" s="91">
        <v>182866.08999999997</v>
      </c>
      <c r="Q436" s="91">
        <v>148653.09999999998</v>
      </c>
      <c r="R436" s="91">
        <v>122844.17</v>
      </c>
      <c r="S436" s="91">
        <v>161421.84</v>
      </c>
      <c r="T436" s="91">
        <v>129112.01999999999</v>
      </c>
      <c r="U436" s="91">
        <v>228689.36000000007</v>
      </c>
      <c r="V436" s="91">
        <v>147175.58999999997</v>
      </c>
      <c r="W436" s="91">
        <v>171816.73</v>
      </c>
      <c r="X436" s="91">
        <v>171059.54</v>
      </c>
      <c r="Y436" s="91">
        <v>189798.50999999998</v>
      </c>
      <c r="Z436" s="91">
        <v>190727.83</v>
      </c>
      <c r="AA436" s="91">
        <v>153200.78333999999</v>
      </c>
      <c r="AB436" s="91">
        <v>143119.93</v>
      </c>
    </row>
    <row r="437" spans="3:28" x14ac:dyDescent="0.55000000000000004">
      <c r="C437" s="17" t="s">
        <v>826</v>
      </c>
      <c r="D437" s="69">
        <v>2914252.47</v>
      </c>
      <c r="E437" s="91">
        <v>145728.47</v>
      </c>
      <c r="F437" s="91">
        <v>105517.53000000003</v>
      </c>
      <c r="G437" s="91">
        <v>137197.16999999995</v>
      </c>
      <c r="H437" s="91">
        <v>85652.329999999987</v>
      </c>
      <c r="I437" s="91">
        <v>100738.82999999999</v>
      </c>
      <c r="J437" s="91">
        <v>154673.63000000003</v>
      </c>
      <c r="K437" s="91">
        <v>120579.32</v>
      </c>
      <c r="L437" s="91">
        <v>112049.61</v>
      </c>
      <c r="M437" s="91">
        <v>121369.55</v>
      </c>
      <c r="N437" s="91">
        <v>133823.91</v>
      </c>
      <c r="O437" s="91">
        <v>87153.55</v>
      </c>
      <c r="P437" s="91">
        <v>164809.40000000002</v>
      </c>
      <c r="Q437" s="91">
        <v>70149.78</v>
      </c>
      <c r="R437" s="91">
        <v>99875.359999999971</v>
      </c>
      <c r="S437" s="91">
        <v>109963.09999999999</v>
      </c>
      <c r="T437" s="91">
        <v>115711.29000000001</v>
      </c>
      <c r="U437" s="91">
        <v>209751.00000000006</v>
      </c>
      <c r="V437" s="91">
        <v>117320.32999999999</v>
      </c>
      <c r="W437" s="91">
        <v>101234.86000000003</v>
      </c>
      <c r="X437" s="91">
        <v>108813.95</v>
      </c>
      <c r="Y437" s="91">
        <v>125108.45000000001</v>
      </c>
      <c r="Z437" s="91">
        <v>143680.03000000003</v>
      </c>
      <c r="AA437" s="91">
        <v>86822.18</v>
      </c>
      <c r="AB437" s="91">
        <v>156528.84</v>
      </c>
    </row>
    <row r="438" spans="3:28" x14ac:dyDescent="0.55000000000000004">
      <c r="C438" s="17" t="s">
        <v>839</v>
      </c>
      <c r="D438" s="69">
        <v>626606.02</v>
      </c>
      <c r="E438" s="91">
        <v>41539.72</v>
      </c>
      <c r="F438" s="91">
        <v>31672.27</v>
      </c>
      <c r="G438" s="91">
        <v>37892.75</v>
      </c>
      <c r="H438" s="91">
        <v>14234.31</v>
      </c>
      <c r="I438" s="91">
        <v>21585.24</v>
      </c>
      <c r="J438" s="91">
        <v>29542.66</v>
      </c>
      <c r="K438" s="91">
        <v>25723.1</v>
      </c>
      <c r="L438" s="91">
        <v>32130.9</v>
      </c>
      <c r="M438" s="91">
        <v>36980.46</v>
      </c>
      <c r="N438" s="91">
        <v>41063.589999999997</v>
      </c>
      <c r="O438" s="91">
        <v>17434.879999999997</v>
      </c>
      <c r="P438" s="91">
        <v>42345.68</v>
      </c>
      <c r="Q438" s="91">
        <v>10927.01</v>
      </c>
      <c r="R438" s="91">
        <v>17300.39</v>
      </c>
      <c r="S438" s="91">
        <v>30566.94</v>
      </c>
      <c r="T438" s="91">
        <v>17547.47</v>
      </c>
      <c r="U438" s="91">
        <v>37859.949999999997</v>
      </c>
      <c r="V438" s="91">
        <v>22869.97</v>
      </c>
      <c r="W438" s="91">
        <v>12604.04</v>
      </c>
      <c r="X438" s="91">
        <v>17376.72</v>
      </c>
      <c r="Y438" s="91">
        <v>14512.51</v>
      </c>
      <c r="Z438" s="91">
        <v>18877.2</v>
      </c>
      <c r="AA438" s="91">
        <v>23811.72</v>
      </c>
      <c r="AB438" s="91">
        <v>30206.54</v>
      </c>
    </row>
    <row r="439" spans="3:28" x14ac:dyDescent="0.55000000000000004">
      <c r="C439" s="17" t="s">
        <v>510</v>
      </c>
      <c r="D439" s="69">
        <v>687829.75</v>
      </c>
      <c r="E439" s="91">
        <v>14235.15</v>
      </c>
      <c r="F439" s="91">
        <v>22430.57</v>
      </c>
      <c r="G439" s="91">
        <v>40092.800000000003</v>
      </c>
      <c r="H439" s="91">
        <v>11237.849999999999</v>
      </c>
      <c r="I439" s="91">
        <v>20749.080000000002</v>
      </c>
      <c r="J439" s="91">
        <v>27046.489999999998</v>
      </c>
      <c r="K439" s="91">
        <v>14910.46</v>
      </c>
      <c r="L439" s="91">
        <v>20825.759999999998</v>
      </c>
      <c r="M439" s="91">
        <v>22237.14</v>
      </c>
      <c r="N439" s="91">
        <v>34864.81</v>
      </c>
      <c r="O439" s="91">
        <v>8991.48</v>
      </c>
      <c r="P439" s="91">
        <v>47099.51</v>
      </c>
      <c r="Q439" s="91">
        <v>33593.009999999995</v>
      </c>
      <c r="R439" s="91">
        <v>11888.939999999999</v>
      </c>
      <c r="S439" s="91">
        <v>19424.059999999998</v>
      </c>
      <c r="T439" s="91">
        <v>8255.09</v>
      </c>
      <c r="U439" s="91">
        <v>45925.520000000004</v>
      </c>
      <c r="V439" s="91">
        <v>19188.560000000001</v>
      </c>
      <c r="W439" s="91">
        <v>13287.5</v>
      </c>
      <c r="X439" s="91">
        <v>14262.210000000003</v>
      </c>
      <c r="Y439" s="91">
        <v>16568.03</v>
      </c>
      <c r="Z439" s="91">
        <v>18985.97</v>
      </c>
      <c r="AA439" s="91">
        <v>8806.9</v>
      </c>
      <c r="AB439" s="91">
        <v>192922.86</v>
      </c>
    </row>
    <row r="440" spans="3:28" x14ac:dyDescent="0.55000000000000004">
      <c r="C440" s="17" t="s">
        <v>629</v>
      </c>
      <c r="D440" s="69">
        <v>1059741.3799999999</v>
      </c>
      <c r="E440" s="91">
        <v>44820.02</v>
      </c>
      <c r="F440" s="91">
        <v>40283.880000000005</v>
      </c>
      <c r="G440" s="91">
        <v>47043.209999999985</v>
      </c>
      <c r="H440" s="91">
        <v>32949.770000000004</v>
      </c>
      <c r="I440" s="91">
        <v>37207.849999999984</v>
      </c>
      <c r="J440" s="91">
        <v>40356.860000000008</v>
      </c>
      <c r="K440" s="91">
        <v>31364.219999999998</v>
      </c>
      <c r="L440" s="91">
        <v>51195.37999999999</v>
      </c>
      <c r="M440" s="91">
        <v>33170.89</v>
      </c>
      <c r="N440" s="91">
        <v>48295.6</v>
      </c>
      <c r="O440" s="91">
        <v>26765.520000000004</v>
      </c>
      <c r="P440" s="91">
        <v>41952.189999999995</v>
      </c>
      <c r="Q440" s="91">
        <v>39862.140000000007</v>
      </c>
      <c r="R440" s="91">
        <v>18430.830000000002</v>
      </c>
      <c r="S440" s="91">
        <v>55603.229999999996</v>
      </c>
      <c r="T440" s="91">
        <v>27495.320000000003</v>
      </c>
      <c r="U440" s="91">
        <v>82115.240000000005</v>
      </c>
      <c r="V440" s="91">
        <v>38773.519999999982</v>
      </c>
      <c r="W440" s="91">
        <v>32259.250000000004</v>
      </c>
      <c r="X440" s="91">
        <v>49011.369999999995</v>
      </c>
      <c r="Y440" s="91">
        <v>49108.689999999995</v>
      </c>
      <c r="Z440" s="91">
        <v>69636.649999999994</v>
      </c>
      <c r="AA440" s="91">
        <v>60359.530000000006</v>
      </c>
      <c r="AB440" s="91">
        <v>61680.22</v>
      </c>
    </row>
    <row r="441" spans="3:28" x14ac:dyDescent="0.55000000000000004">
      <c r="C441" s="17" t="s">
        <v>775</v>
      </c>
      <c r="D441" s="69">
        <v>1282417</v>
      </c>
      <c r="E441" s="91">
        <v>63357</v>
      </c>
      <c r="F441" s="91">
        <v>51212</v>
      </c>
      <c r="G441" s="91">
        <v>74731</v>
      </c>
      <c r="H441" s="91">
        <v>49712</v>
      </c>
      <c r="I441" s="91">
        <v>48480</v>
      </c>
      <c r="J441" s="91">
        <v>50031</v>
      </c>
      <c r="K441" s="91">
        <v>46344</v>
      </c>
      <c r="L441" s="91">
        <v>57066</v>
      </c>
      <c r="M441" s="91">
        <v>47235</v>
      </c>
      <c r="N441" s="91">
        <v>53300</v>
      </c>
      <c r="O441" s="91">
        <v>29323</v>
      </c>
      <c r="P441" s="91">
        <v>58214</v>
      </c>
      <c r="Q441" s="91">
        <v>40076</v>
      </c>
      <c r="R441" s="91">
        <v>36934</v>
      </c>
      <c r="S441" s="91">
        <v>55166</v>
      </c>
      <c r="T441" s="91">
        <v>40240</v>
      </c>
      <c r="U441" s="91">
        <v>64515</v>
      </c>
      <c r="V441" s="91">
        <v>45094</v>
      </c>
      <c r="W441" s="91">
        <v>47514</v>
      </c>
      <c r="X441" s="91">
        <v>50460</v>
      </c>
      <c r="Y441" s="91">
        <v>58155</v>
      </c>
      <c r="Z441" s="91">
        <v>64709</v>
      </c>
      <c r="AA441" s="91">
        <v>57423</v>
      </c>
      <c r="AB441" s="91">
        <v>93126</v>
      </c>
    </row>
    <row r="442" spans="3:28" x14ac:dyDescent="0.55000000000000004">
      <c r="C442" s="17"/>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row>
    <row r="443" spans="3:28" x14ac:dyDescent="0.55000000000000004">
      <c r="C443" s="90" t="s">
        <v>881</v>
      </c>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row>
    <row r="444" spans="3:28" x14ac:dyDescent="0.55000000000000004">
      <c r="C444" s="17" t="s">
        <v>447</v>
      </c>
      <c r="D444" s="69">
        <v>137487.6</v>
      </c>
      <c r="E444" s="91">
        <v>31337.93</v>
      </c>
      <c r="F444" s="91">
        <v>530.15</v>
      </c>
      <c r="G444" s="91">
        <v>500</v>
      </c>
      <c r="H444" s="91">
        <v>60482.04</v>
      </c>
      <c r="I444" s="91">
        <v>500</v>
      </c>
      <c r="J444" s="91">
        <v>500</v>
      </c>
      <c r="K444" s="91">
        <v>702.5</v>
      </c>
      <c r="L444" s="91">
        <v>-2261.19</v>
      </c>
      <c r="M444" s="91">
        <v>2653.3399999999997</v>
      </c>
      <c r="N444" s="91">
        <v>26017</v>
      </c>
      <c r="O444" s="91">
        <v>15522</v>
      </c>
      <c r="P444" s="91">
        <v>13524.51</v>
      </c>
      <c r="Q444" s="91">
        <v>500</v>
      </c>
      <c r="R444" s="91">
        <v>500</v>
      </c>
      <c r="S444" s="91">
        <v>1060</v>
      </c>
      <c r="T444" s="91">
        <v>500</v>
      </c>
      <c r="U444" s="91">
        <v>500</v>
      </c>
      <c r="V444" s="91">
        <v>500</v>
      </c>
      <c r="W444" s="91">
        <v>500</v>
      </c>
      <c r="X444" s="91">
        <v>0</v>
      </c>
      <c r="Y444" s="91">
        <v>-21466.28</v>
      </c>
      <c r="Z444" s="91">
        <v>-240</v>
      </c>
      <c r="AA444" s="91">
        <v>364.39</v>
      </c>
      <c r="AB444" s="91">
        <v>4761.21</v>
      </c>
    </row>
    <row r="445" spans="3:28" x14ac:dyDescent="0.55000000000000004">
      <c r="C445" s="17" t="s">
        <v>778</v>
      </c>
      <c r="D445" s="69">
        <v>58604.58</v>
      </c>
      <c r="E445" s="91">
        <v>1899.76</v>
      </c>
      <c r="F445" s="91">
        <v>978.74</v>
      </c>
      <c r="G445" s="91">
        <v>649.51</v>
      </c>
      <c r="H445" s="91">
        <v>1287.5900000000001</v>
      </c>
      <c r="I445" s="91">
        <v>977.54</v>
      </c>
      <c r="J445" s="91">
        <v>879.21</v>
      </c>
      <c r="K445" s="91">
        <v>534.03</v>
      </c>
      <c r="L445" s="91">
        <v>1351.04</v>
      </c>
      <c r="M445" s="91">
        <v>1187.1699999999998</v>
      </c>
      <c r="N445" s="91">
        <v>741.37</v>
      </c>
      <c r="O445" s="91">
        <v>109.92</v>
      </c>
      <c r="P445" s="91">
        <v>304.25</v>
      </c>
      <c r="Q445" s="91">
        <v>680.65</v>
      </c>
      <c r="R445" s="91">
        <v>1756.65</v>
      </c>
      <c r="S445" s="91">
        <v>2835.2</v>
      </c>
      <c r="T445" s="91">
        <v>409.17999999999995</v>
      </c>
      <c r="U445" s="91">
        <v>3195.4900000000002</v>
      </c>
      <c r="V445" s="91">
        <v>659.94</v>
      </c>
      <c r="W445" s="91">
        <v>999.14</v>
      </c>
      <c r="X445" s="91">
        <v>2310.59</v>
      </c>
      <c r="Y445" s="91">
        <v>4953.2</v>
      </c>
      <c r="Z445" s="91">
        <v>493.74</v>
      </c>
      <c r="AA445" s="91">
        <v>2743.17</v>
      </c>
      <c r="AB445" s="91">
        <v>26667.5</v>
      </c>
    </row>
    <row r="446" spans="3:28" x14ac:dyDescent="0.55000000000000004">
      <c r="C446" s="17" t="s">
        <v>452</v>
      </c>
      <c r="D446" s="69">
        <v>-615.25</v>
      </c>
      <c r="E446" s="91">
        <v>0</v>
      </c>
      <c r="F446" s="91">
        <v>-187.92</v>
      </c>
      <c r="G446" s="91">
        <v>-5.59</v>
      </c>
      <c r="H446" s="91">
        <v>-45.23</v>
      </c>
      <c r="I446" s="91">
        <v>-15.1</v>
      </c>
      <c r="J446" s="91">
        <v>0</v>
      </c>
      <c r="K446" s="91">
        <v>-930.09</v>
      </c>
      <c r="L446" s="91">
        <v>-508.53</v>
      </c>
      <c r="M446" s="91">
        <v>-0.17</v>
      </c>
      <c r="N446" s="91">
        <v>0</v>
      </c>
      <c r="O446" s="91">
        <v>0</v>
      </c>
      <c r="P446" s="91">
        <v>-16.04</v>
      </c>
      <c r="Q446" s="91">
        <v>0</v>
      </c>
      <c r="R446" s="91">
        <v>-2.2999999999999998</v>
      </c>
      <c r="S446" s="91">
        <v>0</v>
      </c>
      <c r="T446" s="91">
        <v>0</v>
      </c>
      <c r="U446" s="91">
        <v>-177.5</v>
      </c>
      <c r="V446" s="91">
        <v>0</v>
      </c>
      <c r="W446" s="91">
        <v>-10.199999999999999</v>
      </c>
      <c r="X446" s="91">
        <v>-116.53</v>
      </c>
      <c r="Y446" s="91">
        <v>0</v>
      </c>
      <c r="Z446" s="91">
        <v>0</v>
      </c>
      <c r="AA446" s="91">
        <v>0</v>
      </c>
      <c r="AB446" s="91">
        <v>1399.95</v>
      </c>
    </row>
    <row r="447" spans="3:28" x14ac:dyDescent="0.55000000000000004">
      <c r="C447" s="17" t="s">
        <v>789</v>
      </c>
      <c r="D447" s="69">
        <v>3067534.92</v>
      </c>
      <c r="E447" s="91">
        <v>175617.33</v>
      </c>
      <c r="F447" s="91">
        <v>101445.54</v>
      </c>
      <c r="G447" s="91">
        <v>172500.51</v>
      </c>
      <c r="H447" s="91">
        <v>60859.1</v>
      </c>
      <c r="I447" s="91">
        <v>134721.57</v>
      </c>
      <c r="J447" s="91">
        <v>133955.71</v>
      </c>
      <c r="K447" s="91">
        <v>121845.92</v>
      </c>
      <c r="L447" s="91">
        <v>151196.04</v>
      </c>
      <c r="M447" s="91">
        <v>84972.94</v>
      </c>
      <c r="N447" s="91">
        <v>112930.29</v>
      </c>
      <c r="O447" s="91">
        <v>68435.929999999993</v>
      </c>
      <c r="P447" s="91">
        <v>108091.32</v>
      </c>
      <c r="Q447" s="91">
        <v>54841.18</v>
      </c>
      <c r="R447" s="91">
        <v>132158.82</v>
      </c>
      <c r="S447" s="91">
        <v>169605.51</v>
      </c>
      <c r="T447" s="91">
        <v>155000.69</v>
      </c>
      <c r="U447" s="91">
        <v>203716.29</v>
      </c>
      <c r="V447" s="91">
        <v>144994.56</v>
      </c>
      <c r="W447" s="91">
        <v>118356.41</v>
      </c>
      <c r="X447" s="91">
        <v>126938.8</v>
      </c>
      <c r="Y447" s="91">
        <v>124488.58</v>
      </c>
      <c r="Z447" s="91">
        <v>141134.04</v>
      </c>
      <c r="AA447" s="91">
        <v>88605.8</v>
      </c>
      <c r="AB447" s="91">
        <v>181122.04</v>
      </c>
    </row>
    <row r="448" spans="3:28" x14ac:dyDescent="0.55000000000000004">
      <c r="C448" s="17" t="s">
        <v>792</v>
      </c>
      <c r="D448" s="69">
        <v>355304.05</v>
      </c>
      <c r="E448" s="91">
        <v>21070.6</v>
      </c>
      <c r="F448" s="91">
        <v>9876.52</v>
      </c>
      <c r="G448" s="91">
        <v>18746.689999999999</v>
      </c>
      <c r="H448" s="91">
        <v>7301.89</v>
      </c>
      <c r="I448" s="91">
        <v>13142.12</v>
      </c>
      <c r="J448" s="91">
        <v>14325.39</v>
      </c>
      <c r="K448" s="91">
        <v>13241.74</v>
      </c>
      <c r="L448" s="91">
        <v>23770.45</v>
      </c>
      <c r="M448" s="91">
        <v>9234.5300000000007</v>
      </c>
      <c r="N448" s="91">
        <v>11016.37</v>
      </c>
      <c r="O448" s="91">
        <v>6675.94</v>
      </c>
      <c r="P448" s="91">
        <v>12968.82</v>
      </c>
      <c r="Q448" s="91">
        <v>5959.93</v>
      </c>
      <c r="R448" s="91">
        <v>14117.01</v>
      </c>
      <c r="S448" s="91">
        <v>16427.990000000002</v>
      </c>
      <c r="T448" s="91">
        <v>18267.07</v>
      </c>
      <c r="U448" s="91">
        <v>19657.96</v>
      </c>
      <c r="V448" s="91">
        <v>15757.45</v>
      </c>
      <c r="W448" s="91">
        <v>14200.43</v>
      </c>
      <c r="X448" s="91">
        <v>12382.91</v>
      </c>
      <c r="Y448" s="91">
        <v>13528.94</v>
      </c>
      <c r="Z448" s="91">
        <v>22188.54</v>
      </c>
      <c r="AA448" s="91">
        <v>8643.51</v>
      </c>
      <c r="AB448" s="91">
        <v>32801.25</v>
      </c>
    </row>
    <row r="449" spans="2:28" x14ac:dyDescent="0.55000000000000004">
      <c r="C449" s="17"/>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row>
    <row r="450" spans="2:28" x14ac:dyDescent="0.55000000000000004">
      <c r="C450" s="90" t="s">
        <v>107</v>
      </c>
      <c r="D450" s="69">
        <v>812467.13333999983</v>
      </c>
      <c r="E450" s="93">
        <v>3550.0899999997273</v>
      </c>
      <c r="F450" s="93">
        <v>-31945.370000000028</v>
      </c>
      <c r="G450" s="93">
        <v>20705.129999999885</v>
      </c>
      <c r="H450" s="93">
        <v>-28932.299999999879</v>
      </c>
      <c r="I450" s="93">
        <v>-26447.239999999692</v>
      </c>
      <c r="J450" s="93">
        <v>-57912.959999999948</v>
      </c>
      <c r="K450" s="93">
        <v>-50365.990000000056</v>
      </c>
      <c r="L450" s="93">
        <v>55934.580000000191</v>
      </c>
      <c r="M450" s="93">
        <v>-6812.3100000000541</v>
      </c>
      <c r="N450" s="93">
        <v>39923.56999999968</v>
      </c>
      <c r="O450" s="93">
        <v>74608.919999999765</v>
      </c>
      <c r="P450" s="93">
        <v>-70474.820000000153</v>
      </c>
      <c r="Q450" s="93">
        <v>112413.37999999995</v>
      </c>
      <c r="R450" s="93">
        <v>26438.650000000089</v>
      </c>
      <c r="S450" s="93">
        <v>29505.400000000209</v>
      </c>
      <c r="T450" s="93">
        <v>177662.09000000003</v>
      </c>
      <c r="U450" s="93">
        <v>240134.50000000003</v>
      </c>
      <c r="V450" s="93">
        <v>-4228.8800000000447</v>
      </c>
      <c r="W450" s="93">
        <v>-24012.279999999788</v>
      </c>
      <c r="X450" s="93">
        <v>123919.39000000007</v>
      </c>
      <c r="Y450" s="93">
        <v>25745.939999999973</v>
      </c>
      <c r="Z450" s="93">
        <v>14253.37999999991</v>
      </c>
      <c r="AA450" s="93">
        <v>33758.193340000034</v>
      </c>
      <c r="AB450" s="93">
        <v>135046.07000000009</v>
      </c>
    </row>
    <row r="451" spans="2:28" x14ac:dyDescent="0.55000000000000004">
      <c r="C451" s="90" t="s">
        <v>882</v>
      </c>
      <c r="D451" s="93">
        <v>-812467</v>
      </c>
      <c r="E451" s="93">
        <v>-3550</v>
      </c>
      <c r="F451" s="93">
        <v>31945</v>
      </c>
      <c r="G451" s="93">
        <v>-20705</v>
      </c>
      <c r="H451" s="93">
        <v>28932</v>
      </c>
      <c r="I451" s="93">
        <v>26447</v>
      </c>
      <c r="J451" s="93">
        <v>57913</v>
      </c>
      <c r="K451" s="93">
        <v>50366</v>
      </c>
      <c r="L451" s="93">
        <v>-55935</v>
      </c>
      <c r="M451" s="93">
        <v>6812</v>
      </c>
      <c r="N451" s="93">
        <v>-39924</v>
      </c>
      <c r="O451" s="93">
        <v>-74609</v>
      </c>
      <c r="P451" s="93">
        <v>70475</v>
      </c>
      <c r="Q451" s="93">
        <v>-112413</v>
      </c>
      <c r="R451" s="93">
        <v>-26439</v>
      </c>
      <c r="S451" s="93">
        <v>-29505</v>
      </c>
      <c r="T451" s="93">
        <v>-177662</v>
      </c>
      <c r="U451" s="93">
        <v>-240135</v>
      </c>
      <c r="V451" s="93">
        <v>4229</v>
      </c>
      <c r="W451" s="93">
        <v>24012</v>
      </c>
      <c r="X451" s="93">
        <v>-123919</v>
      </c>
      <c r="Y451" s="93">
        <v>-25746</v>
      </c>
      <c r="Z451" s="93">
        <v>-14253</v>
      </c>
      <c r="AA451" s="93">
        <v>-33758</v>
      </c>
      <c r="AB451" s="93">
        <v>-135046</v>
      </c>
    </row>
    <row r="452" spans="2:28" x14ac:dyDescent="0.55000000000000004">
      <c r="C452" s="17"/>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row>
    <row r="453" spans="2:28" x14ac:dyDescent="0.55000000000000004">
      <c r="C453" s="90" t="s">
        <v>883</v>
      </c>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row>
    <row r="454" spans="2:28" x14ac:dyDescent="0.55000000000000004">
      <c r="B454" t="s">
        <v>884</v>
      </c>
      <c r="C454" s="17" t="s">
        <v>458</v>
      </c>
      <c r="D454" s="69">
        <v>7813080.6100000003</v>
      </c>
      <c r="E454" s="91">
        <v>330006.41000000003</v>
      </c>
      <c r="F454" s="91">
        <v>294851.83000000007</v>
      </c>
      <c r="G454" s="91">
        <v>375845.82000000007</v>
      </c>
      <c r="H454" s="91">
        <v>268893.81</v>
      </c>
      <c r="I454" s="91">
        <v>309962.44</v>
      </c>
      <c r="J454" s="91">
        <v>210863.9</v>
      </c>
      <c r="K454" s="91">
        <v>223225.88999999998</v>
      </c>
      <c r="L454" s="91">
        <v>447604.42</v>
      </c>
      <c r="M454" s="91">
        <v>221922</v>
      </c>
      <c r="N454" s="91">
        <v>383947.74</v>
      </c>
      <c r="O454" s="91">
        <v>198653.97</v>
      </c>
      <c r="P454" s="91">
        <v>221809.8</v>
      </c>
      <c r="Q454" s="91">
        <v>284149.07</v>
      </c>
      <c r="R454" s="91">
        <v>196471.45000000004</v>
      </c>
      <c r="S454" s="91">
        <v>363347.48000000004</v>
      </c>
      <c r="T454" s="91">
        <v>172177.86</v>
      </c>
      <c r="U454" s="91">
        <v>348344.32000000001</v>
      </c>
      <c r="V454" s="91">
        <v>238682.52000000002</v>
      </c>
      <c r="W454" s="91">
        <v>291505.21000000002</v>
      </c>
      <c r="X454" s="91">
        <v>435888.26</v>
      </c>
      <c r="Y454" s="91">
        <v>454492.34999999992</v>
      </c>
      <c r="Z454" s="91">
        <v>417989.10999999993</v>
      </c>
      <c r="AA454" s="91">
        <v>418884.24</v>
      </c>
      <c r="AB454" s="91">
        <v>703560.71</v>
      </c>
    </row>
    <row r="455" spans="2:28" x14ac:dyDescent="0.55000000000000004">
      <c r="B455" t="s">
        <v>884</v>
      </c>
      <c r="C455" s="17" t="s">
        <v>513</v>
      </c>
      <c r="D455" s="69">
        <v>325439.62</v>
      </c>
      <c r="E455" s="91">
        <v>0</v>
      </c>
      <c r="F455" s="91">
        <v>0</v>
      </c>
      <c r="G455" s="91">
        <v>32276.799999999999</v>
      </c>
      <c r="H455" s="91">
        <v>3531.13</v>
      </c>
      <c r="I455" s="91">
        <v>6328.93</v>
      </c>
      <c r="J455" s="91">
        <v>0</v>
      </c>
      <c r="K455" s="91">
        <v>30120.68</v>
      </c>
      <c r="L455" s="91">
        <v>53629.179999999993</v>
      </c>
      <c r="M455" s="91">
        <v>0</v>
      </c>
      <c r="N455" s="91">
        <v>5862.5</v>
      </c>
      <c r="O455" s="91">
        <v>0</v>
      </c>
      <c r="P455" s="91">
        <v>0</v>
      </c>
      <c r="Q455" s="91">
        <v>76700.94</v>
      </c>
      <c r="R455" s="91">
        <v>0</v>
      </c>
      <c r="S455" s="91">
        <v>17472</v>
      </c>
      <c r="T455" s="91">
        <v>0</v>
      </c>
      <c r="U455" s="91">
        <v>0</v>
      </c>
      <c r="V455" s="91">
        <v>0</v>
      </c>
      <c r="W455" s="91">
        <v>14051.74</v>
      </c>
      <c r="X455" s="91">
        <v>0</v>
      </c>
      <c r="Y455" s="91">
        <v>2350.23</v>
      </c>
      <c r="Z455" s="91">
        <v>0</v>
      </c>
      <c r="AA455" s="91">
        <v>0</v>
      </c>
      <c r="AB455" s="91">
        <v>83115.490000000005</v>
      </c>
    </row>
    <row r="456" spans="2:28" x14ac:dyDescent="0.55000000000000004">
      <c r="B456" t="s">
        <v>884</v>
      </c>
      <c r="C456" s="17" t="s">
        <v>523</v>
      </c>
      <c r="D456" s="69">
        <v>6617152.7300000004</v>
      </c>
      <c r="E456" s="91">
        <v>351645.16</v>
      </c>
      <c r="F456" s="91">
        <v>271014.08</v>
      </c>
      <c r="G456" s="91">
        <v>392390.12000000011</v>
      </c>
      <c r="H456" s="91">
        <v>249668.00999999998</v>
      </c>
      <c r="I456" s="91">
        <v>253601.44000000006</v>
      </c>
      <c r="J456" s="91">
        <v>326626.78000000003</v>
      </c>
      <c r="K456" s="91">
        <v>259233.95999999996</v>
      </c>
      <c r="L456" s="91">
        <v>292104.78999999992</v>
      </c>
      <c r="M456" s="91">
        <v>275794.43</v>
      </c>
      <c r="N456" s="91">
        <v>317428.25999999995</v>
      </c>
      <c r="O456" s="91">
        <v>194129.83999999997</v>
      </c>
      <c r="P456" s="91">
        <v>334582.23000000004</v>
      </c>
      <c r="Q456" s="91">
        <v>192683.41000000009</v>
      </c>
      <c r="R456" s="91">
        <v>204696.60000000003</v>
      </c>
      <c r="S456" s="91">
        <v>266757.41999999993</v>
      </c>
      <c r="T456" s="91">
        <v>235948.30999999997</v>
      </c>
      <c r="U456" s="91">
        <v>460527.93000000017</v>
      </c>
      <c r="V456" s="91">
        <v>275080.65000000008</v>
      </c>
      <c r="W456" s="91">
        <v>244558.40000000005</v>
      </c>
      <c r="X456" s="91">
        <v>181756.92999999996</v>
      </c>
      <c r="Y456" s="91">
        <v>169483.82</v>
      </c>
      <c r="Z456" s="91">
        <v>358258.03999999986</v>
      </c>
      <c r="AA456" s="91">
        <v>177750.30000000002</v>
      </c>
      <c r="AB456" s="91">
        <v>331431.81999999995</v>
      </c>
    </row>
    <row r="457" spans="2:28" x14ac:dyDescent="0.55000000000000004">
      <c r="C457" s="17"/>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row>
    <row r="458" spans="2:28" x14ac:dyDescent="0.55000000000000004">
      <c r="C458" s="90" t="s">
        <v>885</v>
      </c>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row>
    <row r="459" spans="2:28" x14ac:dyDescent="0.55000000000000004">
      <c r="B459" s="94" t="s">
        <v>886</v>
      </c>
      <c r="C459" s="17" t="s">
        <v>887</v>
      </c>
      <c r="D459" s="69"/>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row>
    <row r="460" spans="2:28" x14ac:dyDescent="0.55000000000000004">
      <c r="B460" s="94" t="s">
        <v>888</v>
      </c>
      <c r="C460" s="17" t="s">
        <v>889</v>
      </c>
      <c r="D460" s="69"/>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row>
    <row r="461" spans="2:28" x14ac:dyDescent="0.55000000000000004">
      <c r="B461" s="94" t="s">
        <v>888</v>
      </c>
      <c r="C461" s="17" t="s">
        <v>890</v>
      </c>
      <c r="D461" s="69"/>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row>
    <row r="462" spans="2:28" x14ac:dyDescent="0.55000000000000004">
      <c r="B462" s="94"/>
      <c r="C462" s="17"/>
      <c r="D462" s="69"/>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row>
    <row r="463" spans="2:28" x14ac:dyDescent="0.55000000000000004">
      <c r="B463" t="s">
        <v>884</v>
      </c>
      <c r="C463" s="17" t="s">
        <v>257</v>
      </c>
      <c r="D463" s="69">
        <v>-8508925.0800000001</v>
      </c>
      <c r="E463" s="91">
        <v>-448655.94000000012</v>
      </c>
      <c r="F463" s="91">
        <v>-435316.08</v>
      </c>
      <c r="G463" s="91">
        <v>-454955.47000000003</v>
      </c>
      <c r="H463" s="91">
        <v>-235177.14</v>
      </c>
      <c r="I463" s="91">
        <v>-310517.67</v>
      </c>
      <c r="J463" s="91">
        <v>-448615.76</v>
      </c>
      <c r="K463" s="91">
        <v>-345312.12</v>
      </c>
      <c r="L463" s="91">
        <v>-436707.74</v>
      </c>
      <c r="M463" s="91">
        <v>-348845.88</v>
      </c>
      <c r="N463" s="91">
        <v>-437564.46</v>
      </c>
      <c r="O463" s="91">
        <v>-244754.75999999998</v>
      </c>
      <c r="P463" s="91">
        <v>-535883.79</v>
      </c>
      <c r="Q463" s="91">
        <v>-223739.74999999994</v>
      </c>
      <c r="R463" s="91">
        <v>-170459.22</v>
      </c>
      <c r="S463" s="91">
        <v>-266919.28999999998</v>
      </c>
      <c r="T463" s="91">
        <v>-225258.78</v>
      </c>
      <c r="U463" s="91">
        <v>-539870.87</v>
      </c>
      <c r="V463" s="91">
        <v>-255953.16999999998</v>
      </c>
      <c r="W463" s="91">
        <v>-285327.82999999996</v>
      </c>
      <c r="X463" s="91">
        <v>-296405.09000000008</v>
      </c>
      <c r="Y463" s="91">
        <v>-316717.82000000007</v>
      </c>
      <c r="Z463" s="91">
        <v>-335413.57</v>
      </c>
      <c r="AA463" s="91">
        <v>-297523.76000000007</v>
      </c>
      <c r="AB463" s="91">
        <v>-613029.11999999988</v>
      </c>
    </row>
    <row r="464" spans="2:28" x14ac:dyDescent="0.55000000000000004">
      <c r="B464" t="s">
        <v>884</v>
      </c>
      <c r="C464" s="17" t="s">
        <v>414</v>
      </c>
      <c r="D464" s="69">
        <v>2914145.4800000004</v>
      </c>
      <c r="E464" s="91">
        <v>46762.089999999975</v>
      </c>
      <c r="F464" s="91">
        <v>45445.199999999939</v>
      </c>
      <c r="G464" s="91">
        <v>103934.61000000003</v>
      </c>
      <c r="H464" s="91">
        <v>-86776.250000000029</v>
      </c>
      <c r="I464" s="91">
        <v>-31059.41999999994</v>
      </c>
      <c r="J464" s="91">
        <v>190987.61000000004</v>
      </c>
      <c r="K464" s="91">
        <v>-24119.450000000023</v>
      </c>
      <c r="L464" s="91">
        <v>-10255.860000000015</v>
      </c>
      <c r="M464" s="91">
        <v>35421.250000000022</v>
      </c>
      <c r="N464" s="91">
        <v>75016.390000000029</v>
      </c>
      <c r="O464" s="91">
        <v>152082.53999999998</v>
      </c>
      <c r="P464" s="91">
        <v>24678.530000000032</v>
      </c>
      <c r="Q464" s="91">
        <v>305363.63</v>
      </c>
      <c r="R464" s="91">
        <v>86493.87</v>
      </c>
      <c r="S464" s="91">
        <v>26129.620000000024</v>
      </c>
      <c r="T464" s="91">
        <v>51349.789999999986</v>
      </c>
      <c r="U464" s="91">
        <v>381908.80000000005</v>
      </c>
      <c r="V464" s="91">
        <v>-57580.460000000028</v>
      </c>
      <c r="W464" s="91">
        <v>11535.400000000029</v>
      </c>
      <c r="X464" s="91">
        <v>115674.92</v>
      </c>
      <c r="Y464" s="91">
        <v>296061.3</v>
      </c>
      <c r="Z464" s="91">
        <v>158215.32000000004</v>
      </c>
      <c r="AA464" s="91">
        <v>209578.51</v>
      </c>
      <c r="AB464" s="91">
        <v>807297.53999999992</v>
      </c>
    </row>
    <row r="465" spans="3:28" x14ac:dyDescent="0.55000000000000004">
      <c r="C465" s="17"/>
      <c r="D465" s="69"/>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row>
    <row r="466" spans="3:28" x14ac:dyDescent="0.55000000000000004">
      <c r="C466" s="17" t="s">
        <v>175</v>
      </c>
      <c r="D466" s="69">
        <v>253603.35999999996</v>
      </c>
      <c r="E466" s="91">
        <v>12024.82</v>
      </c>
      <c r="F466" s="91">
        <v>10812.23</v>
      </c>
      <c r="G466" s="91">
        <v>13346.099999999999</v>
      </c>
      <c r="H466" s="91">
        <v>9152.68</v>
      </c>
      <c r="I466" s="91">
        <v>11108</v>
      </c>
      <c r="J466" s="91">
        <v>6874.49</v>
      </c>
      <c r="K466" s="91">
        <v>8028.29</v>
      </c>
      <c r="L466" s="91">
        <v>15701.720000000001</v>
      </c>
      <c r="M466" s="91">
        <v>7668.07</v>
      </c>
      <c r="N466" s="91">
        <v>12128.150000000001</v>
      </c>
      <c r="O466" s="91">
        <v>7371.9</v>
      </c>
      <c r="P466" s="91">
        <v>8660.2199999999993</v>
      </c>
      <c r="Q466" s="91">
        <v>9055.41</v>
      </c>
      <c r="R466" s="91">
        <v>5746.42</v>
      </c>
      <c r="S466" s="91">
        <v>11565.57</v>
      </c>
      <c r="T466" s="91">
        <v>5762.09</v>
      </c>
      <c r="U466" s="91">
        <v>9165.9599999999991</v>
      </c>
      <c r="V466" s="91">
        <v>7339.58</v>
      </c>
      <c r="W466" s="91">
        <v>10032.52</v>
      </c>
      <c r="X466" s="91">
        <v>12806.59</v>
      </c>
      <c r="Y466" s="91">
        <v>13049.31</v>
      </c>
      <c r="Z466" s="91">
        <v>12142.34</v>
      </c>
      <c r="AA466" s="91">
        <v>12662.59</v>
      </c>
      <c r="AB466" s="91">
        <v>21398.309999999998</v>
      </c>
    </row>
    <row r="467" spans="3:28" x14ac:dyDescent="0.55000000000000004">
      <c r="C467" s="17" t="s">
        <v>184</v>
      </c>
      <c r="D467" s="69">
        <v>5874.97</v>
      </c>
      <c r="E467" s="91">
        <v>0</v>
      </c>
      <c r="F467" s="91">
        <v>0</v>
      </c>
      <c r="G467" s="91">
        <v>730.08999999999992</v>
      </c>
      <c r="H467" s="91">
        <v>131.5</v>
      </c>
      <c r="I467" s="91">
        <v>87.9</v>
      </c>
      <c r="J467" s="91">
        <v>0</v>
      </c>
      <c r="K467" s="91">
        <v>1009.5</v>
      </c>
      <c r="L467" s="91">
        <v>1310.94</v>
      </c>
      <c r="M467" s="91">
        <v>0</v>
      </c>
      <c r="N467" s="91">
        <v>219.5</v>
      </c>
      <c r="O467" s="91">
        <v>0</v>
      </c>
      <c r="P467" s="91">
        <v>0</v>
      </c>
      <c r="Q467" s="91">
        <v>1956.95</v>
      </c>
      <c r="R467" s="91">
        <v>0</v>
      </c>
      <c r="S467" s="91">
        <v>629.5</v>
      </c>
      <c r="T467" s="91">
        <v>0</v>
      </c>
      <c r="U467" s="91">
        <v>0</v>
      </c>
      <c r="V467" s="91">
        <v>0</v>
      </c>
      <c r="W467" s="91">
        <v>300.17</v>
      </c>
      <c r="X467" s="91">
        <v>0</v>
      </c>
      <c r="Y467" s="91">
        <v>35.5</v>
      </c>
      <c r="Z467" s="91">
        <v>0</v>
      </c>
      <c r="AA467" s="91">
        <v>0</v>
      </c>
      <c r="AB467" s="91">
        <v>-536.57999999999993</v>
      </c>
    </row>
    <row r="468" spans="3:28" x14ac:dyDescent="0.55000000000000004">
      <c r="C468" s="17" t="s">
        <v>191</v>
      </c>
      <c r="D468" s="69">
        <v>194156.82</v>
      </c>
      <c r="E468" s="91">
        <v>11253.64</v>
      </c>
      <c r="F468" s="91">
        <v>8684.369999999999</v>
      </c>
      <c r="G468" s="91">
        <v>10672.24</v>
      </c>
      <c r="H468" s="91">
        <v>7531.73</v>
      </c>
      <c r="I468" s="91">
        <v>8291.25</v>
      </c>
      <c r="J468" s="91">
        <v>7966.3</v>
      </c>
      <c r="K468" s="91">
        <v>7353.8200000000006</v>
      </c>
      <c r="L468" s="91">
        <v>10603.920000000002</v>
      </c>
      <c r="M468" s="91">
        <v>7019.77</v>
      </c>
      <c r="N468" s="91">
        <v>9150.760000000002</v>
      </c>
      <c r="O468" s="91">
        <v>5798.62</v>
      </c>
      <c r="P468" s="91">
        <v>8735.68</v>
      </c>
      <c r="Q468" s="91">
        <v>6604.1800000000012</v>
      </c>
      <c r="R468" s="91">
        <v>5113.5800000000008</v>
      </c>
      <c r="S468" s="91">
        <v>8458.7900000000009</v>
      </c>
      <c r="T468" s="91">
        <v>6334.66</v>
      </c>
      <c r="U468" s="91">
        <v>11060.020000000002</v>
      </c>
      <c r="V468" s="91">
        <v>6720.27</v>
      </c>
      <c r="W468" s="91">
        <v>6569.3499999999995</v>
      </c>
      <c r="X468" s="91">
        <v>6425.76</v>
      </c>
      <c r="Y468" s="91">
        <v>5641.02</v>
      </c>
      <c r="Z468" s="91">
        <v>9351.11</v>
      </c>
      <c r="AA468" s="91">
        <v>6591.27</v>
      </c>
      <c r="AB468" s="91">
        <v>12224.710000000001</v>
      </c>
    </row>
    <row r="469" spans="3:28" x14ac:dyDescent="0.55000000000000004">
      <c r="C469" s="17"/>
    </row>
  </sheetData>
  <autoFilter ref="A5:AB390" xr:uid="{00000000-0009-0000-0000-000006000000}"/>
  <pageMargins left="0.7" right="0.7" top="0.75" bottom="0.75" header="0.3" footer="0.3"/>
  <pageSetup orientation="portrait" r:id="rId1"/>
  <drawing r:id="rId2"/>
  <legacyDrawing r:id="rId3"/>
  <controls>
    <mc:AlternateContent xmlns:mc="http://schemas.openxmlformats.org/markup-compatibility/2006">
      <mc:Choice Requires="x14">
        <control shapeId="8193" r:id="rId4" name="FPMExcelClientSheetOptionstb1">
          <controlPr defaultSize="0" autoLine="0" autoPict="0" r:id="rId5">
            <anchor moveWithCells="1" sizeWithCells="1">
              <from>
                <xdr:col>0</xdr:col>
                <xdr:colOff>0</xdr:colOff>
                <xdr:row>0</xdr:row>
                <xdr:rowOff>0</xdr:rowOff>
              </from>
              <to>
                <xdr:col>0</xdr:col>
                <xdr:colOff>914400</xdr:colOff>
                <xdr:row>0</xdr:row>
                <xdr:rowOff>0</xdr:rowOff>
              </to>
            </anchor>
          </controlPr>
        </control>
      </mc:Choice>
      <mc:Fallback>
        <control shapeId="8193" r:id="rId4" name="FPMExcelClientSheetOptionstb1"/>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1"/>
  <dimension ref="C3:AI384"/>
  <sheetViews>
    <sheetView showGridLines="0" workbookViewId="0"/>
  </sheetViews>
  <sheetFormatPr defaultColWidth="9.15625" defaultRowHeight="14.4" x14ac:dyDescent="0.55000000000000004"/>
  <cols>
    <col min="1" max="3" width="9.15625" style="20"/>
    <col min="4" max="4" width="32.83984375" style="20" bestFit="1" customWidth="1"/>
    <col min="5" max="11" width="9.15625" style="20"/>
    <col min="12" max="12" width="40.26171875" style="101" bestFit="1" customWidth="1"/>
    <col min="13" max="16384" width="9.15625" style="20"/>
  </cols>
  <sheetData>
    <row r="3" spans="3:35" x14ac:dyDescent="0.55000000000000004">
      <c r="D3"/>
      <c r="L3" s="102"/>
    </row>
    <row r="4" spans="3:35" x14ac:dyDescent="0.55000000000000004">
      <c r="C4" s="20">
        <v>1</v>
      </c>
      <c r="D4" t="s">
        <v>35</v>
      </c>
      <c r="E4" s="20">
        <v>1</v>
      </c>
      <c r="L4"/>
      <c r="M4" s="104"/>
      <c r="N4" s="100"/>
      <c r="O4" s="100"/>
      <c r="P4" s="100"/>
      <c r="Q4" s="100"/>
      <c r="R4" s="100"/>
      <c r="S4" s="100"/>
      <c r="T4" s="100"/>
      <c r="U4" s="100"/>
      <c r="V4" s="100"/>
      <c r="W4" s="100"/>
      <c r="X4" s="100"/>
      <c r="Y4" s="100"/>
      <c r="Z4" s="100"/>
      <c r="AA4" s="100"/>
      <c r="AB4" s="100"/>
      <c r="AC4" s="100"/>
      <c r="AD4" s="100"/>
      <c r="AE4" s="100"/>
      <c r="AF4" s="100"/>
      <c r="AG4" s="100"/>
      <c r="AH4" s="100"/>
      <c r="AI4" s="100"/>
    </row>
    <row r="5" spans="3:35" x14ac:dyDescent="0.55000000000000004">
      <c r="C5" s="20">
        <f t="shared" ref="C5:E52" si="0">C4+1</f>
        <v>2</v>
      </c>
      <c r="D5" t="s">
        <v>36</v>
      </c>
      <c r="E5" s="20">
        <f t="shared" si="0"/>
        <v>2</v>
      </c>
      <c r="L5" s="103"/>
      <c r="M5" s="104"/>
    </row>
    <row r="6" spans="3:35" x14ac:dyDescent="0.55000000000000004">
      <c r="C6" s="20">
        <f t="shared" si="0"/>
        <v>3</v>
      </c>
      <c r="D6" t="s">
        <v>37</v>
      </c>
      <c r="E6" s="20">
        <f t="shared" si="0"/>
        <v>3</v>
      </c>
      <c r="L6"/>
      <c r="M6" s="104"/>
    </row>
    <row r="7" spans="3:35" x14ac:dyDescent="0.55000000000000004">
      <c r="C7" s="20">
        <f t="shared" si="0"/>
        <v>4</v>
      </c>
      <c r="D7" t="s">
        <v>38</v>
      </c>
      <c r="E7" s="20">
        <f t="shared" si="0"/>
        <v>4</v>
      </c>
      <c r="L7"/>
      <c r="M7" s="104"/>
    </row>
    <row r="8" spans="3:35" x14ac:dyDescent="0.55000000000000004">
      <c r="C8" s="20">
        <f t="shared" si="0"/>
        <v>5</v>
      </c>
      <c r="D8" t="s">
        <v>39</v>
      </c>
      <c r="E8" s="20">
        <f t="shared" si="0"/>
        <v>5</v>
      </c>
      <c r="L8" s="103"/>
      <c r="M8" s="104"/>
    </row>
    <row r="9" spans="3:35" x14ac:dyDescent="0.55000000000000004">
      <c r="C9" s="20">
        <f t="shared" si="0"/>
        <v>6</v>
      </c>
      <c r="D9" t="s">
        <v>40</v>
      </c>
      <c r="E9" s="20">
        <f t="shared" si="0"/>
        <v>6</v>
      </c>
      <c r="L9" s="103"/>
      <c r="M9" s="104"/>
    </row>
    <row r="10" spans="3:35" x14ac:dyDescent="0.55000000000000004">
      <c r="C10" s="20">
        <f t="shared" si="0"/>
        <v>7</v>
      </c>
      <c r="D10" t="s">
        <v>41</v>
      </c>
      <c r="E10" s="20">
        <f t="shared" si="0"/>
        <v>7</v>
      </c>
      <c r="L10" s="103"/>
      <c r="M10" s="104"/>
    </row>
    <row r="11" spans="3:35" x14ac:dyDescent="0.55000000000000004">
      <c r="C11" s="20">
        <f t="shared" si="0"/>
        <v>8</v>
      </c>
      <c r="D11" t="s">
        <v>42</v>
      </c>
      <c r="E11" s="20">
        <f t="shared" si="0"/>
        <v>8</v>
      </c>
      <c r="L11"/>
      <c r="M11" s="104"/>
    </row>
    <row r="12" spans="3:35" x14ac:dyDescent="0.55000000000000004">
      <c r="C12" s="20">
        <f t="shared" si="0"/>
        <v>9</v>
      </c>
      <c r="D12" t="s">
        <v>43</v>
      </c>
      <c r="E12" s="20">
        <f t="shared" si="0"/>
        <v>9</v>
      </c>
      <c r="L12" s="103"/>
      <c r="M12" s="104"/>
    </row>
    <row r="13" spans="3:35" x14ac:dyDescent="0.55000000000000004">
      <c r="C13" s="20">
        <f t="shared" si="0"/>
        <v>10</v>
      </c>
      <c r="D13" t="s">
        <v>44</v>
      </c>
      <c r="E13" s="20">
        <f t="shared" si="0"/>
        <v>10</v>
      </c>
      <c r="L13"/>
      <c r="M13" s="104"/>
    </row>
    <row r="14" spans="3:35" x14ac:dyDescent="0.55000000000000004">
      <c r="C14" s="20">
        <f t="shared" si="0"/>
        <v>11</v>
      </c>
      <c r="D14" t="s">
        <v>45</v>
      </c>
      <c r="E14" s="20">
        <f t="shared" si="0"/>
        <v>11</v>
      </c>
      <c r="L14"/>
      <c r="M14" s="104"/>
    </row>
    <row r="15" spans="3:35" x14ac:dyDescent="0.55000000000000004">
      <c r="C15" s="20">
        <f t="shared" si="0"/>
        <v>12</v>
      </c>
      <c r="D15" t="s">
        <v>46</v>
      </c>
      <c r="E15" s="20">
        <f t="shared" si="0"/>
        <v>12</v>
      </c>
      <c r="L15" s="103"/>
      <c r="M15" s="104"/>
    </row>
    <row r="16" spans="3:35" x14ac:dyDescent="0.55000000000000004">
      <c r="C16" s="20">
        <f t="shared" si="0"/>
        <v>13</v>
      </c>
      <c r="D16" t="s">
        <v>47</v>
      </c>
      <c r="E16" s="20">
        <f t="shared" si="0"/>
        <v>13</v>
      </c>
      <c r="L16" s="103"/>
      <c r="M16" s="104"/>
    </row>
    <row r="17" spans="3:13" x14ac:dyDescent="0.55000000000000004">
      <c r="C17" s="20">
        <f t="shared" si="0"/>
        <v>14</v>
      </c>
      <c r="D17" t="s">
        <v>48</v>
      </c>
      <c r="E17" s="20">
        <f t="shared" si="0"/>
        <v>14</v>
      </c>
      <c r="L17" s="103"/>
      <c r="M17" s="104"/>
    </row>
    <row r="18" spans="3:13" x14ac:dyDescent="0.55000000000000004">
      <c r="C18" s="20">
        <f t="shared" si="0"/>
        <v>15</v>
      </c>
      <c r="D18" t="s">
        <v>49</v>
      </c>
      <c r="E18" s="20">
        <f t="shared" si="0"/>
        <v>15</v>
      </c>
      <c r="L18" s="103"/>
      <c r="M18" s="104"/>
    </row>
    <row r="19" spans="3:13" x14ac:dyDescent="0.55000000000000004">
      <c r="C19" s="20">
        <f t="shared" si="0"/>
        <v>16</v>
      </c>
      <c r="D19" t="s">
        <v>50</v>
      </c>
      <c r="E19" s="20">
        <f t="shared" si="0"/>
        <v>16</v>
      </c>
      <c r="L19"/>
      <c r="M19" s="104"/>
    </row>
    <row r="20" spans="3:13" x14ac:dyDescent="0.55000000000000004">
      <c r="C20" s="20">
        <f t="shared" si="0"/>
        <v>17</v>
      </c>
      <c r="D20" t="s">
        <v>51</v>
      </c>
      <c r="E20" s="20">
        <f t="shared" si="0"/>
        <v>17</v>
      </c>
      <c r="L20"/>
      <c r="M20" s="104"/>
    </row>
    <row r="21" spans="3:13" x14ac:dyDescent="0.55000000000000004">
      <c r="C21" s="20">
        <f t="shared" si="0"/>
        <v>18</v>
      </c>
      <c r="D21" t="s">
        <v>52</v>
      </c>
      <c r="E21" s="20">
        <f t="shared" si="0"/>
        <v>18</v>
      </c>
      <c r="L21" s="103"/>
      <c r="M21" s="104"/>
    </row>
    <row r="22" spans="3:13" x14ac:dyDescent="0.55000000000000004">
      <c r="C22" s="20">
        <f t="shared" si="0"/>
        <v>19</v>
      </c>
      <c r="D22" t="s">
        <v>53</v>
      </c>
      <c r="E22" s="20">
        <f t="shared" si="0"/>
        <v>19</v>
      </c>
      <c r="L22"/>
      <c r="M22" s="104"/>
    </row>
    <row r="23" spans="3:13" x14ac:dyDescent="0.55000000000000004">
      <c r="C23" s="20">
        <f t="shared" si="0"/>
        <v>20</v>
      </c>
      <c r="D23" t="s">
        <v>54</v>
      </c>
      <c r="E23" s="20">
        <f t="shared" si="0"/>
        <v>20</v>
      </c>
      <c r="L23"/>
      <c r="M23" s="104"/>
    </row>
    <row r="24" spans="3:13" x14ac:dyDescent="0.55000000000000004">
      <c r="C24" s="20">
        <f t="shared" si="0"/>
        <v>21</v>
      </c>
      <c r="D24" t="s">
        <v>55</v>
      </c>
      <c r="E24" s="20">
        <f t="shared" si="0"/>
        <v>21</v>
      </c>
      <c r="L24"/>
      <c r="M24" s="104"/>
    </row>
    <row r="25" spans="3:13" x14ac:dyDescent="0.55000000000000004">
      <c r="C25" s="20">
        <f t="shared" si="0"/>
        <v>22</v>
      </c>
      <c r="D25" t="s">
        <v>56</v>
      </c>
      <c r="E25" s="20">
        <f t="shared" si="0"/>
        <v>22</v>
      </c>
      <c r="L25"/>
      <c r="M25" s="104"/>
    </row>
    <row r="26" spans="3:13" x14ac:dyDescent="0.55000000000000004">
      <c r="C26" s="20">
        <f t="shared" si="0"/>
        <v>23</v>
      </c>
      <c r="D26" t="s">
        <v>57</v>
      </c>
      <c r="E26" s="20">
        <f t="shared" si="0"/>
        <v>23</v>
      </c>
      <c r="L26" s="103"/>
      <c r="M26" s="104"/>
    </row>
    <row r="27" spans="3:13" x14ac:dyDescent="0.55000000000000004">
      <c r="C27" s="20">
        <f t="shared" si="0"/>
        <v>24</v>
      </c>
      <c r="D27" t="s">
        <v>95</v>
      </c>
      <c r="E27" s="20">
        <f t="shared" si="0"/>
        <v>24</v>
      </c>
      <c r="L27"/>
      <c r="M27" s="104"/>
    </row>
    <row r="28" spans="3:13" x14ac:dyDescent="0.55000000000000004">
      <c r="C28" s="20">
        <f t="shared" si="0"/>
        <v>25</v>
      </c>
      <c r="D28"/>
      <c r="E28" s="20">
        <f t="shared" si="0"/>
        <v>25</v>
      </c>
    </row>
    <row r="29" spans="3:13" x14ac:dyDescent="0.55000000000000004">
      <c r="C29" s="20">
        <f t="shared" si="0"/>
        <v>26</v>
      </c>
      <c r="D29"/>
      <c r="E29" s="20">
        <f t="shared" si="0"/>
        <v>26</v>
      </c>
    </row>
    <row r="30" spans="3:13" x14ac:dyDescent="0.55000000000000004">
      <c r="C30" s="20">
        <f t="shared" si="0"/>
        <v>27</v>
      </c>
      <c r="D30"/>
      <c r="E30" s="20">
        <f t="shared" si="0"/>
        <v>27</v>
      </c>
    </row>
    <row r="31" spans="3:13" x14ac:dyDescent="0.55000000000000004">
      <c r="C31" s="20">
        <f t="shared" si="0"/>
        <v>28</v>
      </c>
      <c r="D31"/>
      <c r="E31" s="20">
        <f t="shared" si="0"/>
        <v>28</v>
      </c>
    </row>
    <row r="32" spans="3:13" x14ac:dyDescent="0.55000000000000004">
      <c r="C32" s="20">
        <f t="shared" si="0"/>
        <v>29</v>
      </c>
      <c r="D32"/>
      <c r="E32" s="20">
        <f t="shared" si="0"/>
        <v>29</v>
      </c>
    </row>
    <row r="33" spans="3:5" x14ac:dyDescent="0.55000000000000004">
      <c r="C33" s="20">
        <f t="shared" si="0"/>
        <v>30</v>
      </c>
      <c r="D33"/>
      <c r="E33" s="20">
        <f t="shared" si="0"/>
        <v>30</v>
      </c>
    </row>
    <row r="34" spans="3:5" x14ac:dyDescent="0.55000000000000004">
      <c r="C34" s="20">
        <f t="shared" si="0"/>
        <v>31</v>
      </c>
      <c r="D34"/>
      <c r="E34" s="20">
        <f t="shared" si="0"/>
        <v>31</v>
      </c>
    </row>
    <row r="35" spans="3:5" x14ac:dyDescent="0.55000000000000004">
      <c r="C35" s="20">
        <f t="shared" si="0"/>
        <v>32</v>
      </c>
      <c r="D35"/>
      <c r="E35" s="20">
        <f t="shared" si="0"/>
        <v>32</v>
      </c>
    </row>
    <row r="36" spans="3:5" x14ac:dyDescent="0.55000000000000004">
      <c r="C36" s="20">
        <f t="shared" si="0"/>
        <v>33</v>
      </c>
      <c r="D36"/>
      <c r="E36" s="20">
        <f t="shared" si="0"/>
        <v>33</v>
      </c>
    </row>
    <row r="37" spans="3:5" x14ac:dyDescent="0.55000000000000004">
      <c r="C37" s="20">
        <f t="shared" si="0"/>
        <v>34</v>
      </c>
      <c r="D37"/>
      <c r="E37" s="20">
        <f t="shared" si="0"/>
        <v>34</v>
      </c>
    </row>
    <row r="38" spans="3:5" x14ac:dyDescent="0.55000000000000004">
      <c r="C38" s="20">
        <f t="shared" si="0"/>
        <v>35</v>
      </c>
      <c r="D38"/>
      <c r="E38" s="20">
        <f t="shared" si="0"/>
        <v>35</v>
      </c>
    </row>
    <row r="39" spans="3:5" x14ac:dyDescent="0.55000000000000004">
      <c r="C39" s="20">
        <f t="shared" si="0"/>
        <v>36</v>
      </c>
      <c r="D39"/>
      <c r="E39" s="20">
        <f t="shared" si="0"/>
        <v>36</v>
      </c>
    </row>
    <row r="40" spans="3:5" x14ac:dyDescent="0.55000000000000004">
      <c r="C40" s="20">
        <f t="shared" si="0"/>
        <v>37</v>
      </c>
      <c r="D40"/>
      <c r="E40" s="20">
        <f t="shared" si="0"/>
        <v>37</v>
      </c>
    </row>
    <row r="41" spans="3:5" x14ac:dyDescent="0.55000000000000004">
      <c r="C41" s="20">
        <f t="shared" si="0"/>
        <v>38</v>
      </c>
      <c r="D41"/>
      <c r="E41" s="20">
        <f t="shared" si="0"/>
        <v>38</v>
      </c>
    </row>
    <row r="42" spans="3:5" x14ac:dyDescent="0.55000000000000004">
      <c r="C42" s="20">
        <f t="shared" si="0"/>
        <v>39</v>
      </c>
      <c r="D42"/>
      <c r="E42" s="20">
        <f t="shared" si="0"/>
        <v>39</v>
      </c>
    </row>
    <row r="43" spans="3:5" x14ac:dyDescent="0.55000000000000004">
      <c r="C43" s="20">
        <f t="shared" si="0"/>
        <v>40</v>
      </c>
      <c r="D43"/>
      <c r="E43" s="20">
        <f t="shared" si="0"/>
        <v>40</v>
      </c>
    </row>
    <row r="44" spans="3:5" x14ac:dyDescent="0.55000000000000004">
      <c r="C44" s="20">
        <f t="shared" si="0"/>
        <v>41</v>
      </c>
      <c r="D44"/>
      <c r="E44" s="20">
        <f t="shared" si="0"/>
        <v>41</v>
      </c>
    </row>
    <row r="45" spans="3:5" x14ac:dyDescent="0.55000000000000004">
      <c r="C45" s="20">
        <f t="shared" si="0"/>
        <v>42</v>
      </c>
      <c r="D45"/>
      <c r="E45" s="20">
        <f t="shared" si="0"/>
        <v>42</v>
      </c>
    </row>
    <row r="46" spans="3:5" x14ac:dyDescent="0.55000000000000004">
      <c r="C46" s="20">
        <f t="shared" si="0"/>
        <v>43</v>
      </c>
      <c r="D46"/>
      <c r="E46" s="20">
        <f t="shared" si="0"/>
        <v>43</v>
      </c>
    </row>
    <row r="47" spans="3:5" x14ac:dyDescent="0.55000000000000004">
      <c r="C47" s="20">
        <f t="shared" si="0"/>
        <v>44</v>
      </c>
      <c r="D47"/>
      <c r="E47" s="20">
        <f t="shared" si="0"/>
        <v>44</v>
      </c>
    </row>
    <row r="48" spans="3:5" x14ac:dyDescent="0.55000000000000004">
      <c r="C48" s="20">
        <f t="shared" si="0"/>
        <v>45</v>
      </c>
      <c r="D48"/>
      <c r="E48" s="20">
        <f t="shared" si="0"/>
        <v>45</v>
      </c>
    </row>
    <row r="49" spans="3:5" x14ac:dyDescent="0.55000000000000004">
      <c r="C49" s="20">
        <f t="shared" si="0"/>
        <v>46</v>
      </c>
      <c r="D49"/>
      <c r="E49" s="20">
        <f t="shared" si="0"/>
        <v>46</v>
      </c>
    </row>
    <row r="50" spans="3:5" x14ac:dyDescent="0.55000000000000004">
      <c r="C50" s="20">
        <f t="shared" si="0"/>
        <v>47</v>
      </c>
      <c r="D50"/>
      <c r="E50" s="20">
        <f t="shared" si="0"/>
        <v>47</v>
      </c>
    </row>
    <row r="51" spans="3:5" x14ac:dyDescent="0.55000000000000004">
      <c r="C51" s="20">
        <f t="shared" si="0"/>
        <v>48</v>
      </c>
      <c r="D51"/>
      <c r="E51" s="20">
        <f t="shared" si="0"/>
        <v>48</v>
      </c>
    </row>
    <row r="52" spans="3:5" x14ac:dyDescent="0.55000000000000004">
      <c r="C52" s="20">
        <f t="shared" si="0"/>
        <v>49</v>
      </c>
      <c r="D52"/>
      <c r="E52" s="20">
        <f t="shared" si="0"/>
        <v>49</v>
      </c>
    </row>
    <row r="53" spans="3:5" x14ac:dyDescent="0.55000000000000004">
      <c r="D53"/>
    </row>
    <row r="54" spans="3:5" x14ac:dyDescent="0.55000000000000004">
      <c r="D54"/>
    </row>
    <row r="55" spans="3:5" x14ac:dyDescent="0.55000000000000004">
      <c r="D55"/>
    </row>
    <row r="56" spans="3:5" x14ac:dyDescent="0.55000000000000004">
      <c r="D56"/>
    </row>
    <row r="57" spans="3:5" x14ac:dyDescent="0.55000000000000004">
      <c r="D57"/>
    </row>
    <row r="58" spans="3:5" x14ac:dyDescent="0.55000000000000004">
      <c r="D58"/>
    </row>
    <row r="59" spans="3:5" x14ac:dyDescent="0.55000000000000004">
      <c r="D59"/>
    </row>
    <row r="60" spans="3:5" x14ac:dyDescent="0.55000000000000004">
      <c r="D60"/>
    </row>
    <row r="61" spans="3:5" x14ac:dyDescent="0.55000000000000004">
      <c r="D61"/>
    </row>
    <row r="62" spans="3:5" x14ac:dyDescent="0.55000000000000004">
      <c r="D62"/>
    </row>
    <row r="63" spans="3:5" x14ac:dyDescent="0.55000000000000004">
      <c r="D63"/>
    </row>
    <row r="64" spans="3:5" x14ac:dyDescent="0.55000000000000004">
      <c r="D64"/>
    </row>
    <row r="65" spans="4:4" x14ac:dyDescent="0.55000000000000004">
      <c r="D65"/>
    </row>
    <row r="66" spans="4:4" x14ac:dyDescent="0.55000000000000004">
      <c r="D66"/>
    </row>
    <row r="67" spans="4:4" x14ac:dyDescent="0.55000000000000004">
      <c r="D67"/>
    </row>
    <row r="68" spans="4:4" x14ac:dyDescent="0.55000000000000004">
      <c r="D68"/>
    </row>
    <row r="69" spans="4:4" x14ac:dyDescent="0.55000000000000004">
      <c r="D69"/>
    </row>
    <row r="70" spans="4:4" x14ac:dyDescent="0.55000000000000004">
      <c r="D70"/>
    </row>
    <row r="71" spans="4:4" x14ac:dyDescent="0.55000000000000004">
      <c r="D71"/>
    </row>
    <row r="72" spans="4:4" x14ac:dyDescent="0.55000000000000004">
      <c r="D72"/>
    </row>
    <row r="73" spans="4:4" x14ac:dyDescent="0.55000000000000004">
      <c r="D73"/>
    </row>
    <row r="74" spans="4:4" x14ac:dyDescent="0.55000000000000004">
      <c r="D74"/>
    </row>
    <row r="75" spans="4:4" x14ac:dyDescent="0.55000000000000004">
      <c r="D75"/>
    </row>
    <row r="76" spans="4:4" x14ac:dyDescent="0.55000000000000004">
      <c r="D76"/>
    </row>
    <row r="77" spans="4:4" x14ac:dyDescent="0.55000000000000004">
      <c r="D77"/>
    </row>
    <row r="78" spans="4:4" x14ac:dyDescent="0.55000000000000004">
      <c r="D78"/>
    </row>
    <row r="79" spans="4:4" x14ac:dyDescent="0.55000000000000004">
      <c r="D79"/>
    </row>
    <row r="80" spans="4:4" x14ac:dyDescent="0.55000000000000004">
      <c r="D80"/>
    </row>
    <row r="81" spans="4:4" x14ac:dyDescent="0.55000000000000004">
      <c r="D81"/>
    </row>
    <row r="82" spans="4:4" x14ac:dyDescent="0.55000000000000004">
      <c r="D82"/>
    </row>
    <row r="83" spans="4:4" x14ac:dyDescent="0.55000000000000004">
      <c r="D83"/>
    </row>
    <row r="84" spans="4:4" x14ac:dyDescent="0.55000000000000004">
      <c r="D84"/>
    </row>
    <row r="85" spans="4:4" x14ac:dyDescent="0.55000000000000004">
      <c r="D85"/>
    </row>
    <row r="86" spans="4:4" x14ac:dyDescent="0.55000000000000004">
      <c r="D86"/>
    </row>
    <row r="87" spans="4:4" x14ac:dyDescent="0.55000000000000004">
      <c r="D87"/>
    </row>
    <row r="88" spans="4:4" x14ac:dyDescent="0.55000000000000004">
      <c r="D88"/>
    </row>
    <row r="89" spans="4:4" x14ac:dyDescent="0.55000000000000004">
      <c r="D89"/>
    </row>
    <row r="90" spans="4:4" x14ac:dyDescent="0.55000000000000004">
      <c r="D90"/>
    </row>
    <row r="91" spans="4:4" x14ac:dyDescent="0.55000000000000004">
      <c r="D91"/>
    </row>
    <row r="92" spans="4:4" x14ac:dyDescent="0.55000000000000004">
      <c r="D92"/>
    </row>
    <row r="93" spans="4:4" x14ac:dyDescent="0.55000000000000004">
      <c r="D93"/>
    </row>
    <row r="94" spans="4:4" x14ac:dyDescent="0.55000000000000004">
      <c r="D94"/>
    </row>
    <row r="95" spans="4:4" x14ac:dyDescent="0.55000000000000004">
      <c r="D95"/>
    </row>
    <row r="96" spans="4:4" x14ac:dyDescent="0.55000000000000004">
      <c r="D96"/>
    </row>
    <row r="97" spans="4:4" x14ac:dyDescent="0.55000000000000004">
      <c r="D97"/>
    </row>
    <row r="98" spans="4:4" x14ac:dyDescent="0.55000000000000004">
      <c r="D98"/>
    </row>
    <row r="99" spans="4:4" x14ac:dyDescent="0.55000000000000004">
      <c r="D99"/>
    </row>
    <row r="100" spans="4:4" x14ac:dyDescent="0.55000000000000004">
      <c r="D100"/>
    </row>
    <row r="101" spans="4:4" x14ac:dyDescent="0.55000000000000004">
      <c r="D101"/>
    </row>
    <row r="102" spans="4:4" x14ac:dyDescent="0.55000000000000004">
      <c r="D102"/>
    </row>
    <row r="103" spans="4:4" x14ac:dyDescent="0.55000000000000004">
      <c r="D103"/>
    </row>
    <row r="104" spans="4:4" x14ac:dyDescent="0.55000000000000004">
      <c r="D104"/>
    </row>
    <row r="105" spans="4:4" x14ac:dyDescent="0.55000000000000004">
      <c r="D105"/>
    </row>
    <row r="106" spans="4:4" x14ac:dyDescent="0.55000000000000004">
      <c r="D106"/>
    </row>
    <row r="107" spans="4:4" x14ac:dyDescent="0.55000000000000004">
      <c r="D107"/>
    </row>
    <row r="108" spans="4:4" x14ac:dyDescent="0.55000000000000004">
      <c r="D108"/>
    </row>
    <row r="109" spans="4:4" x14ac:dyDescent="0.55000000000000004">
      <c r="D109"/>
    </row>
    <row r="110" spans="4:4" x14ac:dyDescent="0.55000000000000004">
      <c r="D110"/>
    </row>
    <row r="111" spans="4:4" x14ac:dyDescent="0.55000000000000004">
      <c r="D111"/>
    </row>
    <row r="112" spans="4:4" x14ac:dyDescent="0.55000000000000004">
      <c r="D112"/>
    </row>
    <row r="113" spans="4:4" x14ac:dyDescent="0.55000000000000004">
      <c r="D113"/>
    </row>
    <row r="114" spans="4:4" x14ac:dyDescent="0.55000000000000004">
      <c r="D114"/>
    </row>
    <row r="115" spans="4:4" x14ac:dyDescent="0.55000000000000004">
      <c r="D115"/>
    </row>
    <row r="116" spans="4:4" x14ac:dyDescent="0.55000000000000004">
      <c r="D116"/>
    </row>
    <row r="117" spans="4:4" x14ac:dyDescent="0.55000000000000004">
      <c r="D117"/>
    </row>
    <row r="118" spans="4:4" x14ac:dyDescent="0.55000000000000004">
      <c r="D118"/>
    </row>
    <row r="119" spans="4:4" x14ac:dyDescent="0.55000000000000004">
      <c r="D119"/>
    </row>
    <row r="120" spans="4:4" x14ac:dyDescent="0.55000000000000004">
      <c r="D120"/>
    </row>
    <row r="121" spans="4:4" x14ac:dyDescent="0.55000000000000004">
      <c r="D121"/>
    </row>
    <row r="122" spans="4:4" x14ac:dyDescent="0.55000000000000004">
      <c r="D122"/>
    </row>
    <row r="123" spans="4:4" x14ac:dyDescent="0.55000000000000004">
      <c r="D123"/>
    </row>
    <row r="124" spans="4:4" x14ac:dyDescent="0.55000000000000004">
      <c r="D124"/>
    </row>
    <row r="125" spans="4:4" x14ac:dyDescent="0.55000000000000004">
      <c r="D125"/>
    </row>
    <row r="126" spans="4:4" x14ac:dyDescent="0.55000000000000004">
      <c r="D126"/>
    </row>
    <row r="127" spans="4:4" x14ac:dyDescent="0.55000000000000004">
      <c r="D127"/>
    </row>
    <row r="128" spans="4:4" x14ac:dyDescent="0.55000000000000004">
      <c r="D128"/>
    </row>
    <row r="129" spans="4:4" x14ac:dyDescent="0.55000000000000004">
      <c r="D129"/>
    </row>
    <row r="130" spans="4:4" x14ac:dyDescent="0.55000000000000004">
      <c r="D130"/>
    </row>
    <row r="131" spans="4:4" x14ac:dyDescent="0.55000000000000004">
      <c r="D131"/>
    </row>
    <row r="132" spans="4:4" x14ac:dyDescent="0.55000000000000004">
      <c r="D132"/>
    </row>
    <row r="133" spans="4:4" x14ac:dyDescent="0.55000000000000004">
      <c r="D133"/>
    </row>
    <row r="134" spans="4:4" x14ac:dyDescent="0.55000000000000004">
      <c r="D134"/>
    </row>
    <row r="135" spans="4:4" x14ac:dyDescent="0.55000000000000004">
      <c r="D135"/>
    </row>
    <row r="136" spans="4:4" x14ac:dyDescent="0.55000000000000004">
      <c r="D136"/>
    </row>
    <row r="137" spans="4:4" x14ac:dyDescent="0.55000000000000004">
      <c r="D137"/>
    </row>
    <row r="138" spans="4:4" x14ac:dyDescent="0.55000000000000004">
      <c r="D138"/>
    </row>
    <row r="139" spans="4:4" x14ac:dyDescent="0.55000000000000004">
      <c r="D139"/>
    </row>
    <row r="140" spans="4:4" x14ac:dyDescent="0.55000000000000004">
      <c r="D140"/>
    </row>
    <row r="141" spans="4:4" x14ac:dyDescent="0.55000000000000004">
      <c r="D141"/>
    </row>
    <row r="142" spans="4:4" x14ac:dyDescent="0.55000000000000004">
      <c r="D142"/>
    </row>
    <row r="143" spans="4:4" x14ac:dyDescent="0.55000000000000004">
      <c r="D143"/>
    </row>
    <row r="144" spans="4:4" x14ac:dyDescent="0.55000000000000004">
      <c r="D144"/>
    </row>
    <row r="145" spans="4:4" x14ac:dyDescent="0.55000000000000004">
      <c r="D145"/>
    </row>
    <row r="146" spans="4:4" x14ac:dyDescent="0.55000000000000004">
      <c r="D146"/>
    </row>
    <row r="147" spans="4:4" x14ac:dyDescent="0.55000000000000004">
      <c r="D147"/>
    </row>
    <row r="148" spans="4:4" x14ac:dyDescent="0.55000000000000004">
      <c r="D148"/>
    </row>
    <row r="149" spans="4:4" x14ac:dyDescent="0.55000000000000004">
      <c r="D149"/>
    </row>
    <row r="150" spans="4:4" x14ac:dyDescent="0.55000000000000004">
      <c r="D150"/>
    </row>
    <row r="151" spans="4:4" x14ac:dyDescent="0.55000000000000004">
      <c r="D151"/>
    </row>
    <row r="152" spans="4:4" x14ac:dyDescent="0.55000000000000004">
      <c r="D152"/>
    </row>
    <row r="153" spans="4:4" x14ac:dyDescent="0.55000000000000004">
      <c r="D153"/>
    </row>
    <row r="154" spans="4:4" x14ac:dyDescent="0.55000000000000004">
      <c r="D154"/>
    </row>
    <row r="155" spans="4:4" x14ac:dyDescent="0.55000000000000004">
      <c r="D155"/>
    </row>
    <row r="156" spans="4:4" x14ac:dyDescent="0.55000000000000004">
      <c r="D156"/>
    </row>
    <row r="157" spans="4:4" x14ac:dyDescent="0.55000000000000004">
      <c r="D157"/>
    </row>
    <row r="158" spans="4:4" x14ac:dyDescent="0.55000000000000004">
      <c r="D158"/>
    </row>
    <row r="159" spans="4:4" x14ac:dyDescent="0.55000000000000004">
      <c r="D159"/>
    </row>
    <row r="160" spans="4:4" x14ac:dyDescent="0.55000000000000004">
      <c r="D160"/>
    </row>
    <row r="161" spans="4:4" x14ac:dyDescent="0.55000000000000004">
      <c r="D161"/>
    </row>
    <row r="162" spans="4:4" x14ac:dyDescent="0.55000000000000004">
      <c r="D162"/>
    </row>
    <row r="163" spans="4:4" x14ac:dyDescent="0.55000000000000004">
      <c r="D163"/>
    </row>
    <row r="164" spans="4:4" x14ac:dyDescent="0.55000000000000004">
      <c r="D164"/>
    </row>
    <row r="165" spans="4:4" x14ac:dyDescent="0.55000000000000004">
      <c r="D165"/>
    </row>
    <row r="166" spans="4:4" x14ac:dyDescent="0.55000000000000004">
      <c r="D166"/>
    </row>
    <row r="167" spans="4:4" x14ac:dyDescent="0.55000000000000004">
      <c r="D167"/>
    </row>
    <row r="168" spans="4:4" x14ac:dyDescent="0.55000000000000004">
      <c r="D168"/>
    </row>
    <row r="169" spans="4:4" x14ac:dyDescent="0.55000000000000004">
      <c r="D169"/>
    </row>
    <row r="170" spans="4:4" x14ac:dyDescent="0.55000000000000004">
      <c r="D170"/>
    </row>
    <row r="171" spans="4:4" x14ac:dyDescent="0.55000000000000004">
      <c r="D171"/>
    </row>
    <row r="172" spans="4:4" x14ac:dyDescent="0.55000000000000004">
      <c r="D172"/>
    </row>
    <row r="173" spans="4:4" x14ac:dyDescent="0.55000000000000004">
      <c r="D173"/>
    </row>
    <row r="174" spans="4:4" x14ac:dyDescent="0.55000000000000004">
      <c r="D174"/>
    </row>
    <row r="175" spans="4:4" x14ac:dyDescent="0.55000000000000004">
      <c r="D175"/>
    </row>
    <row r="176" spans="4:4" x14ac:dyDescent="0.55000000000000004">
      <c r="D176"/>
    </row>
    <row r="177" spans="4:4" x14ac:dyDescent="0.55000000000000004">
      <c r="D177"/>
    </row>
    <row r="178" spans="4:4" x14ac:dyDescent="0.55000000000000004">
      <c r="D178"/>
    </row>
    <row r="179" spans="4:4" x14ac:dyDescent="0.55000000000000004">
      <c r="D179"/>
    </row>
    <row r="180" spans="4:4" x14ac:dyDescent="0.55000000000000004">
      <c r="D180"/>
    </row>
    <row r="181" spans="4:4" x14ac:dyDescent="0.55000000000000004">
      <c r="D181"/>
    </row>
    <row r="182" spans="4:4" x14ac:dyDescent="0.55000000000000004">
      <c r="D182"/>
    </row>
    <row r="183" spans="4:4" x14ac:dyDescent="0.55000000000000004">
      <c r="D183"/>
    </row>
    <row r="184" spans="4:4" x14ac:dyDescent="0.55000000000000004">
      <c r="D184"/>
    </row>
    <row r="185" spans="4:4" x14ac:dyDescent="0.55000000000000004">
      <c r="D185"/>
    </row>
    <row r="186" spans="4:4" x14ac:dyDescent="0.55000000000000004">
      <c r="D186"/>
    </row>
    <row r="187" spans="4:4" x14ac:dyDescent="0.55000000000000004">
      <c r="D187"/>
    </row>
    <row r="188" spans="4:4" x14ac:dyDescent="0.55000000000000004">
      <c r="D188"/>
    </row>
    <row r="189" spans="4:4" x14ac:dyDescent="0.55000000000000004">
      <c r="D189"/>
    </row>
    <row r="190" spans="4:4" x14ac:dyDescent="0.55000000000000004">
      <c r="D190"/>
    </row>
    <row r="191" spans="4:4" x14ac:dyDescent="0.55000000000000004">
      <c r="D191"/>
    </row>
    <row r="192" spans="4:4" x14ac:dyDescent="0.55000000000000004">
      <c r="D192"/>
    </row>
    <row r="193" spans="4:4" x14ac:dyDescent="0.55000000000000004">
      <c r="D193"/>
    </row>
    <row r="194" spans="4:4" x14ac:dyDescent="0.55000000000000004">
      <c r="D194"/>
    </row>
    <row r="195" spans="4:4" x14ac:dyDescent="0.55000000000000004">
      <c r="D195"/>
    </row>
    <row r="196" spans="4:4" x14ac:dyDescent="0.55000000000000004">
      <c r="D196"/>
    </row>
    <row r="197" spans="4:4" x14ac:dyDescent="0.55000000000000004">
      <c r="D197"/>
    </row>
    <row r="198" spans="4:4" x14ac:dyDescent="0.55000000000000004">
      <c r="D198"/>
    </row>
    <row r="199" spans="4:4" x14ac:dyDescent="0.55000000000000004">
      <c r="D199"/>
    </row>
    <row r="200" spans="4:4" x14ac:dyDescent="0.55000000000000004">
      <c r="D200"/>
    </row>
    <row r="201" spans="4:4" x14ac:dyDescent="0.55000000000000004">
      <c r="D201"/>
    </row>
    <row r="202" spans="4:4" x14ac:dyDescent="0.55000000000000004">
      <c r="D202"/>
    </row>
    <row r="203" spans="4:4" x14ac:dyDescent="0.55000000000000004">
      <c r="D203"/>
    </row>
    <row r="204" spans="4:4" x14ac:dyDescent="0.55000000000000004">
      <c r="D204"/>
    </row>
    <row r="205" spans="4:4" x14ac:dyDescent="0.55000000000000004">
      <c r="D205"/>
    </row>
    <row r="206" spans="4:4" x14ac:dyDescent="0.55000000000000004">
      <c r="D206"/>
    </row>
    <row r="207" spans="4:4" x14ac:dyDescent="0.55000000000000004">
      <c r="D207"/>
    </row>
    <row r="208" spans="4:4" x14ac:dyDescent="0.55000000000000004">
      <c r="D208"/>
    </row>
    <row r="209" spans="4:4" x14ac:dyDescent="0.55000000000000004">
      <c r="D209"/>
    </row>
    <row r="210" spans="4:4" x14ac:dyDescent="0.55000000000000004">
      <c r="D210"/>
    </row>
    <row r="211" spans="4:4" x14ac:dyDescent="0.55000000000000004">
      <c r="D211"/>
    </row>
    <row r="212" spans="4:4" x14ac:dyDescent="0.55000000000000004">
      <c r="D212"/>
    </row>
    <row r="213" spans="4:4" x14ac:dyDescent="0.55000000000000004">
      <c r="D213"/>
    </row>
    <row r="214" spans="4:4" x14ac:dyDescent="0.55000000000000004">
      <c r="D214"/>
    </row>
    <row r="215" spans="4:4" x14ac:dyDescent="0.55000000000000004">
      <c r="D215"/>
    </row>
    <row r="216" spans="4:4" x14ac:dyDescent="0.55000000000000004">
      <c r="D216"/>
    </row>
    <row r="217" spans="4:4" x14ac:dyDescent="0.55000000000000004">
      <c r="D217"/>
    </row>
    <row r="218" spans="4:4" x14ac:dyDescent="0.55000000000000004">
      <c r="D218"/>
    </row>
    <row r="219" spans="4:4" x14ac:dyDescent="0.55000000000000004">
      <c r="D219"/>
    </row>
    <row r="220" spans="4:4" x14ac:dyDescent="0.55000000000000004">
      <c r="D220"/>
    </row>
    <row r="221" spans="4:4" x14ac:dyDescent="0.55000000000000004">
      <c r="D221"/>
    </row>
    <row r="222" spans="4:4" x14ac:dyDescent="0.55000000000000004">
      <c r="D222"/>
    </row>
    <row r="223" spans="4:4" x14ac:dyDescent="0.55000000000000004">
      <c r="D223"/>
    </row>
    <row r="224" spans="4:4" x14ac:dyDescent="0.55000000000000004">
      <c r="D224"/>
    </row>
    <row r="225" spans="4:4" x14ac:dyDescent="0.55000000000000004">
      <c r="D225"/>
    </row>
    <row r="226" spans="4:4" x14ac:dyDescent="0.55000000000000004">
      <c r="D226"/>
    </row>
    <row r="227" spans="4:4" x14ac:dyDescent="0.55000000000000004">
      <c r="D227"/>
    </row>
    <row r="228" spans="4:4" x14ac:dyDescent="0.55000000000000004">
      <c r="D228"/>
    </row>
    <row r="229" spans="4:4" x14ac:dyDescent="0.55000000000000004">
      <c r="D229"/>
    </row>
    <row r="230" spans="4:4" x14ac:dyDescent="0.55000000000000004">
      <c r="D230"/>
    </row>
    <row r="231" spans="4:4" x14ac:dyDescent="0.55000000000000004">
      <c r="D231"/>
    </row>
    <row r="232" spans="4:4" x14ac:dyDescent="0.55000000000000004">
      <c r="D232"/>
    </row>
    <row r="233" spans="4:4" x14ac:dyDescent="0.55000000000000004">
      <c r="D233"/>
    </row>
    <row r="234" spans="4:4" x14ac:dyDescent="0.55000000000000004">
      <c r="D234"/>
    </row>
    <row r="235" spans="4:4" x14ac:dyDescent="0.55000000000000004">
      <c r="D235"/>
    </row>
    <row r="236" spans="4:4" x14ac:dyDescent="0.55000000000000004">
      <c r="D236"/>
    </row>
    <row r="237" spans="4:4" x14ac:dyDescent="0.55000000000000004">
      <c r="D237"/>
    </row>
    <row r="238" spans="4:4" x14ac:dyDescent="0.55000000000000004">
      <c r="D238"/>
    </row>
    <row r="239" spans="4:4" x14ac:dyDescent="0.55000000000000004">
      <c r="D239"/>
    </row>
    <row r="240" spans="4:4" x14ac:dyDescent="0.55000000000000004">
      <c r="D240"/>
    </row>
    <row r="241" spans="4:4" x14ac:dyDescent="0.55000000000000004">
      <c r="D241"/>
    </row>
    <row r="242" spans="4:4" x14ac:dyDescent="0.55000000000000004">
      <c r="D242"/>
    </row>
    <row r="243" spans="4:4" x14ac:dyDescent="0.55000000000000004">
      <c r="D243"/>
    </row>
    <row r="244" spans="4:4" x14ac:dyDescent="0.55000000000000004">
      <c r="D244"/>
    </row>
    <row r="245" spans="4:4" x14ac:dyDescent="0.55000000000000004">
      <c r="D245"/>
    </row>
    <row r="246" spans="4:4" x14ac:dyDescent="0.55000000000000004">
      <c r="D246"/>
    </row>
    <row r="247" spans="4:4" x14ac:dyDescent="0.55000000000000004">
      <c r="D247"/>
    </row>
    <row r="248" spans="4:4" x14ac:dyDescent="0.55000000000000004">
      <c r="D248"/>
    </row>
    <row r="249" spans="4:4" x14ac:dyDescent="0.55000000000000004">
      <c r="D249"/>
    </row>
    <row r="250" spans="4:4" x14ac:dyDescent="0.55000000000000004">
      <c r="D250"/>
    </row>
    <row r="251" spans="4:4" x14ac:dyDescent="0.55000000000000004">
      <c r="D251"/>
    </row>
    <row r="252" spans="4:4" x14ac:dyDescent="0.55000000000000004">
      <c r="D252"/>
    </row>
    <row r="253" spans="4:4" x14ac:dyDescent="0.55000000000000004">
      <c r="D253"/>
    </row>
    <row r="254" spans="4:4" x14ac:dyDescent="0.55000000000000004">
      <c r="D254"/>
    </row>
    <row r="255" spans="4:4" x14ac:dyDescent="0.55000000000000004">
      <c r="D255"/>
    </row>
    <row r="256" spans="4:4" x14ac:dyDescent="0.55000000000000004">
      <c r="D256"/>
    </row>
    <row r="257" spans="4:4" x14ac:dyDescent="0.55000000000000004">
      <c r="D257"/>
    </row>
    <row r="258" spans="4:4" x14ac:dyDescent="0.55000000000000004">
      <c r="D258"/>
    </row>
    <row r="259" spans="4:4" x14ac:dyDescent="0.55000000000000004">
      <c r="D259"/>
    </row>
    <row r="260" spans="4:4" x14ac:dyDescent="0.55000000000000004">
      <c r="D260"/>
    </row>
    <row r="261" spans="4:4" x14ac:dyDescent="0.55000000000000004">
      <c r="D261"/>
    </row>
    <row r="262" spans="4:4" x14ac:dyDescent="0.55000000000000004">
      <c r="D262"/>
    </row>
    <row r="263" spans="4:4" x14ac:dyDescent="0.55000000000000004">
      <c r="D263"/>
    </row>
    <row r="264" spans="4:4" x14ac:dyDescent="0.55000000000000004">
      <c r="D264"/>
    </row>
    <row r="265" spans="4:4" x14ac:dyDescent="0.55000000000000004">
      <c r="D265"/>
    </row>
    <row r="266" spans="4:4" x14ac:dyDescent="0.55000000000000004">
      <c r="D266"/>
    </row>
    <row r="267" spans="4:4" x14ac:dyDescent="0.55000000000000004">
      <c r="D267"/>
    </row>
    <row r="268" spans="4:4" x14ac:dyDescent="0.55000000000000004">
      <c r="D268"/>
    </row>
    <row r="269" spans="4:4" x14ac:dyDescent="0.55000000000000004">
      <c r="D269"/>
    </row>
    <row r="270" spans="4:4" x14ac:dyDescent="0.55000000000000004">
      <c r="D270"/>
    </row>
    <row r="271" spans="4:4" x14ac:dyDescent="0.55000000000000004">
      <c r="D271"/>
    </row>
    <row r="272" spans="4:4" x14ac:dyDescent="0.55000000000000004">
      <c r="D272"/>
    </row>
    <row r="273" spans="4:4" x14ac:dyDescent="0.55000000000000004">
      <c r="D273"/>
    </row>
    <row r="274" spans="4:4" x14ac:dyDescent="0.55000000000000004">
      <c r="D274"/>
    </row>
    <row r="275" spans="4:4" x14ac:dyDescent="0.55000000000000004">
      <c r="D275"/>
    </row>
    <row r="276" spans="4:4" x14ac:dyDescent="0.55000000000000004">
      <c r="D276"/>
    </row>
    <row r="277" spans="4:4" x14ac:dyDescent="0.55000000000000004">
      <c r="D277"/>
    </row>
    <row r="278" spans="4:4" x14ac:dyDescent="0.55000000000000004">
      <c r="D278"/>
    </row>
    <row r="279" spans="4:4" x14ac:dyDescent="0.55000000000000004">
      <c r="D279"/>
    </row>
    <row r="280" spans="4:4" x14ac:dyDescent="0.55000000000000004">
      <c r="D280"/>
    </row>
    <row r="281" spans="4:4" x14ac:dyDescent="0.55000000000000004">
      <c r="D281"/>
    </row>
    <row r="282" spans="4:4" x14ac:dyDescent="0.55000000000000004">
      <c r="D282"/>
    </row>
    <row r="283" spans="4:4" x14ac:dyDescent="0.55000000000000004">
      <c r="D283"/>
    </row>
    <row r="284" spans="4:4" x14ac:dyDescent="0.55000000000000004">
      <c r="D284"/>
    </row>
    <row r="285" spans="4:4" x14ac:dyDescent="0.55000000000000004">
      <c r="D285"/>
    </row>
    <row r="286" spans="4:4" x14ac:dyDescent="0.55000000000000004">
      <c r="D286"/>
    </row>
    <row r="287" spans="4:4" x14ac:dyDescent="0.55000000000000004">
      <c r="D287"/>
    </row>
    <row r="288" spans="4:4" x14ac:dyDescent="0.55000000000000004">
      <c r="D288"/>
    </row>
    <row r="289" spans="4:4" x14ac:dyDescent="0.55000000000000004">
      <c r="D289"/>
    </row>
    <row r="290" spans="4:4" x14ac:dyDescent="0.55000000000000004">
      <c r="D290"/>
    </row>
    <row r="291" spans="4:4" x14ac:dyDescent="0.55000000000000004">
      <c r="D291"/>
    </row>
    <row r="292" spans="4:4" x14ac:dyDescent="0.55000000000000004">
      <c r="D292"/>
    </row>
    <row r="293" spans="4:4" x14ac:dyDescent="0.55000000000000004">
      <c r="D293"/>
    </row>
    <row r="294" spans="4:4" x14ac:dyDescent="0.55000000000000004">
      <c r="D294"/>
    </row>
    <row r="295" spans="4:4" x14ac:dyDescent="0.55000000000000004">
      <c r="D295"/>
    </row>
    <row r="296" spans="4:4" x14ac:dyDescent="0.55000000000000004">
      <c r="D296"/>
    </row>
    <row r="297" spans="4:4" x14ac:dyDescent="0.55000000000000004">
      <c r="D297"/>
    </row>
    <row r="298" spans="4:4" x14ac:dyDescent="0.55000000000000004">
      <c r="D298"/>
    </row>
    <row r="299" spans="4:4" x14ac:dyDescent="0.55000000000000004">
      <c r="D299"/>
    </row>
    <row r="300" spans="4:4" x14ac:dyDescent="0.55000000000000004">
      <c r="D300"/>
    </row>
    <row r="301" spans="4:4" x14ac:dyDescent="0.55000000000000004">
      <c r="D301"/>
    </row>
    <row r="302" spans="4:4" x14ac:dyDescent="0.55000000000000004">
      <c r="D302"/>
    </row>
    <row r="303" spans="4:4" x14ac:dyDescent="0.55000000000000004">
      <c r="D303"/>
    </row>
    <row r="304" spans="4:4" x14ac:dyDescent="0.55000000000000004">
      <c r="D304"/>
    </row>
    <row r="305" spans="4:4" x14ac:dyDescent="0.55000000000000004">
      <c r="D305"/>
    </row>
    <row r="306" spans="4:4" x14ac:dyDescent="0.55000000000000004">
      <c r="D306"/>
    </row>
    <row r="307" spans="4:4" x14ac:dyDescent="0.55000000000000004">
      <c r="D307"/>
    </row>
    <row r="308" spans="4:4" x14ac:dyDescent="0.55000000000000004">
      <c r="D308"/>
    </row>
    <row r="309" spans="4:4" x14ac:dyDescent="0.55000000000000004">
      <c r="D309"/>
    </row>
    <row r="310" spans="4:4" x14ac:dyDescent="0.55000000000000004">
      <c r="D310"/>
    </row>
    <row r="311" spans="4:4" x14ac:dyDescent="0.55000000000000004">
      <c r="D311"/>
    </row>
    <row r="312" spans="4:4" x14ac:dyDescent="0.55000000000000004">
      <c r="D312"/>
    </row>
    <row r="313" spans="4:4" x14ac:dyDescent="0.55000000000000004">
      <c r="D313"/>
    </row>
    <row r="314" spans="4:4" x14ac:dyDescent="0.55000000000000004">
      <c r="D314"/>
    </row>
    <row r="315" spans="4:4" x14ac:dyDescent="0.55000000000000004">
      <c r="D315"/>
    </row>
    <row r="316" spans="4:4" x14ac:dyDescent="0.55000000000000004">
      <c r="D316"/>
    </row>
    <row r="317" spans="4:4" x14ac:dyDescent="0.55000000000000004">
      <c r="D317"/>
    </row>
    <row r="318" spans="4:4" x14ac:dyDescent="0.55000000000000004">
      <c r="D318"/>
    </row>
    <row r="319" spans="4:4" x14ac:dyDescent="0.55000000000000004">
      <c r="D319"/>
    </row>
    <row r="320" spans="4:4" x14ac:dyDescent="0.55000000000000004">
      <c r="D320"/>
    </row>
    <row r="321" spans="4:4" x14ac:dyDescent="0.55000000000000004">
      <c r="D321"/>
    </row>
    <row r="322" spans="4:4" x14ac:dyDescent="0.55000000000000004">
      <c r="D322"/>
    </row>
    <row r="323" spans="4:4" x14ac:dyDescent="0.55000000000000004">
      <c r="D323"/>
    </row>
    <row r="324" spans="4:4" x14ac:dyDescent="0.55000000000000004">
      <c r="D324"/>
    </row>
    <row r="325" spans="4:4" x14ac:dyDescent="0.55000000000000004">
      <c r="D325"/>
    </row>
    <row r="326" spans="4:4" x14ac:dyDescent="0.55000000000000004">
      <c r="D326"/>
    </row>
    <row r="327" spans="4:4" x14ac:dyDescent="0.55000000000000004">
      <c r="D327"/>
    </row>
    <row r="328" spans="4:4" x14ac:dyDescent="0.55000000000000004">
      <c r="D328"/>
    </row>
    <row r="329" spans="4:4" x14ac:dyDescent="0.55000000000000004">
      <c r="D329"/>
    </row>
    <row r="330" spans="4:4" x14ac:dyDescent="0.55000000000000004">
      <c r="D330"/>
    </row>
    <row r="331" spans="4:4" x14ac:dyDescent="0.55000000000000004">
      <c r="D331"/>
    </row>
    <row r="332" spans="4:4" x14ac:dyDescent="0.55000000000000004">
      <c r="D332"/>
    </row>
    <row r="333" spans="4:4" x14ac:dyDescent="0.55000000000000004">
      <c r="D333"/>
    </row>
    <row r="334" spans="4:4" x14ac:dyDescent="0.55000000000000004">
      <c r="D334"/>
    </row>
    <row r="335" spans="4:4" x14ac:dyDescent="0.55000000000000004">
      <c r="D335"/>
    </row>
    <row r="336" spans="4:4" x14ac:dyDescent="0.55000000000000004">
      <c r="D336"/>
    </row>
    <row r="337" spans="4:4" x14ac:dyDescent="0.55000000000000004">
      <c r="D337"/>
    </row>
    <row r="338" spans="4:4" x14ac:dyDescent="0.55000000000000004">
      <c r="D338"/>
    </row>
    <row r="339" spans="4:4" x14ac:dyDescent="0.55000000000000004">
      <c r="D339"/>
    </row>
    <row r="340" spans="4:4" x14ac:dyDescent="0.55000000000000004">
      <c r="D340"/>
    </row>
    <row r="341" spans="4:4" x14ac:dyDescent="0.55000000000000004">
      <c r="D341"/>
    </row>
    <row r="342" spans="4:4" x14ac:dyDescent="0.55000000000000004">
      <c r="D342"/>
    </row>
    <row r="343" spans="4:4" x14ac:dyDescent="0.55000000000000004">
      <c r="D343"/>
    </row>
    <row r="344" spans="4:4" x14ac:dyDescent="0.55000000000000004">
      <c r="D344"/>
    </row>
    <row r="345" spans="4:4" x14ac:dyDescent="0.55000000000000004">
      <c r="D345"/>
    </row>
    <row r="346" spans="4:4" x14ac:dyDescent="0.55000000000000004">
      <c r="D346"/>
    </row>
    <row r="347" spans="4:4" x14ac:dyDescent="0.55000000000000004">
      <c r="D347"/>
    </row>
    <row r="348" spans="4:4" x14ac:dyDescent="0.55000000000000004">
      <c r="D348"/>
    </row>
    <row r="349" spans="4:4" x14ac:dyDescent="0.55000000000000004">
      <c r="D349"/>
    </row>
    <row r="350" spans="4:4" x14ac:dyDescent="0.55000000000000004">
      <c r="D350"/>
    </row>
    <row r="351" spans="4:4" x14ac:dyDescent="0.55000000000000004">
      <c r="D351"/>
    </row>
    <row r="352" spans="4:4" x14ac:dyDescent="0.55000000000000004">
      <c r="D352"/>
    </row>
    <row r="353" spans="4:4" x14ac:dyDescent="0.55000000000000004">
      <c r="D353"/>
    </row>
    <row r="354" spans="4:4" x14ac:dyDescent="0.55000000000000004">
      <c r="D354"/>
    </row>
    <row r="355" spans="4:4" x14ac:dyDescent="0.55000000000000004">
      <c r="D355"/>
    </row>
    <row r="356" spans="4:4" x14ac:dyDescent="0.55000000000000004">
      <c r="D356"/>
    </row>
    <row r="357" spans="4:4" x14ac:dyDescent="0.55000000000000004">
      <c r="D357"/>
    </row>
    <row r="358" spans="4:4" x14ac:dyDescent="0.55000000000000004">
      <c r="D358"/>
    </row>
    <row r="359" spans="4:4" x14ac:dyDescent="0.55000000000000004">
      <c r="D359"/>
    </row>
    <row r="360" spans="4:4" x14ac:dyDescent="0.55000000000000004">
      <c r="D360"/>
    </row>
    <row r="361" spans="4:4" x14ac:dyDescent="0.55000000000000004">
      <c r="D361"/>
    </row>
    <row r="362" spans="4:4" x14ac:dyDescent="0.55000000000000004">
      <c r="D362"/>
    </row>
    <row r="363" spans="4:4" x14ac:dyDescent="0.55000000000000004">
      <c r="D363"/>
    </row>
    <row r="364" spans="4:4" x14ac:dyDescent="0.55000000000000004">
      <c r="D364"/>
    </row>
    <row r="365" spans="4:4" x14ac:dyDescent="0.55000000000000004">
      <c r="D365"/>
    </row>
    <row r="366" spans="4:4" x14ac:dyDescent="0.55000000000000004">
      <c r="D366"/>
    </row>
    <row r="367" spans="4:4" x14ac:dyDescent="0.55000000000000004">
      <c r="D367"/>
    </row>
    <row r="368" spans="4:4" x14ac:dyDescent="0.55000000000000004">
      <c r="D368"/>
    </row>
    <row r="369" spans="4:4" x14ac:dyDescent="0.55000000000000004">
      <c r="D369"/>
    </row>
    <row r="370" spans="4:4" x14ac:dyDescent="0.55000000000000004">
      <c r="D370"/>
    </row>
    <row r="371" spans="4:4" x14ac:dyDescent="0.55000000000000004">
      <c r="D371"/>
    </row>
    <row r="372" spans="4:4" x14ac:dyDescent="0.55000000000000004">
      <c r="D372"/>
    </row>
    <row r="373" spans="4:4" x14ac:dyDescent="0.55000000000000004">
      <c r="D373"/>
    </row>
    <row r="374" spans="4:4" x14ac:dyDescent="0.55000000000000004">
      <c r="D374"/>
    </row>
    <row r="375" spans="4:4" x14ac:dyDescent="0.55000000000000004">
      <c r="D375"/>
    </row>
    <row r="376" spans="4:4" x14ac:dyDescent="0.55000000000000004">
      <c r="D376"/>
    </row>
    <row r="377" spans="4:4" x14ac:dyDescent="0.55000000000000004">
      <c r="D377"/>
    </row>
    <row r="378" spans="4:4" x14ac:dyDescent="0.55000000000000004">
      <c r="D378"/>
    </row>
    <row r="379" spans="4:4" x14ac:dyDescent="0.55000000000000004">
      <c r="D379"/>
    </row>
    <row r="380" spans="4:4" x14ac:dyDescent="0.55000000000000004">
      <c r="D380"/>
    </row>
    <row r="381" spans="4:4" x14ac:dyDescent="0.55000000000000004">
      <c r="D381"/>
    </row>
    <row r="382" spans="4:4" x14ac:dyDescent="0.55000000000000004">
      <c r="D382"/>
    </row>
    <row r="383" spans="4:4" x14ac:dyDescent="0.55000000000000004">
      <c r="D383"/>
    </row>
    <row r="384" spans="4:4" x14ac:dyDescent="0.55000000000000004">
      <c r="D384"/>
    </row>
  </sheetData>
  <sortState xmlns:xlrd2="http://schemas.microsoft.com/office/spreadsheetml/2017/richdata2" ref="K4:K18">
    <sortCondition ref="K4:K18"/>
  </sortState>
  <pageMargins left="0.7" right="0.7" top="0.75" bottom="0.75" header="0.3" footer="0.3"/>
  <pageSetup orientation="portrait" r:id="rId1"/>
  <drawing r:id="rId2"/>
  <legacyDrawing r:id="rId3"/>
  <controls>
    <mc:AlternateContent xmlns:mc="http://schemas.openxmlformats.org/markup-compatibility/2006">
      <mc:Choice Requires="x14">
        <control shapeId="33793" r:id="rId4" name="FPMExcelClientSheetOptionstb1">
          <controlPr defaultSize="0" autoLine="0" autoPict="0" r:id="rId5">
            <anchor moveWithCells="1" sizeWithCells="1">
              <from>
                <xdr:col>0</xdr:col>
                <xdr:colOff>0</xdr:colOff>
                <xdr:row>0</xdr:row>
                <xdr:rowOff>0</xdr:rowOff>
              </from>
              <to>
                <xdr:col>1</xdr:col>
                <xdr:colOff>304800</xdr:colOff>
                <xdr:row>0</xdr:row>
                <xdr:rowOff>0</xdr:rowOff>
              </to>
            </anchor>
          </controlPr>
        </control>
      </mc:Choice>
      <mc:Fallback>
        <control shapeId="33793" r:id="rId4" name="FPMExcelClientSheetOptionstb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388"/>
  <sheetViews>
    <sheetView workbookViewId="0">
      <selection activeCell="F7" sqref="F7"/>
    </sheetView>
  </sheetViews>
  <sheetFormatPr defaultRowHeight="14.4" x14ac:dyDescent="0.55000000000000004"/>
  <cols>
    <col min="1" max="1" width="10.26171875" bestFit="1" customWidth="1"/>
    <col min="2" max="2" width="32.83984375" bestFit="1" customWidth="1"/>
    <col min="3" max="4" width="40.68359375" bestFit="1" customWidth="1"/>
    <col min="5" max="5" width="47.26171875" bestFit="1" customWidth="1"/>
    <col min="6" max="6" width="18.68359375" bestFit="1" customWidth="1"/>
    <col min="7" max="7" width="18.15625" bestFit="1" customWidth="1"/>
    <col min="8" max="8" width="20.15625" bestFit="1" customWidth="1"/>
    <col min="9" max="9" width="19" bestFit="1" customWidth="1"/>
    <col min="10" max="10" width="19.83984375" bestFit="1" customWidth="1"/>
    <col min="11" max="11" width="18.68359375" bestFit="1" customWidth="1"/>
    <col min="12" max="12" width="17.578125" bestFit="1" customWidth="1"/>
    <col min="13" max="13" width="19.578125" bestFit="1" customWidth="1"/>
    <col min="14" max="15" width="18.68359375" bestFit="1" customWidth="1"/>
    <col min="16" max="16" width="18.15625" bestFit="1" customWidth="1"/>
    <col min="17" max="17" width="20.15625" bestFit="1" customWidth="1"/>
  </cols>
  <sheetData>
    <row r="1" spans="1:13" x14ac:dyDescent="0.55000000000000004">
      <c r="D1" s="1" t="str">
        <f xml:space="preserve"> _xll.EPMOlapMemberO("[TENANT].[H1].[M_00087]","","M_00087 - North American Health Care, Inc","","000")</f>
        <v>M_00087 - North American Health Care, Inc</v>
      </c>
    </row>
    <row r="2" spans="1:13" x14ac:dyDescent="0.55000000000000004">
      <c r="D2" s="1" t="str">
        <f xml:space="preserve"> _xll.EPMOlapMemberO("[MEASURES].[].[PERIODIC]","","Periodic","","000")</f>
        <v>Periodic</v>
      </c>
    </row>
    <row r="4" spans="1:13" x14ac:dyDescent="0.55000000000000004">
      <c r="F4" s="1" t="str">
        <f xml:space="preserve"> _xll.EPMOlapMemberO("[TIME].[H1].[2021.JAN]","","2021.JAN - 2021 JAN","","000")</f>
        <v>2021.JAN - 2021 JAN</v>
      </c>
      <c r="G4" s="1" t="str">
        <f xml:space="preserve"> _xll.EPMOlapMemberO("[TIME].[H1].[2021.FEB]","","2021.FEB - 2021 FEB","","000")</f>
        <v>2021.FEB - 2021 FEB</v>
      </c>
      <c r="H4" s="1" t="str">
        <f xml:space="preserve"> _xll.EPMOlapMemberO("[TIME].[H1].[2021.MAR]","","2021.MAR - 2021 MAR","","000")</f>
        <v>2021.MAR - 2021 MAR</v>
      </c>
      <c r="I4" s="1" t="str">
        <f xml:space="preserve"> _xll.EPMOlapMemberO("[TIME].[H1].[2021.APR]","","2021.APR - 2021 APR","","000")</f>
        <v>2021.APR - 2021 APR</v>
      </c>
      <c r="J4" s="1" t="str">
        <f xml:space="preserve"> _xll.EPMOlapMemberO("[TIME].[H1].[2021.MAY]","","2021.MAY - 2021 MAY","","000")</f>
        <v>2021.MAY - 2021 MAY</v>
      </c>
      <c r="K4" s="1" t="str">
        <f xml:space="preserve"> _xll.EPMOlapMemberO("[TIME].[H1].[2021.JUN]","","2021.JUN - 2021 JUN","","000")</f>
        <v>2021.JUN - 2021 JUN</v>
      </c>
      <c r="L4" s="1" t="str">
        <f xml:space="preserve"> _xll.EPMOlapMemberO("[TIME].[H1].[2021.JUL]","","2021.JUL - 2021 JUL","","000")</f>
        <v>2021.JUL - 2021 JUL</v>
      </c>
      <c r="M4" s="1" t="str">
        <f xml:space="preserve"> _xll.EPMOlapMemberO("[TIME].[H1].[2021.AUG]","","2021.AUG - 2021 AUG","","000")</f>
        <v>2021.AUG - 2021 AUG</v>
      </c>
    </row>
    <row r="5" spans="1:13" x14ac:dyDescent="0.55000000000000004">
      <c r="A5" s="19" t="str">
        <f>_xll.EVPRO("Finance",$C5,"Inv_Type")</f>
        <v>Inv_Equity</v>
      </c>
      <c r="B5" s="19" t="str">
        <f>MID($C5,FIND("- ",$C5)+2,10000)</f>
        <v>New Orange Hills (North American)</v>
      </c>
      <c r="C5" s="19" t="str">
        <f>IF(D5&lt;&gt;"",D5,C4)</f>
        <v>S09206 - New Orange Hills (North American)</v>
      </c>
      <c r="D5" s="45" t="str">
        <f xml:space="preserve"> _xll.EPMOlapMemberO("[ENTITY].[H1].[S09206]","","S09206 - New Orange Hills (North American)","","000")</f>
        <v>S09206 - New Orange Hills (North American)</v>
      </c>
      <c r="E5" s="45" t="str">
        <f xml:space="preserve"> _xll.EPMOlapMemberO("[ACCOUNT].[H1].[PAY_PAT_DAYS]","","PAY_PAT_DAYS - Total Payor Patient Days","","000")</f>
        <v>PAY_PAT_DAYS - Total Payor Patient Days</v>
      </c>
      <c r="F5">
        <v>4100</v>
      </c>
      <c r="G5">
        <v>3566</v>
      </c>
      <c r="H5">
        <v>3713</v>
      </c>
      <c r="I5">
        <v>3657</v>
      </c>
      <c r="J5">
        <v>4041</v>
      </c>
      <c r="K5">
        <v>4007</v>
      </c>
      <c r="L5">
        <v>4142</v>
      </c>
      <c r="M5">
        <v>4031</v>
      </c>
    </row>
    <row r="6" spans="1:13" x14ac:dyDescent="0.55000000000000004">
      <c r="A6" s="19" t="str">
        <f>_xll.EVPRO("Finance",$C6,"Inv_Type")</f>
        <v>Inv_Equity</v>
      </c>
      <c r="B6" s="19" t="str">
        <f t="shared" ref="B6:B69" si="0">MID($C6,FIND("- ",$C6)+2,10000)</f>
        <v>New Orange Hills (North American)</v>
      </c>
      <c r="C6" s="19" t="str">
        <f t="shared" ref="C6:C69" si="1">IF(D6&lt;&gt;"",D6,C5)</f>
        <v>S09206 - New Orange Hills (North American)</v>
      </c>
      <c r="D6" s="45"/>
      <c r="E6" s="2" t="str">
        <f xml:space="preserve"> _xll.EPMOlapMemberO("[ACCOUNT].[H1].[A_BEDS_TOTAL]","","A_BEDS_TOTAL - Total Available Beds","","000")</f>
        <v>A_BEDS_TOTAL - Total Available Beds</v>
      </c>
      <c r="F6">
        <v>145</v>
      </c>
      <c r="G6">
        <v>145</v>
      </c>
      <c r="H6">
        <v>145</v>
      </c>
      <c r="I6">
        <v>145</v>
      </c>
      <c r="J6">
        <v>145</v>
      </c>
      <c r="K6">
        <v>145</v>
      </c>
      <c r="L6">
        <v>143</v>
      </c>
      <c r="M6">
        <v>143</v>
      </c>
    </row>
    <row r="7" spans="1:13" x14ac:dyDescent="0.55000000000000004">
      <c r="A7" s="19" t="str">
        <f>_xll.EVPRO("Finance",$C7,"Inv_Type")</f>
        <v>Inv_Equity</v>
      </c>
      <c r="B7" s="19" t="str">
        <f t="shared" si="0"/>
        <v>New Orange Hills (North American)</v>
      </c>
      <c r="C7" s="19" t="str">
        <f t="shared" si="1"/>
        <v>S09206 - New Orange Hills (North American)</v>
      </c>
      <c r="D7" s="45"/>
      <c r="E7" s="9" t="str">
        <f xml:space="preserve"> _xll.EPMOlapMemberO("[ACCOUNT].[H1].[T_REVENUES]","","T_REVENUES - Total Tenant Revenues","","000")</f>
        <v>T_REVENUES - Total Tenant Revenues</v>
      </c>
      <c r="F7">
        <v>2161662.65</v>
      </c>
      <c r="G7">
        <v>1899566.0800000001</v>
      </c>
      <c r="H7">
        <v>2009274.25</v>
      </c>
      <c r="I7">
        <v>1846123.59</v>
      </c>
      <c r="J7">
        <v>2048508.23</v>
      </c>
      <c r="K7">
        <v>2086323.28</v>
      </c>
      <c r="L7">
        <v>2102667.73</v>
      </c>
      <c r="M7">
        <v>2152915.27</v>
      </c>
    </row>
    <row r="8" spans="1:13" x14ac:dyDescent="0.55000000000000004">
      <c r="A8" s="19" t="str">
        <f>_xll.EVPRO("Finance",$C8,"Inv_Type")</f>
        <v>Inv_Equity</v>
      </c>
      <c r="B8" s="19" t="str">
        <f t="shared" si="0"/>
        <v>New Orange Hills (North American)</v>
      </c>
      <c r="C8" s="19" t="str">
        <f t="shared" si="1"/>
        <v>S09206 - New Orange Hills (North American)</v>
      </c>
      <c r="D8" s="45"/>
      <c r="E8" s="9" t="str">
        <f xml:space="preserve"> _xll.EPMOlapMemberO("[ACCOUNT].[H1].[T_OPEX]","","T_OPEX - Tenant Operating Expenses","","000")</f>
        <v>T_OPEX - Tenant Operating Expenses</v>
      </c>
      <c r="F8">
        <v>1770285.78</v>
      </c>
      <c r="G8">
        <v>1605528.1</v>
      </c>
      <c r="H8">
        <v>1614593.31</v>
      </c>
      <c r="I8">
        <v>1616429.37</v>
      </c>
      <c r="J8">
        <v>1721580.86</v>
      </c>
      <c r="K8">
        <v>1710906.7</v>
      </c>
      <c r="L8">
        <v>1672815.27</v>
      </c>
      <c r="M8">
        <v>1688187.01</v>
      </c>
    </row>
    <row r="9" spans="1:13" x14ac:dyDescent="0.55000000000000004">
      <c r="A9" s="19" t="str">
        <f>_xll.EVPRO("Finance",$C9,"Inv_Type")</f>
        <v>Inv_Equity</v>
      </c>
      <c r="B9" s="19" t="str">
        <f t="shared" si="0"/>
        <v>New Orange Hills (North American)</v>
      </c>
      <c r="C9" s="19" t="str">
        <f t="shared" si="1"/>
        <v>S09206 - New Orange Hills (North American)</v>
      </c>
      <c r="D9" s="45"/>
      <c r="E9" s="2" t="str">
        <f xml:space="preserve"> _xll.EPMOlapMemberO("[ACCOUNT].[H1].[T_NON_OP_EXP]","","T_NON_OP_EXP - Tenant Non-Operating Expense","","000")</f>
        <v>T_NON_OP_EXP - Tenant Non-Operating Expense</v>
      </c>
      <c r="F9">
        <v>43214.7</v>
      </c>
      <c r="G9">
        <v>41548.65</v>
      </c>
      <c r="H9">
        <v>48313.93</v>
      </c>
      <c r="I9">
        <v>60623.41</v>
      </c>
      <c r="J9">
        <v>86851.92</v>
      </c>
      <c r="K9">
        <v>61925.99</v>
      </c>
      <c r="L9">
        <v>52325.24</v>
      </c>
      <c r="M9">
        <v>71235.41</v>
      </c>
    </row>
    <row r="10" spans="1:13" x14ac:dyDescent="0.55000000000000004">
      <c r="A10" s="19" t="str">
        <f>_xll.EVPRO("Finance",$C10,"Inv_Type")</f>
        <v>Inv_Equity</v>
      </c>
      <c r="B10" s="19" t="str">
        <f t="shared" si="0"/>
        <v>New Orange Hills (North American)</v>
      </c>
      <c r="C10" s="19" t="str">
        <f t="shared" si="1"/>
        <v>S09206 - New Orange Hills (North American)</v>
      </c>
      <c r="D10" s="45"/>
      <c r="E10" s="10" t="str">
        <f xml:space="preserve"> _xll.EPMOlapMemberO("[ACCOUNT].[H1].[T_BAD_DEBT]","","T_BAD_DEBT - Tenant Bad Debt Expense","","000")</f>
        <v>T_BAD_DEBT - Tenant Bad Debt Expense</v>
      </c>
      <c r="F10">
        <v>-77009.25</v>
      </c>
      <c r="G10">
        <v>12683.75</v>
      </c>
      <c r="H10">
        <v>-56601.98</v>
      </c>
      <c r="I10">
        <v>-20433.39</v>
      </c>
      <c r="J10">
        <v>78771.47</v>
      </c>
      <c r="K10">
        <v>16042.77</v>
      </c>
      <c r="L10">
        <v>37019.160000000003</v>
      </c>
      <c r="M10">
        <v>54539.28</v>
      </c>
    </row>
    <row r="11" spans="1:13" x14ac:dyDescent="0.55000000000000004">
      <c r="A11" s="19" t="str">
        <f>_xll.EVPRO("Finance",$C11,"Inv_Type")</f>
        <v>Inv_Equity</v>
      </c>
      <c r="B11" s="19" t="str">
        <f t="shared" si="0"/>
        <v>New Orange Hills (North American)</v>
      </c>
      <c r="C11" s="19" t="str">
        <f t="shared" si="1"/>
        <v>S09206 - New Orange Hills (North American)</v>
      </c>
      <c r="D11" s="45"/>
      <c r="E11" s="3" t="str">
        <f xml:space="preserve"> _xll.EPMOlapMemberO("[ACCOUNT].[H1].[T_EBITDARM]","","T_EBITDARM - EBITDARM","","000")</f>
        <v>T_EBITDARM - EBITDARM</v>
      </c>
      <c r="F11">
        <v>391376.87</v>
      </c>
      <c r="G11">
        <v>294037.98</v>
      </c>
      <c r="H11">
        <v>394680.94</v>
      </c>
      <c r="I11">
        <v>229694.22</v>
      </c>
      <c r="J11">
        <v>326927.37</v>
      </c>
      <c r="K11">
        <v>375416.58</v>
      </c>
      <c r="L11">
        <v>429852.45999999897</v>
      </c>
      <c r="M11">
        <v>464728.26</v>
      </c>
    </row>
    <row r="12" spans="1:13" x14ac:dyDescent="0.55000000000000004">
      <c r="A12" s="19" t="str">
        <f>_xll.EVPRO("Finance",$C12,"Inv_Type")</f>
        <v>Inv_Equity</v>
      </c>
      <c r="B12" s="19" t="str">
        <f t="shared" si="0"/>
        <v>New Orange Hills (North American)</v>
      </c>
      <c r="C12" s="19" t="str">
        <f t="shared" si="1"/>
        <v>S09206 - New Orange Hills (North American)</v>
      </c>
      <c r="D12" s="45"/>
      <c r="E12" s="3" t="str">
        <f xml:space="preserve"> _xll.EPMOlapMemberO("[ACCOUNT].[H1].[T_MGMT_FEE]","","T_MGMT_FEE - Tenant Management Fee - Actual","","000")</f>
        <v>T_MGMT_FEE - Tenant Management Fee - Actual</v>
      </c>
      <c r="F12">
        <v>117289</v>
      </c>
      <c r="G12">
        <v>107603</v>
      </c>
      <c r="H12">
        <v>94978</v>
      </c>
      <c r="I12">
        <v>100463</v>
      </c>
      <c r="J12">
        <v>92306</v>
      </c>
      <c r="K12">
        <v>102425</v>
      </c>
      <c r="L12">
        <v>104316</v>
      </c>
      <c r="M12">
        <v>105133</v>
      </c>
    </row>
    <row r="13" spans="1:13" x14ac:dyDescent="0.55000000000000004">
      <c r="A13" s="19" t="str">
        <f>_xll.EVPRO("Finance",$C13,"Inv_Type")</f>
        <v>Inv_Equity</v>
      </c>
      <c r="B13" s="19" t="str">
        <f t="shared" si="0"/>
        <v>New Orange Hills (North American)</v>
      </c>
      <c r="C13" s="19" t="str">
        <f t="shared" si="1"/>
        <v>S09206 - New Orange Hills (North American)</v>
      </c>
      <c r="D13" s="45"/>
      <c r="E13" s="2" t="str">
        <f xml:space="preserve"> _xll.EPMOlapMemberO("[ACCOUNT].[H1].[T_EBITDAR]","","T_EBITDAR - EBITDAR","","000")</f>
        <v>T_EBITDAR - EBITDAR</v>
      </c>
      <c r="F13">
        <v>274087.87</v>
      </c>
      <c r="G13">
        <v>186434.98</v>
      </c>
      <c r="H13">
        <v>299702.94</v>
      </c>
      <c r="I13">
        <v>129231.22</v>
      </c>
      <c r="J13">
        <v>234621.37</v>
      </c>
      <c r="K13">
        <v>272991.58</v>
      </c>
      <c r="L13">
        <v>325536.45999999897</v>
      </c>
      <c r="M13">
        <v>359595.26</v>
      </c>
    </row>
    <row r="14" spans="1:13" x14ac:dyDescent="0.55000000000000004">
      <c r="A14" s="19" t="str">
        <f>_xll.EVPRO("Finance",$C14,"Inv_Type")</f>
        <v>Inv_Equity</v>
      </c>
      <c r="B14" s="19" t="str">
        <f t="shared" si="0"/>
        <v>New Orange Hills (North American)</v>
      </c>
      <c r="C14" s="19" t="str">
        <f t="shared" si="1"/>
        <v>S09206 - New Orange Hills (North American)</v>
      </c>
      <c r="D14" s="45"/>
      <c r="E14" s="2" t="str">
        <f xml:space="preserve"> _xll.EPMOlapMemberO("[ACCOUNT].[H1].[T_COVERAGE_RENT]","","T_COVERAGE_RENT - Coverage Rent","","000")</f>
        <v>T_COVERAGE_RENT - Coverage Rent</v>
      </c>
      <c r="F14">
        <v>188439.37</v>
      </c>
      <c r="G14">
        <v>188439.37</v>
      </c>
      <c r="H14">
        <v>188439.37</v>
      </c>
      <c r="I14">
        <v>188439.37</v>
      </c>
      <c r="J14">
        <v>188439.37</v>
      </c>
      <c r="K14">
        <v>188439.37</v>
      </c>
      <c r="L14">
        <v>188439.37</v>
      </c>
      <c r="M14">
        <v>188439.37</v>
      </c>
    </row>
    <row r="15" spans="1:13" x14ac:dyDescent="0.55000000000000004">
      <c r="A15" s="19" t="str">
        <f>_xll.EVPRO("Finance",$C15,"Inv_Type")</f>
        <v>Inv_Equity</v>
      </c>
      <c r="B15" s="19" t="str">
        <f t="shared" si="0"/>
        <v>New Orange Hills (North American)</v>
      </c>
      <c r="C15" s="19" t="str">
        <f t="shared" si="1"/>
        <v>S09206 - New Orange Hills (North American)</v>
      </c>
      <c r="D15" s="45"/>
      <c r="E15" s="2" t="str">
        <f xml:space="preserve"> _xll.EPMOlapMemberO("[ACCOUNT].[H1].[T_RENT_EXP]","","T_RENT_EXP - Tenant Rent Expense","","000")</f>
        <v>T_RENT_EXP - Tenant Rent Expense</v>
      </c>
      <c r="F15">
        <v>188439.37</v>
      </c>
      <c r="G15">
        <v>188439.37</v>
      </c>
      <c r="H15">
        <v>188439.37</v>
      </c>
      <c r="I15">
        <v>188439.37</v>
      </c>
      <c r="J15">
        <v>188439.37</v>
      </c>
      <c r="K15">
        <v>188439.37</v>
      </c>
      <c r="L15">
        <v>188439.37</v>
      </c>
      <c r="M15">
        <v>188439.37</v>
      </c>
    </row>
    <row r="16" spans="1:13" x14ac:dyDescent="0.55000000000000004">
      <c r="A16" s="19" t="str">
        <f>_xll.EVPRO("Finance",$C16,"Inv_Type")</f>
        <v>Inv_Equity</v>
      </c>
      <c r="B16" s="19" t="str">
        <f t="shared" si="0"/>
        <v>Broadway by the Sea</v>
      </c>
      <c r="C16" s="19" t="str">
        <f t="shared" si="1"/>
        <v>S04611 - Broadway by the Sea</v>
      </c>
      <c r="D16" s="3" t="str">
        <f xml:space="preserve"> _xll.EPMOlapMemberO("[ENTITY].[H1].[S04611]","","S04611 - Broadway by the Sea","","000")</f>
        <v>S04611 - Broadway by the Sea</v>
      </c>
      <c r="E16" s="45" t="str">
        <f xml:space="preserve"> _xll.EPMOlapMemberO("[ACCOUNT].[H1].[PAY_PAT_DAYS]","","PAY_PAT_DAYS - Total Payor Patient Days","","000")</f>
        <v>PAY_PAT_DAYS - Total Payor Patient Days</v>
      </c>
      <c r="F16">
        <v>1854</v>
      </c>
      <c r="G16">
        <v>1793</v>
      </c>
      <c r="H16">
        <v>1961</v>
      </c>
      <c r="I16">
        <v>1786</v>
      </c>
      <c r="J16">
        <v>1962</v>
      </c>
      <c r="K16">
        <v>1924</v>
      </c>
      <c r="L16">
        <v>2018</v>
      </c>
      <c r="M16">
        <v>2158</v>
      </c>
    </row>
    <row r="17" spans="1:13" x14ac:dyDescent="0.55000000000000004">
      <c r="A17" s="19" t="str">
        <f>_xll.EVPRO("Finance",$C17,"Inv_Type")</f>
        <v>Inv_Equity</v>
      </c>
      <c r="B17" s="19" t="str">
        <f t="shared" si="0"/>
        <v>Broadway by the Sea</v>
      </c>
      <c r="C17" s="19" t="str">
        <f t="shared" si="1"/>
        <v>S04611 - Broadway by the Sea</v>
      </c>
      <c r="D17" s="3"/>
      <c r="E17" s="2" t="str">
        <f xml:space="preserve"> _xll.EPMOlapMemberO("[ACCOUNT].[H1].[A_BEDS_TOTAL]","","A_BEDS_TOTAL - Total Available Beds","","000")</f>
        <v>A_BEDS_TOTAL - Total Available Beds</v>
      </c>
      <c r="F17">
        <v>95</v>
      </c>
      <c r="G17">
        <v>95</v>
      </c>
      <c r="H17">
        <v>95</v>
      </c>
      <c r="I17">
        <v>95</v>
      </c>
      <c r="J17">
        <v>95</v>
      </c>
      <c r="K17">
        <v>95</v>
      </c>
      <c r="L17">
        <v>95</v>
      </c>
      <c r="M17">
        <v>95</v>
      </c>
    </row>
    <row r="18" spans="1:13" x14ac:dyDescent="0.55000000000000004">
      <c r="A18" s="19" t="str">
        <f>_xll.EVPRO("Finance",$C18,"Inv_Type")</f>
        <v>Inv_Equity</v>
      </c>
      <c r="B18" s="19" t="str">
        <f t="shared" si="0"/>
        <v>Broadway by the Sea</v>
      </c>
      <c r="C18" s="19" t="str">
        <f t="shared" si="1"/>
        <v>S04611 - Broadway by the Sea</v>
      </c>
      <c r="D18" s="3"/>
      <c r="E18" s="9" t="str">
        <f xml:space="preserve"> _xll.EPMOlapMemberO("[ACCOUNT].[H1].[T_REVENUES]","","T_REVENUES - Total Tenant Revenues","","000")</f>
        <v>T_REVENUES - Total Tenant Revenues</v>
      </c>
      <c r="F18">
        <v>1051119.3400000001</v>
      </c>
      <c r="G18">
        <v>840414.97</v>
      </c>
      <c r="H18">
        <v>1150198.94</v>
      </c>
      <c r="I18">
        <v>850800.64000000001</v>
      </c>
      <c r="J18">
        <v>875945.14</v>
      </c>
      <c r="K18">
        <v>801255.54</v>
      </c>
      <c r="L18">
        <v>871300.23</v>
      </c>
      <c r="M18">
        <v>983730.43</v>
      </c>
    </row>
    <row r="19" spans="1:13" x14ac:dyDescent="0.55000000000000004">
      <c r="A19" s="19" t="str">
        <f>_xll.EVPRO("Finance",$C19,"Inv_Type")</f>
        <v>Inv_Equity</v>
      </c>
      <c r="B19" s="19" t="str">
        <f t="shared" si="0"/>
        <v>Broadway by the Sea</v>
      </c>
      <c r="C19" s="19" t="str">
        <f t="shared" si="1"/>
        <v>S04611 - Broadway by the Sea</v>
      </c>
      <c r="D19" s="3"/>
      <c r="E19" s="9" t="str">
        <f xml:space="preserve"> _xll.EPMOlapMemberO("[ACCOUNT].[H1].[T_OPEX]","","T_OPEX - Tenant Operating Expenses","","000")</f>
        <v>T_OPEX - Tenant Operating Expenses</v>
      </c>
      <c r="F19">
        <v>700505.93</v>
      </c>
      <c r="G19">
        <v>684505.79</v>
      </c>
      <c r="H19">
        <v>744243.48</v>
      </c>
      <c r="I19">
        <v>731390.23</v>
      </c>
      <c r="J19">
        <v>714673.95</v>
      </c>
      <c r="K19">
        <v>703099.87</v>
      </c>
      <c r="L19">
        <v>736059.6</v>
      </c>
      <c r="M19">
        <v>717908.87</v>
      </c>
    </row>
    <row r="20" spans="1:13" x14ac:dyDescent="0.55000000000000004">
      <c r="A20" s="19" t="str">
        <f>_xll.EVPRO("Finance",$C20,"Inv_Type")</f>
        <v>Inv_Equity</v>
      </c>
      <c r="B20" s="19" t="str">
        <f t="shared" si="0"/>
        <v>Broadway by the Sea</v>
      </c>
      <c r="C20" s="19" t="str">
        <f t="shared" si="1"/>
        <v>S04611 - Broadway by the Sea</v>
      </c>
      <c r="D20" s="3"/>
      <c r="E20" s="2" t="str">
        <f xml:space="preserve"> _xll.EPMOlapMemberO("[ACCOUNT].[H1].[T_NON_OP_EXP]","","T_NON_OP_EXP - Tenant Non-Operating Expense","","000")</f>
        <v>T_NON_OP_EXP - Tenant Non-Operating Expense</v>
      </c>
      <c r="F20">
        <v>9752.76</v>
      </c>
      <c r="G20">
        <v>4461.3999999999996</v>
      </c>
      <c r="H20">
        <v>7673.07</v>
      </c>
      <c r="I20">
        <v>13611.3</v>
      </c>
      <c r="J20">
        <v>4488.4399999999996</v>
      </c>
      <c r="K20">
        <v>31983.09</v>
      </c>
      <c r="L20">
        <v>11023.73</v>
      </c>
      <c r="M20">
        <v>44017.4</v>
      </c>
    </row>
    <row r="21" spans="1:13" x14ac:dyDescent="0.55000000000000004">
      <c r="A21" s="19" t="str">
        <f>_xll.EVPRO("Finance",$C21,"Inv_Type")</f>
        <v>Inv_Equity</v>
      </c>
      <c r="B21" s="19" t="str">
        <f t="shared" si="0"/>
        <v>Broadway by the Sea</v>
      </c>
      <c r="C21" s="19" t="str">
        <f t="shared" si="1"/>
        <v>S04611 - Broadway by the Sea</v>
      </c>
      <c r="D21" s="3"/>
      <c r="E21" s="10" t="str">
        <f xml:space="preserve"> _xll.EPMOlapMemberO("[ACCOUNT].[H1].[T_BAD_DEBT]","","T_BAD_DEBT - Tenant Bad Debt Expense","","000")</f>
        <v>T_BAD_DEBT - Tenant Bad Debt Expense</v>
      </c>
      <c r="F21">
        <v>-20149.32</v>
      </c>
      <c r="G21">
        <v>-41637.120000000003</v>
      </c>
      <c r="H21">
        <v>-26207.95</v>
      </c>
      <c r="I21">
        <v>-5568.66</v>
      </c>
      <c r="J21">
        <v>31592.77</v>
      </c>
      <c r="K21">
        <v>16344.83</v>
      </c>
      <c r="L21">
        <v>49277.9</v>
      </c>
      <c r="M21">
        <v>41409.06</v>
      </c>
    </row>
    <row r="22" spans="1:13" x14ac:dyDescent="0.55000000000000004">
      <c r="A22" s="19" t="str">
        <f>_xll.EVPRO("Finance",$C22,"Inv_Type")</f>
        <v>Inv_Equity</v>
      </c>
      <c r="B22" s="19" t="str">
        <f t="shared" si="0"/>
        <v>Broadway by the Sea</v>
      </c>
      <c r="C22" s="19" t="str">
        <f t="shared" si="1"/>
        <v>S04611 - Broadway by the Sea</v>
      </c>
      <c r="D22" s="3"/>
      <c r="E22" s="3" t="str">
        <f xml:space="preserve"> _xll.EPMOlapMemberO("[ACCOUNT].[H1].[T_EBITDARM]","","T_EBITDARM - EBITDARM","","000")</f>
        <v>T_EBITDARM - EBITDARM</v>
      </c>
      <c r="F22">
        <v>350613.41</v>
      </c>
      <c r="G22">
        <v>155909.18</v>
      </c>
      <c r="H22">
        <v>405955.46</v>
      </c>
      <c r="I22">
        <v>119410.41</v>
      </c>
      <c r="J22">
        <v>161271.19</v>
      </c>
      <c r="K22">
        <v>98155.669999999896</v>
      </c>
      <c r="L22">
        <v>135240.63</v>
      </c>
      <c r="M22">
        <v>265821.56</v>
      </c>
    </row>
    <row r="23" spans="1:13" x14ac:dyDescent="0.55000000000000004">
      <c r="A23" s="19" t="str">
        <f>_xll.EVPRO("Finance",$C23,"Inv_Type")</f>
        <v>Inv_Equity</v>
      </c>
      <c r="B23" s="19" t="str">
        <f t="shared" si="0"/>
        <v>Broadway by the Sea</v>
      </c>
      <c r="C23" s="19" t="str">
        <f t="shared" si="1"/>
        <v>S04611 - Broadway by the Sea</v>
      </c>
      <c r="D23" s="3"/>
      <c r="E23" s="3" t="str">
        <f xml:space="preserve"> _xll.EPMOlapMemberO("[ACCOUNT].[H1].[T_MGMT_FEE]","","T_MGMT_FEE - Tenant Management Fee - Actual","","000")</f>
        <v>T_MGMT_FEE - Tenant Management Fee - Actual</v>
      </c>
      <c r="F23">
        <v>52022</v>
      </c>
      <c r="G23">
        <v>52555</v>
      </c>
      <c r="H23">
        <v>42020</v>
      </c>
      <c r="I23">
        <v>57509</v>
      </c>
      <c r="J23">
        <v>42540</v>
      </c>
      <c r="K23">
        <v>43797</v>
      </c>
      <c r="L23">
        <v>40062</v>
      </c>
      <c r="M23">
        <v>43565</v>
      </c>
    </row>
    <row r="24" spans="1:13" x14ac:dyDescent="0.55000000000000004">
      <c r="A24" s="19" t="str">
        <f>_xll.EVPRO("Finance",$C24,"Inv_Type")</f>
        <v>Inv_Equity</v>
      </c>
      <c r="B24" s="19" t="str">
        <f t="shared" si="0"/>
        <v>Broadway by the Sea</v>
      </c>
      <c r="C24" s="19" t="str">
        <f t="shared" si="1"/>
        <v>S04611 - Broadway by the Sea</v>
      </c>
      <c r="D24" s="3"/>
      <c r="E24" s="2" t="str">
        <f xml:space="preserve"> _xll.EPMOlapMemberO("[ACCOUNT].[H1].[T_EBITDAR]","","T_EBITDAR - EBITDAR","","000")</f>
        <v>T_EBITDAR - EBITDAR</v>
      </c>
      <c r="F24">
        <v>298591.40999999997</v>
      </c>
      <c r="G24">
        <v>103354.18</v>
      </c>
      <c r="H24">
        <v>363935.46</v>
      </c>
      <c r="I24">
        <v>61901.409999999902</v>
      </c>
      <c r="J24">
        <v>118731.19</v>
      </c>
      <c r="K24">
        <v>54358.669999999896</v>
      </c>
      <c r="L24">
        <v>95178.63</v>
      </c>
      <c r="M24">
        <v>222256.56</v>
      </c>
    </row>
    <row r="25" spans="1:13" x14ac:dyDescent="0.55000000000000004">
      <c r="A25" s="19" t="str">
        <f>_xll.EVPRO("Finance",$C25,"Inv_Type")</f>
        <v>Inv_Equity</v>
      </c>
      <c r="B25" s="19" t="str">
        <f t="shared" si="0"/>
        <v>Broadway by the Sea</v>
      </c>
      <c r="C25" s="19" t="str">
        <f t="shared" si="1"/>
        <v>S04611 - Broadway by the Sea</v>
      </c>
      <c r="D25" s="3"/>
      <c r="E25" s="2" t="str">
        <f xml:space="preserve"> _xll.EPMOlapMemberO("[ACCOUNT].[H1].[T_COVERAGE_RENT]","","T_COVERAGE_RENT - Coverage Rent","","000")</f>
        <v>T_COVERAGE_RENT - Coverage Rent</v>
      </c>
      <c r="F25">
        <v>105335.86</v>
      </c>
      <c r="G25">
        <v>105335.86</v>
      </c>
      <c r="H25">
        <v>105335.86</v>
      </c>
      <c r="I25">
        <v>105335.86</v>
      </c>
      <c r="J25">
        <v>105335.86</v>
      </c>
      <c r="K25">
        <v>105335.86</v>
      </c>
      <c r="L25">
        <v>105335.86</v>
      </c>
      <c r="M25">
        <v>105335.86</v>
      </c>
    </row>
    <row r="26" spans="1:13" x14ac:dyDescent="0.55000000000000004">
      <c r="A26" s="19" t="str">
        <f>_xll.EVPRO("Finance",$C26,"Inv_Type")</f>
        <v>Inv_Equity</v>
      </c>
      <c r="B26" s="19" t="str">
        <f t="shared" si="0"/>
        <v>Broadway by the Sea</v>
      </c>
      <c r="C26" s="19" t="str">
        <f t="shared" si="1"/>
        <v>S04611 - Broadway by the Sea</v>
      </c>
      <c r="D26" s="3"/>
      <c r="E26" s="2" t="str">
        <f xml:space="preserve"> _xll.EPMOlapMemberO("[ACCOUNT].[H1].[T_RENT_EXP]","","T_RENT_EXP - Tenant Rent Expense","","000")</f>
        <v>T_RENT_EXP - Tenant Rent Expense</v>
      </c>
      <c r="F26">
        <v>105535.86</v>
      </c>
      <c r="G26">
        <v>105535.86</v>
      </c>
      <c r="H26">
        <v>105535.86</v>
      </c>
      <c r="I26">
        <v>105535.86</v>
      </c>
      <c r="J26">
        <v>105535.86</v>
      </c>
      <c r="K26">
        <v>105535.86</v>
      </c>
      <c r="L26">
        <v>105535.86</v>
      </c>
      <c r="M26">
        <v>105535.86</v>
      </c>
    </row>
    <row r="27" spans="1:13" x14ac:dyDescent="0.55000000000000004">
      <c r="A27" s="19" t="str">
        <f>_xll.EVPRO("Finance",$C27,"Inv_Type")</f>
        <v>Inv_Equity</v>
      </c>
      <c r="B27" s="19" t="str">
        <f t="shared" si="0"/>
        <v>Coventry Courth Health Center</v>
      </c>
      <c r="C27" s="19" t="str">
        <f t="shared" si="1"/>
        <v>S04613 - Coventry Courth Health Center</v>
      </c>
      <c r="D27" s="3" t="str">
        <f xml:space="preserve"> _xll.EPMOlapMemberO("[ENTITY].[H1].[S04613]","","S04613 - Coventry Courth Health Center","","000")</f>
        <v>S04613 - Coventry Courth Health Center</v>
      </c>
      <c r="E27" s="45" t="str">
        <f xml:space="preserve"> _xll.EPMOlapMemberO("[ACCOUNT].[H1].[PAY_PAT_DAYS]","","PAY_PAT_DAYS - Total Payor Patient Days","","000")</f>
        <v>PAY_PAT_DAYS - Total Payor Patient Days</v>
      </c>
      <c r="F27">
        <v>2112</v>
      </c>
      <c r="G27">
        <v>1687</v>
      </c>
      <c r="H27">
        <v>1746</v>
      </c>
      <c r="I27">
        <v>1794</v>
      </c>
      <c r="J27">
        <v>1805</v>
      </c>
      <c r="K27">
        <v>1817</v>
      </c>
      <c r="L27">
        <v>2162</v>
      </c>
      <c r="M27">
        <v>1956</v>
      </c>
    </row>
    <row r="28" spans="1:13" x14ac:dyDescent="0.55000000000000004">
      <c r="A28" s="19" t="str">
        <f>_xll.EVPRO("Finance",$C28,"Inv_Type")</f>
        <v>Inv_Equity</v>
      </c>
      <c r="B28" s="19" t="str">
        <f t="shared" si="0"/>
        <v>Coventry Courth Health Center</v>
      </c>
      <c r="C28" s="19" t="str">
        <f t="shared" si="1"/>
        <v>S04613 - Coventry Courth Health Center</v>
      </c>
      <c r="D28" s="3"/>
      <c r="E28" s="2" t="str">
        <f xml:space="preserve"> _xll.EPMOlapMemberO("[ACCOUNT].[H1].[A_BEDS_TOTAL]","","A_BEDS_TOTAL - Total Available Beds","","000")</f>
        <v>A_BEDS_TOTAL - Total Available Beds</v>
      </c>
      <c r="F28">
        <v>95</v>
      </c>
      <c r="G28">
        <v>95</v>
      </c>
      <c r="H28">
        <v>95</v>
      </c>
      <c r="I28">
        <v>95</v>
      </c>
      <c r="J28">
        <v>95</v>
      </c>
      <c r="K28">
        <v>95</v>
      </c>
      <c r="L28">
        <v>95</v>
      </c>
      <c r="M28">
        <v>95</v>
      </c>
    </row>
    <row r="29" spans="1:13" x14ac:dyDescent="0.55000000000000004">
      <c r="A29" s="19" t="str">
        <f>_xll.EVPRO("Finance",$C29,"Inv_Type")</f>
        <v>Inv_Equity</v>
      </c>
      <c r="B29" s="19" t="str">
        <f t="shared" si="0"/>
        <v>Coventry Courth Health Center</v>
      </c>
      <c r="C29" s="19" t="str">
        <f t="shared" si="1"/>
        <v>S04613 - Coventry Courth Health Center</v>
      </c>
      <c r="D29" s="3"/>
      <c r="E29" s="9" t="str">
        <f xml:space="preserve"> _xll.EPMOlapMemberO("[ACCOUNT].[H1].[T_REVENUES]","","T_REVENUES - Total Tenant Revenues","","000")</f>
        <v>T_REVENUES - Total Tenant Revenues</v>
      </c>
      <c r="F29">
        <v>1017010.29</v>
      </c>
      <c r="G29">
        <v>784786.46</v>
      </c>
      <c r="H29">
        <v>933032.64</v>
      </c>
      <c r="I29">
        <v>965027.88</v>
      </c>
      <c r="J29">
        <v>854131.12</v>
      </c>
      <c r="K29">
        <v>878419.1</v>
      </c>
      <c r="L29">
        <v>1051433.67</v>
      </c>
      <c r="M29">
        <v>864547.65</v>
      </c>
    </row>
    <row r="30" spans="1:13" x14ac:dyDescent="0.55000000000000004">
      <c r="A30" s="19" t="str">
        <f>_xll.EVPRO("Finance",$C30,"Inv_Type")</f>
        <v>Inv_Equity</v>
      </c>
      <c r="B30" s="19" t="str">
        <f t="shared" si="0"/>
        <v>Coventry Courth Health Center</v>
      </c>
      <c r="C30" s="19" t="str">
        <f t="shared" si="1"/>
        <v>S04613 - Coventry Courth Health Center</v>
      </c>
      <c r="D30" s="3"/>
      <c r="E30" s="9" t="str">
        <f xml:space="preserve"> _xll.EPMOlapMemberO("[ACCOUNT].[H1].[T_OPEX]","","T_OPEX - Tenant Operating Expenses","","000")</f>
        <v>T_OPEX - Tenant Operating Expenses</v>
      </c>
      <c r="F30">
        <v>748516.55</v>
      </c>
      <c r="G30">
        <v>735947.93</v>
      </c>
      <c r="H30">
        <v>785316.2</v>
      </c>
      <c r="I30">
        <v>718647.4</v>
      </c>
      <c r="J30">
        <v>724376.09</v>
      </c>
      <c r="K30">
        <v>760675.1</v>
      </c>
      <c r="L30">
        <v>849316.93</v>
      </c>
      <c r="M30">
        <v>672386.69</v>
      </c>
    </row>
    <row r="31" spans="1:13" x14ac:dyDescent="0.55000000000000004">
      <c r="A31" s="19" t="str">
        <f>_xll.EVPRO("Finance",$C31,"Inv_Type")</f>
        <v>Inv_Equity</v>
      </c>
      <c r="B31" s="19" t="str">
        <f t="shared" si="0"/>
        <v>Coventry Courth Health Center</v>
      </c>
      <c r="C31" s="19" t="str">
        <f t="shared" si="1"/>
        <v>S04613 - Coventry Courth Health Center</v>
      </c>
      <c r="D31" s="3"/>
      <c r="E31" s="2" t="str">
        <f xml:space="preserve"> _xll.EPMOlapMemberO("[ACCOUNT].[H1].[T_NON_OP_EXP]","","T_NON_OP_EXP - Tenant Non-Operating Expense","","000")</f>
        <v>T_NON_OP_EXP - Tenant Non-Operating Expense</v>
      </c>
      <c r="F31">
        <v>4938.33</v>
      </c>
      <c r="G31">
        <v>8113.5</v>
      </c>
      <c r="H31">
        <v>8113.5</v>
      </c>
      <c r="I31">
        <v>8113.54</v>
      </c>
      <c r="J31">
        <v>8113.5</v>
      </c>
      <c r="K31">
        <v>8113.5</v>
      </c>
      <c r="L31">
        <v>8189.5</v>
      </c>
      <c r="M31">
        <v>8037.5</v>
      </c>
    </row>
    <row r="32" spans="1:13" x14ac:dyDescent="0.55000000000000004">
      <c r="A32" s="19" t="str">
        <f>_xll.EVPRO("Finance",$C32,"Inv_Type")</f>
        <v>Inv_Equity</v>
      </c>
      <c r="B32" s="19" t="str">
        <f t="shared" si="0"/>
        <v>Coventry Courth Health Center</v>
      </c>
      <c r="C32" s="19" t="str">
        <f t="shared" si="1"/>
        <v>S04613 - Coventry Courth Health Center</v>
      </c>
      <c r="D32" s="3"/>
      <c r="E32" s="10" t="str">
        <f xml:space="preserve"> _xll.EPMOlapMemberO("[ACCOUNT].[H1].[T_BAD_DEBT]","","T_BAD_DEBT - Tenant Bad Debt Expense","","000")</f>
        <v>T_BAD_DEBT - Tenant Bad Debt Expense</v>
      </c>
      <c r="F32">
        <v>-72741.16</v>
      </c>
      <c r="G32">
        <v>-46675.37</v>
      </c>
      <c r="H32">
        <v>-3379.71</v>
      </c>
      <c r="I32">
        <v>756.27</v>
      </c>
      <c r="J32">
        <v>12020.41</v>
      </c>
      <c r="K32">
        <v>23082.1</v>
      </c>
      <c r="L32">
        <v>38009.980000000003</v>
      </c>
      <c r="M32">
        <v>-85129.46</v>
      </c>
    </row>
    <row r="33" spans="1:13" x14ac:dyDescent="0.55000000000000004">
      <c r="A33" s="19" t="str">
        <f>_xll.EVPRO("Finance",$C33,"Inv_Type")</f>
        <v>Inv_Equity</v>
      </c>
      <c r="B33" s="19" t="str">
        <f t="shared" si="0"/>
        <v>Coventry Courth Health Center</v>
      </c>
      <c r="C33" s="19" t="str">
        <f t="shared" si="1"/>
        <v>S04613 - Coventry Courth Health Center</v>
      </c>
      <c r="D33" s="3"/>
      <c r="E33" s="3" t="str">
        <f xml:space="preserve"> _xll.EPMOlapMemberO("[ACCOUNT].[H1].[T_EBITDARM]","","T_EBITDARM - EBITDARM","","000")</f>
        <v>T_EBITDARM - EBITDARM</v>
      </c>
      <c r="F33">
        <v>268493.74</v>
      </c>
      <c r="G33">
        <v>48838.53</v>
      </c>
      <c r="H33">
        <v>147716.44</v>
      </c>
      <c r="I33">
        <v>246380.48</v>
      </c>
      <c r="J33">
        <v>129755.03</v>
      </c>
      <c r="K33">
        <v>117744</v>
      </c>
      <c r="L33">
        <v>202116.74</v>
      </c>
      <c r="M33">
        <v>192160.96</v>
      </c>
    </row>
    <row r="34" spans="1:13" x14ac:dyDescent="0.55000000000000004">
      <c r="A34" s="19" t="str">
        <f>_xll.EVPRO("Finance",$C34,"Inv_Type")</f>
        <v>Inv_Equity</v>
      </c>
      <c r="B34" s="19" t="str">
        <f t="shared" si="0"/>
        <v>Coventry Courth Health Center</v>
      </c>
      <c r="C34" s="19" t="str">
        <f t="shared" si="1"/>
        <v>S04613 - Coventry Courth Health Center</v>
      </c>
      <c r="D34" s="3"/>
      <c r="E34" s="3" t="str">
        <f xml:space="preserve"> _xll.EPMOlapMemberO("[ACCOUNT].[H1].[T_MGMT_FEE]","","T_MGMT_FEE - Tenant Management Fee - Actual","","000")</f>
        <v>T_MGMT_FEE - Tenant Management Fee - Actual</v>
      </c>
      <c r="F34">
        <v>50910</v>
      </c>
      <c r="G34">
        <v>50850</v>
      </c>
      <c r="H34">
        <v>39239</v>
      </c>
      <c r="I34">
        <v>46651</v>
      </c>
      <c r="J34">
        <v>48251</v>
      </c>
      <c r="K34">
        <v>42706</v>
      </c>
      <c r="L34">
        <v>43920</v>
      </c>
      <c r="M34">
        <v>52571</v>
      </c>
    </row>
    <row r="35" spans="1:13" x14ac:dyDescent="0.55000000000000004">
      <c r="A35" s="19" t="str">
        <f>_xll.EVPRO("Finance",$C35,"Inv_Type")</f>
        <v>Inv_Equity</v>
      </c>
      <c r="B35" s="19" t="str">
        <f t="shared" si="0"/>
        <v>Coventry Courth Health Center</v>
      </c>
      <c r="C35" s="19" t="str">
        <f t="shared" si="1"/>
        <v>S04613 - Coventry Courth Health Center</v>
      </c>
      <c r="D35" s="3"/>
      <c r="E35" s="2" t="str">
        <f xml:space="preserve"> _xll.EPMOlapMemberO("[ACCOUNT].[H1].[T_EBITDAR]","","T_EBITDAR - EBITDAR","","000")</f>
        <v>T_EBITDAR - EBITDAR</v>
      </c>
      <c r="F35">
        <v>217583.74</v>
      </c>
      <c r="G35">
        <v>-2011.46999999997</v>
      </c>
      <c r="H35">
        <v>108477.44</v>
      </c>
      <c r="I35">
        <v>199729.48</v>
      </c>
      <c r="J35">
        <v>81504.03</v>
      </c>
      <c r="K35">
        <v>75038.000000000102</v>
      </c>
      <c r="L35">
        <v>158196.74</v>
      </c>
      <c r="M35">
        <v>139589.96</v>
      </c>
    </row>
    <row r="36" spans="1:13" x14ac:dyDescent="0.55000000000000004">
      <c r="A36" s="19" t="str">
        <f>_xll.EVPRO("Finance",$C36,"Inv_Type")</f>
        <v>Inv_Equity</v>
      </c>
      <c r="B36" s="19" t="str">
        <f t="shared" si="0"/>
        <v>Coventry Courth Health Center</v>
      </c>
      <c r="C36" s="19" t="str">
        <f t="shared" si="1"/>
        <v>S04613 - Coventry Courth Health Center</v>
      </c>
      <c r="D36" s="3"/>
      <c r="E36" s="2" t="str">
        <f xml:space="preserve"> _xll.EPMOlapMemberO("[ACCOUNT].[H1].[T_COVERAGE_RENT]","","T_COVERAGE_RENT - Coverage Rent","","000")</f>
        <v>T_COVERAGE_RENT - Coverage Rent</v>
      </c>
      <c r="F36">
        <v>117492.66</v>
      </c>
      <c r="G36">
        <v>117492.66</v>
      </c>
      <c r="H36">
        <v>117492.66</v>
      </c>
      <c r="I36">
        <v>117492.66</v>
      </c>
      <c r="J36">
        <v>117492.66</v>
      </c>
      <c r="K36">
        <v>117492.66</v>
      </c>
      <c r="L36">
        <v>117492.66</v>
      </c>
      <c r="M36">
        <v>117492.66</v>
      </c>
    </row>
    <row r="37" spans="1:13" x14ac:dyDescent="0.55000000000000004">
      <c r="A37" s="19" t="str">
        <f>_xll.EVPRO("Finance",$C37,"Inv_Type")</f>
        <v>Inv_Equity</v>
      </c>
      <c r="B37" s="19" t="str">
        <f t="shared" si="0"/>
        <v>Coventry Courth Health Center</v>
      </c>
      <c r="C37" s="19" t="str">
        <f t="shared" si="1"/>
        <v>S04613 - Coventry Courth Health Center</v>
      </c>
      <c r="D37" s="3"/>
      <c r="E37" s="2" t="str">
        <f xml:space="preserve"> _xll.EPMOlapMemberO("[ACCOUNT].[H1].[T_RENT_EXP]","","T_RENT_EXP - Tenant Rent Expense","","000")</f>
        <v>T_RENT_EXP - Tenant Rent Expense</v>
      </c>
      <c r="F37">
        <v>117492.67</v>
      </c>
      <c r="G37">
        <v>117492.67</v>
      </c>
      <c r="H37">
        <v>117492.67</v>
      </c>
      <c r="I37">
        <v>117492.67</v>
      </c>
      <c r="J37">
        <v>117492.67</v>
      </c>
      <c r="K37">
        <v>117492.67</v>
      </c>
      <c r="L37">
        <v>117492.67</v>
      </c>
      <c r="M37">
        <v>117492.67</v>
      </c>
    </row>
    <row r="38" spans="1:13" x14ac:dyDescent="0.55000000000000004">
      <c r="A38" s="19" t="str">
        <f>_xll.EVPRO("Finance",$C38,"Inv_Type")</f>
        <v>Inv_Equity</v>
      </c>
      <c r="B38" s="19" t="str">
        <f t="shared" si="0"/>
        <v>Fairfield Post-Acute Rehab</v>
      </c>
      <c r="C38" s="19" t="str">
        <f t="shared" si="1"/>
        <v>S04615 - Fairfield Post-Acute Rehab</v>
      </c>
      <c r="D38" s="3" t="str">
        <f xml:space="preserve"> _xll.EPMOlapMemberO("[ENTITY].[H1].[S04615]","","S04615 - Fairfield Post-Acute Rehab","","000")</f>
        <v>S04615 - Fairfield Post-Acute Rehab</v>
      </c>
      <c r="E38" s="45" t="str">
        <f xml:space="preserve"> _xll.EPMOlapMemberO("[ACCOUNT].[H1].[PAY_PAT_DAYS]","","PAY_PAT_DAYS - Total Payor Patient Days","","000")</f>
        <v>PAY_PAT_DAYS - Total Payor Patient Days</v>
      </c>
      <c r="F38">
        <v>1793</v>
      </c>
      <c r="G38">
        <v>1698</v>
      </c>
      <c r="H38">
        <v>2086</v>
      </c>
      <c r="I38">
        <v>2084</v>
      </c>
      <c r="J38">
        <v>2270</v>
      </c>
      <c r="K38">
        <v>2229</v>
      </c>
      <c r="L38">
        <v>2314</v>
      </c>
      <c r="M38">
        <v>2163</v>
      </c>
    </row>
    <row r="39" spans="1:13" x14ac:dyDescent="0.55000000000000004">
      <c r="A39" s="19" t="str">
        <f>_xll.EVPRO("Finance",$C39,"Inv_Type")</f>
        <v>Inv_Equity</v>
      </c>
      <c r="B39" s="19" t="str">
        <f t="shared" si="0"/>
        <v>Fairfield Post-Acute Rehab</v>
      </c>
      <c r="C39" s="19" t="str">
        <f t="shared" si="1"/>
        <v>S04615 - Fairfield Post-Acute Rehab</v>
      </c>
      <c r="D39" s="3"/>
      <c r="E39" s="2" t="str">
        <f xml:space="preserve"> _xll.EPMOlapMemberO("[ACCOUNT].[H1].[A_BEDS_TOTAL]","","A_BEDS_TOTAL - Total Available Beds","","000")</f>
        <v>A_BEDS_TOTAL - Total Available Beds</v>
      </c>
      <c r="F39">
        <v>99</v>
      </c>
      <c r="G39">
        <v>99</v>
      </c>
      <c r="H39">
        <v>99</v>
      </c>
      <c r="I39">
        <v>99</v>
      </c>
      <c r="J39">
        <v>99</v>
      </c>
      <c r="K39">
        <v>99</v>
      </c>
      <c r="L39">
        <v>99</v>
      </c>
      <c r="M39">
        <v>99</v>
      </c>
    </row>
    <row r="40" spans="1:13" x14ac:dyDescent="0.55000000000000004">
      <c r="A40" s="19" t="str">
        <f>_xll.EVPRO("Finance",$C40,"Inv_Type")</f>
        <v>Inv_Equity</v>
      </c>
      <c r="B40" s="19" t="str">
        <f t="shared" si="0"/>
        <v>Fairfield Post-Acute Rehab</v>
      </c>
      <c r="C40" s="19" t="str">
        <f t="shared" si="1"/>
        <v>S04615 - Fairfield Post-Acute Rehab</v>
      </c>
      <c r="D40" s="3"/>
      <c r="E40" s="9" t="str">
        <f xml:space="preserve"> _xll.EPMOlapMemberO("[ACCOUNT].[H1].[T_REVENUES]","","T_REVENUES - Total Tenant Revenues","","000")</f>
        <v>T_REVENUES - Total Tenant Revenues</v>
      </c>
      <c r="F40">
        <v>1051650.29</v>
      </c>
      <c r="G40">
        <v>904966.26</v>
      </c>
      <c r="H40">
        <v>993310.05</v>
      </c>
      <c r="I40">
        <v>999457.22</v>
      </c>
      <c r="J40">
        <v>1101853.72</v>
      </c>
      <c r="K40">
        <v>1096359.21</v>
      </c>
      <c r="L40">
        <v>1193495.29</v>
      </c>
      <c r="M40">
        <v>1414260.62</v>
      </c>
    </row>
    <row r="41" spans="1:13" x14ac:dyDescent="0.55000000000000004">
      <c r="A41" s="19" t="str">
        <f>_xll.EVPRO("Finance",$C41,"Inv_Type")</f>
        <v>Inv_Equity</v>
      </c>
      <c r="B41" s="19" t="str">
        <f t="shared" si="0"/>
        <v>Fairfield Post-Acute Rehab</v>
      </c>
      <c r="C41" s="19" t="str">
        <f t="shared" si="1"/>
        <v>S04615 - Fairfield Post-Acute Rehab</v>
      </c>
      <c r="D41" s="3"/>
      <c r="E41" s="9" t="str">
        <f xml:space="preserve"> _xll.EPMOlapMemberO("[ACCOUNT].[H1].[T_OPEX]","","T_OPEX - Tenant Operating Expenses","","000")</f>
        <v>T_OPEX - Tenant Operating Expenses</v>
      </c>
      <c r="F41">
        <v>712571.2</v>
      </c>
      <c r="G41">
        <v>744388.19</v>
      </c>
      <c r="H41">
        <v>772717.35</v>
      </c>
      <c r="I41">
        <v>814057.39</v>
      </c>
      <c r="J41">
        <v>724283.4</v>
      </c>
      <c r="K41">
        <v>711393.01</v>
      </c>
      <c r="L41">
        <v>808465.63</v>
      </c>
      <c r="M41">
        <v>851006</v>
      </c>
    </row>
    <row r="42" spans="1:13" x14ac:dyDescent="0.55000000000000004">
      <c r="A42" s="19" t="str">
        <f>_xll.EVPRO("Finance",$C42,"Inv_Type")</f>
        <v>Inv_Equity</v>
      </c>
      <c r="B42" s="19" t="str">
        <f t="shared" si="0"/>
        <v>Fairfield Post-Acute Rehab</v>
      </c>
      <c r="C42" s="19" t="str">
        <f t="shared" si="1"/>
        <v>S04615 - Fairfield Post-Acute Rehab</v>
      </c>
      <c r="D42" s="3"/>
      <c r="E42" s="2" t="str">
        <f xml:space="preserve"> _xll.EPMOlapMemberO("[ACCOUNT].[H1].[T_NON_OP_EXP]","","T_NON_OP_EXP - Tenant Non-Operating Expense","","000")</f>
        <v>T_NON_OP_EXP - Tenant Non-Operating Expense</v>
      </c>
      <c r="F42">
        <v>14514.15</v>
      </c>
      <c r="G42">
        <v>14514.15</v>
      </c>
      <c r="H42">
        <v>16222.5</v>
      </c>
      <c r="I42">
        <v>16791.580000000002</v>
      </c>
      <c r="J42">
        <v>77058.58</v>
      </c>
      <c r="K42">
        <v>16667.78</v>
      </c>
      <c r="L42">
        <v>16267.78</v>
      </c>
      <c r="M42">
        <v>24980.91</v>
      </c>
    </row>
    <row r="43" spans="1:13" x14ac:dyDescent="0.55000000000000004">
      <c r="A43" s="19" t="str">
        <f>_xll.EVPRO("Finance",$C43,"Inv_Type")</f>
        <v>Inv_Equity</v>
      </c>
      <c r="B43" s="19" t="str">
        <f t="shared" si="0"/>
        <v>Fairfield Post-Acute Rehab</v>
      </c>
      <c r="C43" s="19" t="str">
        <f t="shared" si="1"/>
        <v>S04615 - Fairfield Post-Acute Rehab</v>
      </c>
      <c r="D43" s="3"/>
      <c r="E43" s="10" t="str">
        <f xml:space="preserve"> _xll.EPMOlapMemberO("[ACCOUNT].[H1].[T_BAD_DEBT]","","T_BAD_DEBT - Tenant Bad Debt Expense","","000")</f>
        <v>T_BAD_DEBT - Tenant Bad Debt Expense</v>
      </c>
      <c r="F43">
        <v>-3431.89</v>
      </c>
      <c r="G43">
        <v>4483.3999999999996</v>
      </c>
      <c r="H43">
        <v>22666.25</v>
      </c>
      <c r="I43">
        <v>69823.94</v>
      </c>
      <c r="J43">
        <v>-26413.22</v>
      </c>
      <c r="K43">
        <v>-75710.27</v>
      </c>
      <c r="L43">
        <v>-2396.19</v>
      </c>
      <c r="M43">
        <v>-26755.9</v>
      </c>
    </row>
    <row r="44" spans="1:13" x14ac:dyDescent="0.55000000000000004">
      <c r="A44" s="19" t="str">
        <f>_xll.EVPRO("Finance",$C44,"Inv_Type")</f>
        <v>Inv_Equity</v>
      </c>
      <c r="B44" s="19" t="str">
        <f t="shared" si="0"/>
        <v>Fairfield Post-Acute Rehab</v>
      </c>
      <c r="C44" s="19" t="str">
        <f t="shared" si="1"/>
        <v>S04615 - Fairfield Post-Acute Rehab</v>
      </c>
      <c r="D44" s="3"/>
      <c r="E44" s="3" t="str">
        <f xml:space="preserve"> _xll.EPMOlapMemberO("[ACCOUNT].[H1].[T_EBITDARM]","","T_EBITDARM - EBITDARM","","000")</f>
        <v>T_EBITDARM - EBITDARM</v>
      </c>
      <c r="F44">
        <v>339079.09</v>
      </c>
      <c r="G44">
        <v>160578.07</v>
      </c>
      <c r="H44">
        <v>220592.7</v>
      </c>
      <c r="I44">
        <v>185399.83</v>
      </c>
      <c r="J44">
        <v>377570.32</v>
      </c>
      <c r="K44">
        <v>384966.2</v>
      </c>
      <c r="L44">
        <v>385029.66</v>
      </c>
      <c r="M44">
        <v>563254.62</v>
      </c>
    </row>
    <row r="45" spans="1:13" x14ac:dyDescent="0.55000000000000004">
      <c r="A45" s="19" t="str">
        <f>_xll.EVPRO("Finance",$C45,"Inv_Type")</f>
        <v>Inv_Equity</v>
      </c>
      <c r="B45" s="19" t="str">
        <f t="shared" si="0"/>
        <v>Fairfield Post-Acute Rehab</v>
      </c>
      <c r="C45" s="19" t="str">
        <f t="shared" si="1"/>
        <v>S04615 - Fairfield Post-Acute Rehab</v>
      </c>
      <c r="D45" s="3"/>
      <c r="E45" s="3" t="str">
        <f xml:space="preserve"> _xll.EPMOlapMemberO("[ACCOUNT].[H1].[T_MGMT_FEE]","","T_MGMT_FEE - Tenant Management Fee - Actual","","000")</f>
        <v>T_MGMT_FEE - Tenant Management Fee - Actual</v>
      </c>
      <c r="F45">
        <v>52106</v>
      </c>
      <c r="G45">
        <v>52582</v>
      </c>
      <c r="H45">
        <v>45248</v>
      </c>
      <c r="I45">
        <v>49665</v>
      </c>
      <c r="J45">
        <v>49972</v>
      </c>
      <c r="K45">
        <v>55092</v>
      </c>
      <c r="L45">
        <v>54817</v>
      </c>
      <c r="M45">
        <v>59674</v>
      </c>
    </row>
    <row r="46" spans="1:13" x14ac:dyDescent="0.55000000000000004">
      <c r="A46" s="19" t="str">
        <f>_xll.EVPRO("Finance",$C46,"Inv_Type")</f>
        <v>Inv_Equity</v>
      </c>
      <c r="B46" s="19" t="str">
        <f t="shared" si="0"/>
        <v>Fairfield Post-Acute Rehab</v>
      </c>
      <c r="C46" s="19" t="str">
        <f t="shared" si="1"/>
        <v>S04615 - Fairfield Post-Acute Rehab</v>
      </c>
      <c r="D46" s="3"/>
      <c r="E46" s="2" t="str">
        <f xml:space="preserve"> _xll.EPMOlapMemberO("[ACCOUNT].[H1].[T_EBITDAR]","","T_EBITDAR - EBITDAR","","000")</f>
        <v>T_EBITDAR - EBITDAR</v>
      </c>
      <c r="F46">
        <v>286973.09000000003</v>
      </c>
      <c r="G46">
        <v>107996.07</v>
      </c>
      <c r="H46">
        <v>175344.7</v>
      </c>
      <c r="I46">
        <v>135734.82999999999</v>
      </c>
      <c r="J46">
        <v>327598.32</v>
      </c>
      <c r="K46">
        <v>329874.2</v>
      </c>
      <c r="L46">
        <v>330212.65999999997</v>
      </c>
      <c r="M46">
        <v>503580.62</v>
      </c>
    </row>
    <row r="47" spans="1:13" x14ac:dyDescent="0.55000000000000004">
      <c r="A47" s="19" t="str">
        <f>_xll.EVPRO("Finance",$C47,"Inv_Type")</f>
        <v>Inv_Equity</v>
      </c>
      <c r="B47" s="19" t="str">
        <f t="shared" si="0"/>
        <v>Fairfield Post-Acute Rehab</v>
      </c>
      <c r="C47" s="19" t="str">
        <f t="shared" si="1"/>
        <v>S04615 - Fairfield Post-Acute Rehab</v>
      </c>
      <c r="D47" s="3"/>
      <c r="E47" s="2" t="str">
        <f xml:space="preserve"> _xll.EPMOlapMemberO("[ACCOUNT].[H1].[T_COVERAGE_RENT]","","T_COVERAGE_RENT - Coverage Rent","","000")</f>
        <v>T_COVERAGE_RENT - Coverage Rent</v>
      </c>
      <c r="F47">
        <v>175209.09</v>
      </c>
      <c r="G47">
        <v>175209.09</v>
      </c>
      <c r="H47">
        <v>175209.09</v>
      </c>
      <c r="I47">
        <v>175209.09</v>
      </c>
      <c r="J47">
        <v>175209.09</v>
      </c>
      <c r="K47">
        <v>175209.09</v>
      </c>
      <c r="L47">
        <v>175209.09</v>
      </c>
      <c r="M47">
        <v>175209.09</v>
      </c>
    </row>
    <row r="48" spans="1:13" x14ac:dyDescent="0.55000000000000004">
      <c r="A48" s="19" t="str">
        <f>_xll.EVPRO("Finance",$C48,"Inv_Type")</f>
        <v>Inv_Equity</v>
      </c>
      <c r="B48" s="19" t="str">
        <f t="shared" si="0"/>
        <v>Fairfield Post-Acute Rehab</v>
      </c>
      <c r="C48" s="19" t="str">
        <f t="shared" si="1"/>
        <v>S04615 - Fairfield Post-Acute Rehab</v>
      </c>
      <c r="D48" s="3"/>
      <c r="E48" s="2" t="str">
        <f xml:space="preserve"> _xll.EPMOlapMemberO("[ACCOUNT].[H1].[T_RENT_EXP]","","T_RENT_EXP - Tenant Rent Expense","","000")</f>
        <v>T_RENT_EXP - Tenant Rent Expense</v>
      </c>
      <c r="F48">
        <v>177359.09</v>
      </c>
      <c r="G48">
        <v>177359.09</v>
      </c>
      <c r="H48">
        <v>177359.09</v>
      </c>
      <c r="I48">
        <v>177359.09</v>
      </c>
      <c r="J48">
        <v>177359.09</v>
      </c>
      <c r="K48">
        <v>177359.09</v>
      </c>
      <c r="L48">
        <v>176509.09</v>
      </c>
      <c r="M48">
        <v>176509.09</v>
      </c>
    </row>
    <row r="49" spans="1:13" x14ac:dyDescent="0.55000000000000004">
      <c r="A49" s="19" t="str">
        <f>_xll.EVPRO("Finance",$C49,"Inv_Type")</f>
        <v>Inv_Equity</v>
      </c>
      <c r="B49" s="19" t="str">
        <f t="shared" si="0"/>
        <v>Garden View Post-Acute Rehab</v>
      </c>
      <c r="C49" s="19" t="str">
        <f t="shared" si="1"/>
        <v>S04617 - Garden View Post-Acute Rehab</v>
      </c>
      <c r="D49" s="3" t="str">
        <f xml:space="preserve"> _xll.EPMOlapMemberO("[ENTITY].[H1].[S04617]","","S04617 - Garden View Post-Acute Rehab","","000")</f>
        <v>S04617 - Garden View Post-Acute Rehab</v>
      </c>
      <c r="E49" s="45" t="str">
        <f xml:space="preserve"> _xll.EPMOlapMemberO("[ACCOUNT].[H1].[PAY_PAT_DAYS]","","PAY_PAT_DAYS - Total Payor Patient Days","","000")</f>
        <v>PAY_PAT_DAYS - Total Payor Patient Days</v>
      </c>
      <c r="F49">
        <v>1945</v>
      </c>
      <c r="G49">
        <v>1863</v>
      </c>
      <c r="H49">
        <v>2117</v>
      </c>
      <c r="I49">
        <v>2227</v>
      </c>
      <c r="J49">
        <v>2322</v>
      </c>
      <c r="K49">
        <v>2276</v>
      </c>
      <c r="L49">
        <v>2356</v>
      </c>
      <c r="M49">
        <v>2530</v>
      </c>
    </row>
    <row r="50" spans="1:13" x14ac:dyDescent="0.55000000000000004">
      <c r="A50" s="19" t="str">
        <f>_xll.EVPRO("Finance",$C50,"Inv_Type")</f>
        <v>Inv_Equity</v>
      </c>
      <c r="B50" s="19" t="str">
        <f t="shared" si="0"/>
        <v>Garden View Post-Acute Rehab</v>
      </c>
      <c r="C50" s="19" t="str">
        <f t="shared" si="1"/>
        <v>S04617 - Garden View Post-Acute Rehab</v>
      </c>
      <c r="D50" s="3"/>
      <c r="E50" s="2" t="str">
        <f xml:space="preserve"> _xll.EPMOlapMemberO("[ACCOUNT].[H1].[A_BEDS_TOTAL]","","A_BEDS_TOTAL - Total Available Beds","","000")</f>
        <v>A_BEDS_TOTAL - Total Available Beds</v>
      </c>
      <c r="F50">
        <v>97</v>
      </c>
      <c r="G50">
        <v>97</v>
      </c>
      <c r="H50">
        <v>97</v>
      </c>
      <c r="I50">
        <v>97</v>
      </c>
      <c r="J50">
        <v>97</v>
      </c>
      <c r="K50">
        <v>97</v>
      </c>
      <c r="L50">
        <v>97</v>
      </c>
      <c r="M50">
        <v>97</v>
      </c>
    </row>
    <row r="51" spans="1:13" x14ac:dyDescent="0.55000000000000004">
      <c r="A51" s="19" t="str">
        <f>_xll.EVPRO("Finance",$C51,"Inv_Type")</f>
        <v>Inv_Equity</v>
      </c>
      <c r="B51" s="19" t="str">
        <f t="shared" si="0"/>
        <v>Garden View Post-Acute Rehab</v>
      </c>
      <c r="C51" s="19" t="str">
        <f t="shared" si="1"/>
        <v>S04617 - Garden View Post-Acute Rehab</v>
      </c>
      <c r="D51" s="3"/>
      <c r="E51" s="9" t="str">
        <f xml:space="preserve"> _xll.EPMOlapMemberO("[ACCOUNT].[H1].[T_REVENUES]","","T_REVENUES - Total Tenant Revenues","","000")</f>
        <v>T_REVENUES - Total Tenant Revenues</v>
      </c>
      <c r="F51">
        <v>1472400.94</v>
      </c>
      <c r="G51">
        <v>962152.67</v>
      </c>
      <c r="H51">
        <v>1089911</v>
      </c>
      <c r="I51">
        <v>1096348.18</v>
      </c>
      <c r="J51">
        <v>1176758.8999999999</v>
      </c>
      <c r="K51">
        <v>1097551.6000000001</v>
      </c>
      <c r="L51">
        <v>1151249.1100000001</v>
      </c>
      <c r="M51">
        <v>1250492.8799999999</v>
      </c>
    </row>
    <row r="52" spans="1:13" x14ac:dyDescent="0.55000000000000004">
      <c r="A52" s="19" t="str">
        <f>_xll.EVPRO("Finance",$C52,"Inv_Type")</f>
        <v>Inv_Equity</v>
      </c>
      <c r="B52" s="19" t="str">
        <f t="shared" si="0"/>
        <v>Garden View Post-Acute Rehab</v>
      </c>
      <c r="C52" s="19" t="str">
        <f t="shared" si="1"/>
        <v>S04617 - Garden View Post-Acute Rehab</v>
      </c>
      <c r="D52" s="3"/>
      <c r="E52" s="9" t="str">
        <f xml:space="preserve"> _xll.EPMOlapMemberO("[ACCOUNT].[H1].[T_OPEX]","","T_OPEX - Tenant Operating Expenses","","000")</f>
        <v>T_OPEX - Tenant Operating Expenses</v>
      </c>
      <c r="F52">
        <v>861826.78</v>
      </c>
      <c r="G52">
        <v>885342.21</v>
      </c>
      <c r="H52">
        <v>770970.72</v>
      </c>
      <c r="I52">
        <v>859115.9</v>
      </c>
      <c r="J52">
        <v>865896.94</v>
      </c>
      <c r="K52">
        <v>897426.49</v>
      </c>
      <c r="L52">
        <v>979769.69</v>
      </c>
      <c r="M52">
        <v>773862.75</v>
      </c>
    </row>
    <row r="53" spans="1:13" x14ac:dyDescent="0.55000000000000004">
      <c r="A53" s="19" t="str">
        <f>_xll.EVPRO("Finance",$C53,"Inv_Type")</f>
        <v>Inv_Equity</v>
      </c>
      <c r="B53" s="19" t="str">
        <f t="shared" si="0"/>
        <v>Garden View Post-Acute Rehab</v>
      </c>
      <c r="C53" s="19" t="str">
        <f t="shared" si="1"/>
        <v>S04617 - Garden View Post-Acute Rehab</v>
      </c>
      <c r="D53" s="3"/>
      <c r="E53" s="2" t="str">
        <f xml:space="preserve"> _xll.EPMOlapMemberO("[ACCOUNT].[H1].[T_NON_OP_EXP]","","T_NON_OP_EXP - Tenant Non-Operating Expense","","000")</f>
        <v>T_NON_OP_EXP - Tenant Non-Operating Expense</v>
      </c>
      <c r="F53">
        <v>9874.59</v>
      </c>
      <c r="G53">
        <v>9898.8799999999992</v>
      </c>
      <c r="H53">
        <v>17932.55</v>
      </c>
      <c r="I53">
        <v>12031.57</v>
      </c>
      <c r="J53">
        <v>10175.549999999999</v>
      </c>
      <c r="K53">
        <v>9612.52</v>
      </c>
      <c r="L53">
        <v>12444.52</v>
      </c>
      <c r="M53">
        <v>9896.5400000000009</v>
      </c>
    </row>
    <row r="54" spans="1:13" x14ac:dyDescent="0.55000000000000004">
      <c r="A54" s="19" t="str">
        <f>_xll.EVPRO("Finance",$C54,"Inv_Type")</f>
        <v>Inv_Equity</v>
      </c>
      <c r="B54" s="19" t="str">
        <f t="shared" si="0"/>
        <v>Garden View Post-Acute Rehab</v>
      </c>
      <c r="C54" s="19" t="str">
        <f t="shared" si="1"/>
        <v>S04617 - Garden View Post-Acute Rehab</v>
      </c>
      <c r="D54" s="3"/>
      <c r="E54" s="10" t="str">
        <f xml:space="preserve"> _xll.EPMOlapMemberO("[ACCOUNT].[H1].[T_BAD_DEBT]","","T_BAD_DEBT - Tenant Bad Debt Expense","","000")</f>
        <v>T_BAD_DEBT - Tenant Bad Debt Expense</v>
      </c>
      <c r="F54">
        <v>14411.79</v>
      </c>
      <c r="G54">
        <v>-6076.55</v>
      </c>
      <c r="H54">
        <v>37546.74</v>
      </c>
      <c r="I54">
        <v>39432.629999999997</v>
      </c>
      <c r="J54">
        <v>37897.360000000001</v>
      </c>
      <c r="K54">
        <v>22980.18</v>
      </c>
      <c r="L54">
        <v>127363.26</v>
      </c>
      <c r="M54">
        <v>-60127.73</v>
      </c>
    </row>
    <row r="55" spans="1:13" x14ac:dyDescent="0.55000000000000004">
      <c r="A55" s="19" t="str">
        <f>_xll.EVPRO("Finance",$C55,"Inv_Type")</f>
        <v>Inv_Equity</v>
      </c>
      <c r="B55" s="19" t="str">
        <f t="shared" si="0"/>
        <v>Garden View Post-Acute Rehab</v>
      </c>
      <c r="C55" s="19" t="str">
        <f t="shared" si="1"/>
        <v>S04617 - Garden View Post-Acute Rehab</v>
      </c>
      <c r="D55" s="3"/>
      <c r="E55" s="3" t="str">
        <f xml:space="preserve"> _xll.EPMOlapMemberO("[ACCOUNT].[H1].[T_EBITDARM]","","T_EBITDARM - EBITDARM","","000")</f>
        <v>T_EBITDARM - EBITDARM</v>
      </c>
      <c r="F55">
        <v>610574.16</v>
      </c>
      <c r="G55">
        <v>76810.460000000094</v>
      </c>
      <c r="H55">
        <v>318940.28000000003</v>
      </c>
      <c r="I55">
        <v>237232.28</v>
      </c>
      <c r="J55">
        <v>310861.96000000002</v>
      </c>
      <c r="K55">
        <v>200125.11</v>
      </c>
      <c r="L55">
        <v>171479.42</v>
      </c>
      <c r="M55">
        <v>476630.13</v>
      </c>
    </row>
    <row r="56" spans="1:13" x14ac:dyDescent="0.55000000000000004">
      <c r="A56" s="19" t="str">
        <f>_xll.EVPRO("Finance",$C56,"Inv_Type")</f>
        <v>Inv_Equity</v>
      </c>
      <c r="B56" s="19" t="str">
        <f t="shared" si="0"/>
        <v>Garden View Post-Acute Rehab</v>
      </c>
      <c r="C56" s="19" t="str">
        <f t="shared" si="1"/>
        <v>S04617 - Garden View Post-Acute Rehab</v>
      </c>
      <c r="D56" s="3"/>
      <c r="E56" s="3" t="str">
        <f xml:space="preserve"> _xll.EPMOlapMemberO("[ACCOUNT].[H1].[T_MGMT_FEE]","","T_MGMT_FEE - Tenant Management Fee - Actual","","000")</f>
        <v>T_MGMT_FEE - Tenant Management Fee - Actual</v>
      </c>
      <c r="F56">
        <v>61918</v>
      </c>
      <c r="G56">
        <v>53760</v>
      </c>
      <c r="H56">
        <v>48107</v>
      </c>
      <c r="I56">
        <v>54495</v>
      </c>
      <c r="J56">
        <v>54817</v>
      </c>
      <c r="K56">
        <v>58837</v>
      </c>
      <c r="L56">
        <v>54877</v>
      </c>
      <c r="M56">
        <v>57562</v>
      </c>
    </row>
    <row r="57" spans="1:13" x14ac:dyDescent="0.55000000000000004">
      <c r="A57" s="19" t="str">
        <f>_xll.EVPRO("Finance",$C57,"Inv_Type")</f>
        <v>Inv_Equity</v>
      </c>
      <c r="B57" s="19" t="str">
        <f t="shared" si="0"/>
        <v>Garden View Post-Acute Rehab</v>
      </c>
      <c r="C57" s="19" t="str">
        <f t="shared" si="1"/>
        <v>S04617 - Garden View Post-Acute Rehab</v>
      </c>
      <c r="D57" s="3"/>
      <c r="E57" s="2" t="str">
        <f xml:space="preserve"> _xll.EPMOlapMemberO("[ACCOUNT].[H1].[T_EBITDAR]","","T_EBITDAR - EBITDAR","","000")</f>
        <v>T_EBITDAR - EBITDAR</v>
      </c>
      <c r="F57">
        <v>548656.16</v>
      </c>
      <c r="G57">
        <v>23050.460000000101</v>
      </c>
      <c r="H57">
        <v>270833.28000000003</v>
      </c>
      <c r="I57">
        <v>182737.28</v>
      </c>
      <c r="J57">
        <v>256044.96</v>
      </c>
      <c r="K57">
        <v>141288.10999999999</v>
      </c>
      <c r="L57">
        <v>116602.42</v>
      </c>
      <c r="M57">
        <v>419068.13</v>
      </c>
    </row>
    <row r="58" spans="1:13" x14ac:dyDescent="0.55000000000000004">
      <c r="A58" s="19" t="str">
        <f>_xll.EVPRO("Finance",$C58,"Inv_Type")</f>
        <v>Inv_Equity</v>
      </c>
      <c r="B58" s="19" t="str">
        <f t="shared" si="0"/>
        <v>Garden View Post-Acute Rehab</v>
      </c>
      <c r="C58" s="19" t="str">
        <f t="shared" si="1"/>
        <v>S04617 - Garden View Post-Acute Rehab</v>
      </c>
      <c r="D58" s="3"/>
      <c r="E58" s="2" t="str">
        <f xml:space="preserve"> _xll.EPMOlapMemberO("[ACCOUNT].[H1].[T_COVERAGE_RENT]","","T_COVERAGE_RENT - Coverage Rent","","000")</f>
        <v>T_COVERAGE_RENT - Coverage Rent</v>
      </c>
      <c r="F58">
        <v>140164.32</v>
      </c>
      <c r="G58">
        <v>140164.32</v>
      </c>
      <c r="H58">
        <v>140164.32</v>
      </c>
      <c r="I58">
        <v>140164.32</v>
      </c>
      <c r="J58">
        <v>140164.32</v>
      </c>
      <c r="K58">
        <v>140164.32</v>
      </c>
      <c r="L58">
        <v>140164.32</v>
      </c>
      <c r="M58">
        <v>140164.32</v>
      </c>
    </row>
    <row r="59" spans="1:13" x14ac:dyDescent="0.55000000000000004">
      <c r="A59" s="19" t="str">
        <f>_xll.EVPRO("Finance",$C59,"Inv_Type")</f>
        <v>Inv_Equity</v>
      </c>
      <c r="B59" s="19" t="str">
        <f t="shared" si="0"/>
        <v>Garden View Post-Acute Rehab</v>
      </c>
      <c r="C59" s="19" t="str">
        <f t="shared" si="1"/>
        <v>S04617 - Garden View Post-Acute Rehab</v>
      </c>
      <c r="D59" s="3"/>
      <c r="E59" s="2" t="str">
        <f xml:space="preserve"> _xll.EPMOlapMemberO("[ACCOUNT].[H1].[T_RENT_EXP]","","T_RENT_EXP - Tenant Rent Expense","","000")</f>
        <v>T_RENT_EXP - Tenant Rent Expense</v>
      </c>
      <c r="F59">
        <v>140164.32999999999</v>
      </c>
      <c r="G59">
        <v>140164.32999999999</v>
      </c>
      <c r="H59">
        <v>140164.32999999999</v>
      </c>
      <c r="I59">
        <v>140164.32999999999</v>
      </c>
      <c r="J59">
        <v>140164.32999999999</v>
      </c>
      <c r="K59">
        <v>140164.32999999999</v>
      </c>
      <c r="L59">
        <v>140164.32999999999</v>
      </c>
      <c r="M59">
        <v>140164.32999999999</v>
      </c>
    </row>
    <row r="60" spans="1:13" x14ac:dyDescent="0.55000000000000004">
      <c r="A60" s="19" t="str">
        <f>_xll.EVPRO("Finance",$C60,"Inv_Type")</f>
        <v>Inv_Equity</v>
      </c>
      <c r="B60" s="19" t="str">
        <f t="shared" si="0"/>
        <v>Grand Terrace Health Care Ctr</v>
      </c>
      <c r="C60" s="19" t="str">
        <f t="shared" si="1"/>
        <v>S04619 - Grand Terrace Health Care Ctr</v>
      </c>
      <c r="D60" s="3" t="str">
        <f xml:space="preserve"> _xll.EPMOlapMemberO("[ENTITY].[H1].[S04619]","","S04619 - Grand Terrace Health Care Ctr","","000")</f>
        <v>S04619 - Grand Terrace Health Care Ctr</v>
      </c>
      <c r="E60" s="45" t="str">
        <f xml:space="preserve"> _xll.EPMOlapMemberO("[ACCOUNT].[H1].[PAY_PAT_DAYS]","","PAY_PAT_DAYS - Total Payor Patient Days","","000")</f>
        <v>PAY_PAT_DAYS - Total Payor Patient Days</v>
      </c>
      <c r="F60">
        <v>1693</v>
      </c>
      <c r="G60">
        <v>1375</v>
      </c>
      <c r="H60">
        <v>1514</v>
      </c>
      <c r="I60">
        <v>1360</v>
      </c>
      <c r="J60">
        <v>1409</v>
      </c>
      <c r="K60">
        <v>1405</v>
      </c>
      <c r="L60">
        <v>1433</v>
      </c>
      <c r="M60">
        <v>1548</v>
      </c>
    </row>
    <row r="61" spans="1:13" x14ac:dyDescent="0.55000000000000004">
      <c r="A61" s="19" t="str">
        <f>_xll.EVPRO("Finance",$C61,"Inv_Type")</f>
        <v>Inv_Equity</v>
      </c>
      <c r="B61" s="19" t="str">
        <f t="shared" si="0"/>
        <v>Grand Terrace Health Care Ctr</v>
      </c>
      <c r="C61" s="19" t="str">
        <f t="shared" si="1"/>
        <v>S04619 - Grand Terrace Health Care Ctr</v>
      </c>
      <c r="D61" s="3"/>
      <c r="E61" s="2" t="str">
        <f xml:space="preserve"> _xll.EPMOlapMemberO("[ACCOUNT].[H1].[A_BEDS_TOTAL]","","A_BEDS_TOTAL - Total Available Beds","","000")</f>
        <v>A_BEDS_TOTAL - Total Available Beds</v>
      </c>
      <c r="F61">
        <v>59</v>
      </c>
      <c r="G61">
        <v>59</v>
      </c>
      <c r="H61">
        <v>59</v>
      </c>
      <c r="I61">
        <v>59</v>
      </c>
      <c r="J61">
        <v>59</v>
      </c>
      <c r="K61">
        <v>59</v>
      </c>
      <c r="L61">
        <v>59</v>
      </c>
      <c r="M61">
        <v>59</v>
      </c>
    </row>
    <row r="62" spans="1:13" x14ac:dyDescent="0.55000000000000004">
      <c r="A62" s="19" t="str">
        <f>_xll.EVPRO("Finance",$C62,"Inv_Type")</f>
        <v>Inv_Equity</v>
      </c>
      <c r="B62" s="19" t="str">
        <f t="shared" si="0"/>
        <v>Grand Terrace Health Care Ctr</v>
      </c>
      <c r="C62" s="19" t="str">
        <f t="shared" si="1"/>
        <v>S04619 - Grand Terrace Health Care Ctr</v>
      </c>
      <c r="D62" s="3"/>
      <c r="E62" s="9" t="str">
        <f xml:space="preserve"> _xll.EPMOlapMemberO("[ACCOUNT].[H1].[T_REVENUES]","","T_REVENUES - Total Tenant Revenues","","000")</f>
        <v>T_REVENUES - Total Tenant Revenues</v>
      </c>
      <c r="F62">
        <v>898277.76</v>
      </c>
      <c r="G62">
        <v>755309.73</v>
      </c>
      <c r="H62">
        <v>839302</v>
      </c>
      <c r="I62">
        <v>696290.45</v>
      </c>
      <c r="J62">
        <v>736528.34</v>
      </c>
      <c r="K62">
        <v>763994.21</v>
      </c>
      <c r="L62">
        <v>806463.51</v>
      </c>
      <c r="M62">
        <v>739144.01</v>
      </c>
    </row>
    <row r="63" spans="1:13" x14ac:dyDescent="0.55000000000000004">
      <c r="A63" s="19" t="str">
        <f>_xll.EVPRO("Finance",$C63,"Inv_Type")</f>
        <v>Inv_Equity</v>
      </c>
      <c r="B63" s="19" t="str">
        <f t="shared" si="0"/>
        <v>Grand Terrace Health Care Ctr</v>
      </c>
      <c r="C63" s="19" t="str">
        <f t="shared" si="1"/>
        <v>S04619 - Grand Terrace Health Care Ctr</v>
      </c>
      <c r="D63" s="3"/>
      <c r="E63" s="9" t="str">
        <f xml:space="preserve"> _xll.EPMOlapMemberO("[ACCOUNT].[H1].[T_OPEX]","","T_OPEX - Tenant Operating Expenses","","000")</f>
        <v>T_OPEX - Tenant Operating Expenses</v>
      </c>
      <c r="F63">
        <v>631533.09</v>
      </c>
      <c r="G63">
        <v>628743.24</v>
      </c>
      <c r="H63">
        <v>688761.06</v>
      </c>
      <c r="I63">
        <v>641537.81999999995</v>
      </c>
      <c r="J63">
        <v>625134.98</v>
      </c>
      <c r="K63">
        <v>594971.82999999996</v>
      </c>
      <c r="L63">
        <v>598979.03</v>
      </c>
      <c r="M63">
        <v>677793.82</v>
      </c>
    </row>
    <row r="64" spans="1:13" x14ac:dyDescent="0.55000000000000004">
      <c r="A64" s="19" t="str">
        <f>_xll.EVPRO("Finance",$C64,"Inv_Type")</f>
        <v>Inv_Equity</v>
      </c>
      <c r="B64" s="19" t="str">
        <f t="shared" si="0"/>
        <v>Grand Terrace Health Care Ctr</v>
      </c>
      <c r="C64" s="19" t="str">
        <f t="shared" si="1"/>
        <v>S04619 - Grand Terrace Health Care Ctr</v>
      </c>
      <c r="D64" s="3"/>
      <c r="E64" s="2" t="str">
        <f xml:space="preserve"> _xll.EPMOlapMemberO("[ACCOUNT].[H1].[T_NON_OP_EXP]","","T_NON_OP_EXP - Tenant Non-Operating Expense","","000")</f>
        <v>T_NON_OP_EXP - Tenant Non-Operating Expense</v>
      </c>
      <c r="F64">
        <v>5526.3</v>
      </c>
      <c r="G64">
        <v>5526.3</v>
      </c>
      <c r="H64">
        <v>5526.3</v>
      </c>
      <c r="I64">
        <v>6404.71</v>
      </c>
      <c r="J64">
        <v>6612</v>
      </c>
      <c r="K64">
        <v>6915.11</v>
      </c>
      <c r="L64">
        <v>6612</v>
      </c>
      <c r="M64">
        <v>6998.44</v>
      </c>
    </row>
    <row r="65" spans="1:13" x14ac:dyDescent="0.55000000000000004">
      <c r="A65" s="19" t="str">
        <f>_xll.EVPRO("Finance",$C65,"Inv_Type")</f>
        <v>Inv_Equity</v>
      </c>
      <c r="B65" s="19" t="str">
        <f t="shared" si="0"/>
        <v>Grand Terrace Health Care Ctr</v>
      </c>
      <c r="C65" s="19" t="str">
        <f t="shared" si="1"/>
        <v>S04619 - Grand Terrace Health Care Ctr</v>
      </c>
      <c r="D65" s="3"/>
      <c r="E65" s="10" t="str">
        <f xml:space="preserve"> _xll.EPMOlapMemberO("[ACCOUNT].[H1].[T_BAD_DEBT]","","T_BAD_DEBT - Tenant Bad Debt Expense","","000")</f>
        <v>T_BAD_DEBT - Tenant Bad Debt Expense</v>
      </c>
      <c r="F65">
        <v>-18628.18</v>
      </c>
      <c r="G65">
        <v>-4161.6899999999996</v>
      </c>
      <c r="H65">
        <v>21856.23</v>
      </c>
      <c r="I65">
        <v>4426.32</v>
      </c>
      <c r="J65">
        <v>27091.09</v>
      </c>
      <c r="K65">
        <v>-12085.23</v>
      </c>
      <c r="L65">
        <v>1071.01</v>
      </c>
      <c r="M65">
        <v>35111.879999999997</v>
      </c>
    </row>
    <row r="66" spans="1:13" x14ac:dyDescent="0.55000000000000004">
      <c r="A66" s="19" t="str">
        <f>_xll.EVPRO("Finance",$C66,"Inv_Type")</f>
        <v>Inv_Equity</v>
      </c>
      <c r="B66" s="19" t="str">
        <f t="shared" si="0"/>
        <v>Grand Terrace Health Care Ctr</v>
      </c>
      <c r="C66" s="19" t="str">
        <f t="shared" si="1"/>
        <v>S04619 - Grand Terrace Health Care Ctr</v>
      </c>
      <c r="D66" s="3"/>
      <c r="E66" s="3" t="str">
        <f xml:space="preserve"> _xll.EPMOlapMemberO("[ACCOUNT].[H1].[T_EBITDARM]","","T_EBITDARM - EBITDARM","","000")</f>
        <v>T_EBITDARM - EBITDARM</v>
      </c>
      <c r="F66">
        <v>266744.67</v>
      </c>
      <c r="G66">
        <v>126566.49</v>
      </c>
      <c r="H66">
        <v>150540.94</v>
      </c>
      <c r="I66">
        <v>54752.629999999903</v>
      </c>
      <c r="J66">
        <v>111393.36</v>
      </c>
      <c r="K66">
        <v>169022.38</v>
      </c>
      <c r="L66">
        <v>207484.48</v>
      </c>
      <c r="M66">
        <v>61350.190000000097</v>
      </c>
    </row>
    <row r="67" spans="1:13" x14ac:dyDescent="0.55000000000000004">
      <c r="A67" s="19" t="str">
        <f>_xll.EVPRO("Finance",$C67,"Inv_Type")</f>
        <v>Inv_Equity</v>
      </c>
      <c r="B67" s="19" t="str">
        <f t="shared" si="0"/>
        <v>Grand Terrace Health Care Ctr</v>
      </c>
      <c r="C67" s="19" t="str">
        <f t="shared" si="1"/>
        <v>S04619 - Grand Terrace Health Care Ctr</v>
      </c>
      <c r="D67" s="3"/>
      <c r="E67" s="3" t="str">
        <f xml:space="preserve"> _xll.EPMOlapMemberO("[ACCOUNT].[H1].[T_MGMT_FEE]","","T_MGMT_FEE - Tenant Management Fee - Actual","","000")</f>
        <v>T_MGMT_FEE - Tenant Management Fee - Actual</v>
      </c>
      <c r="F67">
        <v>36919</v>
      </c>
      <c r="G67">
        <v>44913</v>
      </c>
      <c r="H67">
        <v>36711</v>
      </c>
      <c r="I67">
        <v>40996</v>
      </c>
      <c r="J67">
        <v>34599</v>
      </c>
      <c r="K67">
        <v>36826</v>
      </c>
      <c r="L67">
        <v>35736</v>
      </c>
      <c r="M67">
        <v>40323</v>
      </c>
    </row>
    <row r="68" spans="1:13" x14ac:dyDescent="0.55000000000000004">
      <c r="A68" s="19" t="str">
        <f>_xll.EVPRO("Finance",$C68,"Inv_Type")</f>
        <v>Inv_Equity</v>
      </c>
      <c r="B68" s="19" t="str">
        <f t="shared" si="0"/>
        <v>Grand Terrace Health Care Ctr</v>
      </c>
      <c r="C68" s="19" t="str">
        <f t="shared" si="1"/>
        <v>S04619 - Grand Terrace Health Care Ctr</v>
      </c>
      <c r="D68" s="3"/>
      <c r="E68" s="2" t="str">
        <f xml:space="preserve"> _xll.EPMOlapMemberO("[ACCOUNT].[H1].[T_EBITDAR]","","T_EBITDAR - EBITDAR","","000")</f>
        <v>T_EBITDAR - EBITDAR</v>
      </c>
      <c r="F68">
        <v>229825.67</v>
      </c>
      <c r="G68">
        <v>81653.489999999903</v>
      </c>
      <c r="H68">
        <v>113829.94</v>
      </c>
      <c r="I68">
        <v>13756.629999999899</v>
      </c>
      <c r="J68">
        <v>76794.359999999797</v>
      </c>
      <c r="K68">
        <v>132196.38</v>
      </c>
      <c r="L68">
        <v>171748.48000000001</v>
      </c>
      <c r="M68">
        <v>21027.190000000101</v>
      </c>
    </row>
    <row r="69" spans="1:13" x14ac:dyDescent="0.55000000000000004">
      <c r="A69" s="19" t="str">
        <f>_xll.EVPRO("Finance",$C69,"Inv_Type")</f>
        <v>Inv_Equity</v>
      </c>
      <c r="B69" s="19" t="str">
        <f t="shared" si="0"/>
        <v>Grand Terrace Health Care Ctr</v>
      </c>
      <c r="C69" s="19" t="str">
        <f t="shared" si="1"/>
        <v>S04619 - Grand Terrace Health Care Ctr</v>
      </c>
      <c r="D69" s="3"/>
      <c r="E69" s="2" t="str">
        <f xml:space="preserve"> _xll.EPMOlapMemberO("[ACCOUNT].[H1].[T_COVERAGE_RENT]","","T_COVERAGE_RENT - Coverage Rent","","000")</f>
        <v>T_COVERAGE_RENT - Coverage Rent</v>
      </c>
      <c r="F69">
        <v>71200.740000000005</v>
      </c>
      <c r="G69">
        <v>71200.740000000005</v>
      </c>
      <c r="H69">
        <v>71200.740000000005</v>
      </c>
      <c r="I69">
        <v>71200.740000000005</v>
      </c>
      <c r="J69">
        <v>71200.740000000005</v>
      </c>
      <c r="K69">
        <v>71200.740000000005</v>
      </c>
      <c r="L69">
        <v>71200.740000000005</v>
      </c>
      <c r="M69">
        <v>71200.740000000005</v>
      </c>
    </row>
    <row r="70" spans="1:13" x14ac:dyDescent="0.55000000000000004">
      <c r="A70" s="19" t="str">
        <f>_xll.EVPRO("Finance",$C70,"Inv_Type")</f>
        <v>Inv_Equity</v>
      </c>
      <c r="B70" s="19" t="str">
        <f t="shared" ref="B70:B133" si="2">MID($C70,FIND("- ",$C70)+2,10000)</f>
        <v>Grand Terrace Health Care Ctr</v>
      </c>
      <c r="C70" s="19" t="str">
        <f t="shared" ref="C70:C133" si="3">IF(D70&lt;&gt;"",D70,C69)</f>
        <v>S04619 - Grand Terrace Health Care Ctr</v>
      </c>
      <c r="D70" s="3"/>
      <c r="E70" s="2" t="str">
        <f xml:space="preserve"> _xll.EPMOlapMemberO("[ACCOUNT].[H1].[T_RENT_EXP]","","T_RENT_EXP - Tenant Rent Expense","","000")</f>
        <v>T_RENT_EXP - Tenant Rent Expense</v>
      </c>
      <c r="F70">
        <v>71200.740000000005</v>
      </c>
      <c r="G70">
        <v>71200.740000000005</v>
      </c>
      <c r="H70">
        <v>71200.740000000005</v>
      </c>
      <c r="I70">
        <v>71200.740000000005</v>
      </c>
      <c r="J70">
        <v>71200.740000000005</v>
      </c>
      <c r="K70">
        <v>71200.740000000005</v>
      </c>
      <c r="L70">
        <v>71200.740000000005</v>
      </c>
      <c r="M70">
        <v>71200.740000000005</v>
      </c>
    </row>
    <row r="71" spans="1:13" x14ac:dyDescent="0.55000000000000004">
      <c r="A71" s="19" t="str">
        <f>_xll.EVPRO("Finance",$C71,"Inv_Type")</f>
        <v>Inv_Equity</v>
      </c>
      <c r="B71" s="19" t="str">
        <f t="shared" si="2"/>
        <v>Pacifica Nursing &amp; Rehab Ctr</v>
      </c>
      <c r="C71" s="19" t="str">
        <f t="shared" si="3"/>
        <v>S04621 - Pacifica Nursing &amp; Rehab Ctr</v>
      </c>
      <c r="D71" s="3" t="str">
        <f xml:space="preserve"> _xll.EPMOlapMemberO("[ENTITY].[H1].[S04621]","","S04621 - Pacifica Nursing &amp; Rehab Ctr","","000")</f>
        <v>S04621 - Pacifica Nursing &amp; Rehab Ctr</v>
      </c>
      <c r="E71" s="45" t="str">
        <f xml:space="preserve"> _xll.EPMOlapMemberO("[ACCOUNT].[H1].[PAY_PAT_DAYS]","","PAY_PAT_DAYS - Total Payor Patient Days","","000")</f>
        <v>PAY_PAT_DAYS - Total Payor Patient Days</v>
      </c>
      <c r="F71">
        <v>1498</v>
      </c>
      <c r="G71">
        <v>1409</v>
      </c>
      <c r="H71">
        <v>1397</v>
      </c>
      <c r="I71">
        <v>1433</v>
      </c>
      <c r="J71">
        <v>1391</v>
      </c>
      <c r="K71">
        <v>1421</v>
      </c>
      <c r="L71">
        <v>1593</v>
      </c>
      <c r="M71">
        <v>1466</v>
      </c>
    </row>
    <row r="72" spans="1:13" x14ac:dyDescent="0.55000000000000004">
      <c r="A72" s="19" t="str">
        <f>_xll.EVPRO("Finance",$C72,"Inv_Type")</f>
        <v>Inv_Equity</v>
      </c>
      <c r="B72" s="19" t="str">
        <f t="shared" si="2"/>
        <v>Pacifica Nursing &amp; Rehab Ctr</v>
      </c>
      <c r="C72" s="19" t="str">
        <f t="shared" si="3"/>
        <v>S04621 - Pacifica Nursing &amp; Rehab Ctr</v>
      </c>
      <c r="D72" s="3"/>
      <c r="E72" s="2" t="str">
        <f xml:space="preserve"> _xll.EPMOlapMemberO("[ACCOUNT].[H1].[A_BEDS_TOTAL]","","A_BEDS_TOTAL - Total Available Beds","","000")</f>
        <v>A_BEDS_TOTAL - Total Available Beds</v>
      </c>
      <c r="F72">
        <v>68</v>
      </c>
      <c r="G72">
        <v>68</v>
      </c>
      <c r="H72">
        <v>68</v>
      </c>
      <c r="I72">
        <v>68</v>
      </c>
      <c r="J72">
        <v>68</v>
      </c>
      <c r="K72">
        <v>68</v>
      </c>
      <c r="L72">
        <v>68</v>
      </c>
      <c r="M72">
        <v>68</v>
      </c>
    </row>
    <row r="73" spans="1:13" x14ac:dyDescent="0.55000000000000004">
      <c r="A73" s="19" t="str">
        <f>_xll.EVPRO("Finance",$C73,"Inv_Type")</f>
        <v>Inv_Equity</v>
      </c>
      <c r="B73" s="19" t="str">
        <f t="shared" si="2"/>
        <v>Pacifica Nursing &amp; Rehab Ctr</v>
      </c>
      <c r="C73" s="19" t="str">
        <f t="shared" si="3"/>
        <v>S04621 - Pacifica Nursing &amp; Rehab Ctr</v>
      </c>
      <c r="D73" s="3"/>
      <c r="E73" s="9" t="str">
        <f xml:space="preserve"> _xll.EPMOlapMemberO("[ACCOUNT].[H1].[T_REVENUES]","","T_REVENUES - Total Tenant Revenues","","000")</f>
        <v>T_REVENUES - Total Tenant Revenues</v>
      </c>
      <c r="F73">
        <v>1336591.25</v>
      </c>
      <c r="G73">
        <v>1393805.04</v>
      </c>
      <c r="H73">
        <v>1391186.66</v>
      </c>
      <c r="I73">
        <v>1419987.65</v>
      </c>
      <c r="J73">
        <v>1292986.03</v>
      </c>
      <c r="K73">
        <v>1371538.94</v>
      </c>
      <c r="L73">
        <v>1383657.38</v>
      </c>
      <c r="M73">
        <v>1289769.25</v>
      </c>
    </row>
    <row r="74" spans="1:13" x14ac:dyDescent="0.55000000000000004">
      <c r="A74" s="19" t="str">
        <f>_xll.EVPRO("Finance",$C74,"Inv_Type")</f>
        <v>Inv_Equity</v>
      </c>
      <c r="B74" s="19" t="str">
        <f t="shared" si="2"/>
        <v>Pacifica Nursing &amp; Rehab Ctr</v>
      </c>
      <c r="C74" s="19" t="str">
        <f t="shared" si="3"/>
        <v>S04621 - Pacifica Nursing &amp; Rehab Ctr</v>
      </c>
      <c r="D74" s="3"/>
      <c r="E74" s="9" t="str">
        <f xml:space="preserve"> _xll.EPMOlapMemberO("[ACCOUNT].[H1].[T_OPEX]","","T_OPEX - Tenant Operating Expenses","","000")</f>
        <v>T_OPEX - Tenant Operating Expenses</v>
      </c>
      <c r="F74">
        <v>1065913.48</v>
      </c>
      <c r="G74">
        <v>1133015.23</v>
      </c>
      <c r="H74">
        <v>1072477.8400000001</v>
      </c>
      <c r="I74">
        <v>1108308.98</v>
      </c>
      <c r="J74">
        <v>1071728.46</v>
      </c>
      <c r="K74">
        <v>1109852.5</v>
      </c>
      <c r="L74">
        <v>1143840.67</v>
      </c>
      <c r="M74">
        <v>1071223.81</v>
      </c>
    </row>
    <row r="75" spans="1:13" x14ac:dyDescent="0.55000000000000004">
      <c r="A75" s="19" t="str">
        <f>_xll.EVPRO("Finance",$C75,"Inv_Type")</f>
        <v>Inv_Equity</v>
      </c>
      <c r="B75" s="19" t="str">
        <f t="shared" si="2"/>
        <v>Pacifica Nursing &amp; Rehab Ctr</v>
      </c>
      <c r="C75" s="19" t="str">
        <f t="shared" si="3"/>
        <v>S04621 - Pacifica Nursing &amp; Rehab Ctr</v>
      </c>
      <c r="D75" s="3"/>
      <c r="E75" s="2" t="str">
        <f xml:space="preserve"> _xll.EPMOlapMemberO("[ACCOUNT].[H1].[T_NON_OP_EXP]","","T_NON_OP_EXP - Tenant Non-Operating Expense","","000")</f>
        <v>T_NON_OP_EXP - Tenant Non-Operating Expense</v>
      </c>
      <c r="F75">
        <v>17718.57</v>
      </c>
      <c r="G75">
        <v>18355.18</v>
      </c>
      <c r="H75">
        <v>18408.259999999998</v>
      </c>
      <c r="I75">
        <v>16812.900000000001</v>
      </c>
      <c r="J75">
        <v>17568.62</v>
      </c>
      <c r="K75">
        <v>17018.62</v>
      </c>
      <c r="L75">
        <v>17018.62</v>
      </c>
      <c r="M75">
        <v>17656.099999999999</v>
      </c>
    </row>
    <row r="76" spans="1:13" x14ac:dyDescent="0.55000000000000004">
      <c r="A76" s="19" t="str">
        <f>_xll.EVPRO("Finance",$C76,"Inv_Type")</f>
        <v>Inv_Equity</v>
      </c>
      <c r="B76" s="19" t="str">
        <f t="shared" si="2"/>
        <v>Pacifica Nursing &amp; Rehab Ctr</v>
      </c>
      <c r="C76" s="19" t="str">
        <f t="shared" si="3"/>
        <v>S04621 - Pacifica Nursing &amp; Rehab Ctr</v>
      </c>
      <c r="D76" s="3"/>
      <c r="E76" s="10" t="str">
        <f xml:space="preserve"> _xll.EPMOlapMemberO("[ACCOUNT].[H1].[T_BAD_DEBT]","","T_BAD_DEBT - Tenant Bad Debt Expense","","000")</f>
        <v>T_BAD_DEBT - Tenant Bad Debt Expense</v>
      </c>
      <c r="F76">
        <v>-7156.34</v>
      </c>
      <c r="G76">
        <v>27741.61</v>
      </c>
      <c r="H76">
        <v>-19747.84</v>
      </c>
      <c r="I76">
        <v>-2902.65</v>
      </c>
      <c r="J76">
        <v>38599.79</v>
      </c>
      <c r="K76">
        <v>3197.66</v>
      </c>
      <c r="L76">
        <v>21053</v>
      </c>
      <c r="M76">
        <v>-21760.2</v>
      </c>
    </row>
    <row r="77" spans="1:13" x14ac:dyDescent="0.55000000000000004">
      <c r="A77" s="19" t="str">
        <f>_xll.EVPRO("Finance",$C77,"Inv_Type")</f>
        <v>Inv_Equity</v>
      </c>
      <c r="B77" s="19" t="str">
        <f t="shared" si="2"/>
        <v>Pacifica Nursing &amp; Rehab Ctr</v>
      </c>
      <c r="C77" s="19" t="str">
        <f t="shared" si="3"/>
        <v>S04621 - Pacifica Nursing &amp; Rehab Ctr</v>
      </c>
      <c r="D77" s="3"/>
      <c r="E77" s="3" t="str">
        <f xml:space="preserve"> _xll.EPMOlapMemberO("[ACCOUNT].[H1].[T_EBITDARM]","","T_EBITDARM - EBITDARM","","000")</f>
        <v>T_EBITDARM - EBITDARM</v>
      </c>
      <c r="F77">
        <v>270677.77</v>
      </c>
      <c r="G77">
        <v>260789.81</v>
      </c>
      <c r="H77">
        <v>318708.82</v>
      </c>
      <c r="I77">
        <v>311678.67</v>
      </c>
      <c r="J77">
        <v>221257.57</v>
      </c>
      <c r="K77">
        <v>261686.44</v>
      </c>
      <c r="L77">
        <v>239816.71</v>
      </c>
      <c r="M77">
        <v>218545.44</v>
      </c>
    </row>
    <row r="78" spans="1:13" x14ac:dyDescent="0.55000000000000004">
      <c r="A78" s="19" t="str">
        <f>_xll.EVPRO("Finance",$C78,"Inv_Type")</f>
        <v>Inv_Equity</v>
      </c>
      <c r="B78" s="19" t="str">
        <f t="shared" si="2"/>
        <v>Pacifica Nursing &amp; Rehab Ctr</v>
      </c>
      <c r="C78" s="19" t="str">
        <f t="shared" si="3"/>
        <v>S04621 - Pacifica Nursing &amp; Rehab Ctr</v>
      </c>
      <c r="D78" s="3"/>
      <c r="E78" s="3" t="str">
        <f xml:space="preserve"> _xll.EPMOlapMemberO("[ACCOUNT].[H1].[T_MGMT_FEE]","","T_MGMT_FEE - Tenant Management Fee - Actual","","000")</f>
        <v>T_MGMT_FEE - Tenant Management Fee - Actual</v>
      </c>
      <c r="F78">
        <v>64810</v>
      </c>
      <c r="G78">
        <v>66829</v>
      </c>
      <c r="H78">
        <v>69690</v>
      </c>
      <c r="I78">
        <v>69559</v>
      </c>
      <c r="J78">
        <v>70999</v>
      </c>
      <c r="K78">
        <v>64649</v>
      </c>
      <c r="L78">
        <v>68576</v>
      </c>
      <c r="M78">
        <v>69182</v>
      </c>
    </row>
    <row r="79" spans="1:13" x14ac:dyDescent="0.55000000000000004">
      <c r="A79" s="19" t="str">
        <f>_xll.EVPRO("Finance",$C79,"Inv_Type")</f>
        <v>Inv_Equity</v>
      </c>
      <c r="B79" s="19" t="str">
        <f t="shared" si="2"/>
        <v>Pacifica Nursing &amp; Rehab Ctr</v>
      </c>
      <c r="C79" s="19" t="str">
        <f t="shared" si="3"/>
        <v>S04621 - Pacifica Nursing &amp; Rehab Ctr</v>
      </c>
      <c r="D79" s="3"/>
      <c r="E79" s="2" t="str">
        <f xml:space="preserve"> _xll.EPMOlapMemberO("[ACCOUNT].[H1].[T_EBITDAR]","","T_EBITDAR - EBITDAR","","000")</f>
        <v>T_EBITDAR - EBITDAR</v>
      </c>
      <c r="F79">
        <v>205867.77</v>
      </c>
      <c r="G79">
        <v>193960.81</v>
      </c>
      <c r="H79">
        <v>249018.82</v>
      </c>
      <c r="I79">
        <v>242119.67</v>
      </c>
      <c r="J79">
        <v>150258.57</v>
      </c>
      <c r="K79">
        <v>197037.44</v>
      </c>
      <c r="L79">
        <v>171240.71</v>
      </c>
      <c r="M79">
        <v>149363.44</v>
      </c>
    </row>
    <row r="80" spans="1:13" x14ac:dyDescent="0.55000000000000004">
      <c r="A80" s="19" t="str">
        <f>_xll.EVPRO("Finance",$C80,"Inv_Type")</f>
        <v>Inv_Equity</v>
      </c>
      <c r="B80" s="19" t="str">
        <f t="shared" si="2"/>
        <v>Pacifica Nursing &amp; Rehab Ctr</v>
      </c>
      <c r="C80" s="19" t="str">
        <f t="shared" si="3"/>
        <v>S04621 - Pacifica Nursing &amp; Rehab Ctr</v>
      </c>
      <c r="D80" s="3"/>
      <c r="E80" s="2" t="str">
        <f xml:space="preserve"> _xll.EPMOlapMemberO("[ACCOUNT].[H1].[T_COVERAGE_RENT]","","T_COVERAGE_RENT - Coverage Rent","","000")</f>
        <v>T_COVERAGE_RENT - Coverage Rent</v>
      </c>
      <c r="F80">
        <v>209657.57</v>
      </c>
      <c r="G80">
        <v>209657.57</v>
      </c>
      <c r="H80">
        <v>209657.57</v>
      </c>
      <c r="I80">
        <v>209657.57</v>
      </c>
      <c r="J80">
        <v>209657.57</v>
      </c>
      <c r="K80">
        <v>209657.57</v>
      </c>
      <c r="L80">
        <v>209657.57</v>
      </c>
      <c r="M80">
        <v>209657.57</v>
      </c>
    </row>
    <row r="81" spans="1:13" x14ac:dyDescent="0.55000000000000004">
      <c r="A81" s="19" t="str">
        <f>_xll.EVPRO("Finance",$C81,"Inv_Type")</f>
        <v>Inv_Equity</v>
      </c>
      <c r="B81" s="19" t="str">
        <f t="shared" si="2"/>
        <v>Pacifica Nursing &amp; Rehab Ctr</v>
      </c>
      <c r="C81" s="19" t="str">
        <f t="shared" si="3"/>
        <v>S04621 - Pacifica Nursing &amp; Rehab Ctr</v>
      </c>
      <c r="D81" s="3"/>
      <c r="E81" s="2" t="str">
        <f xml:space="preserve"> _xll.EPMOlapMemberO("[ACCOUNT].[H1].[T_RENT_EXP]","","T_RENT_EXP - Tenant Rent Expense","","000")</f>
        <v>T_RENT_EXP - Tenant Rent Expense</v>
      </c>
      <c r="F81">
        <v>211157.55</v>
      </c>
      <c r="G81">
        <v>211857.55</v>
      </c>
      <c r="H81">
        <v>211157.55</v>
      </c>
      <c r="I81">
        <v>211157.55</v>
      </c>
      <c r="J81">
        <v>211157.55</v>
      </c>
      <c r="K81">
        <v>211857.55</v>
      </c>
      <c r="L81">
        <v>211157.55</v>
      </c>
      <c r="M81">
        <v>211157.55</v>
      </c>
    </row>
    <row r="82" spans="1:13" x14ac:dyDescent="0.55000000000000004">
      <c r="A82" s="19" t="str">
        <f>_xll.EVPRO("Finance",$C82,"Inv_Type")</f>
        <v>Inv_Equity</v>
      </c>
      <c r="B82" s="19" t="str">
        <f t="shared" si="2"/>
        <v>Burien Nursing &amp; Rehab Center</v>
      </c>
      <c r="C82" s="19" t="str">
        <f t="shared" si="3"/>
        <v>S04623 - Burien Nursing &amp; Rehab Center</v>
      </c>
      <c r="D82" s="3" t="str">
        <f xml:space="preserve"> _xll.EPMOlapMemberO("[ENTITY].[H1].[S04623]","","S04623 - Burien Nursing &amp; Rehab Center","","000")</f>
        <v>S04623 - Burien Nursing &amp; Rehab Center</v>
      </c>
      <c r="E82" s="45" t="str">
        <f xml:space="preserve"> _xll.EPMOlapMemberO("[ACCOUNT].[H1].[PAY_PAT_DAYS]","","PAY_PAT_DAYS - Total Payor Patient Days","","000")</f>
        <v>PAY_PAT_DAYS - Total Payor Patient Days</v>
      </c>
      <c r="F82">
        <v>2363</v>
      </c>
      <c r="G82">
        <v>2152</v>
      </c>
      <c r="H82">
        <v>2323</v>
      </c>
      <c r="I82">
        <v>2222</v>
      </c>
      <c r="J82">
        <v>2262</v>
      </c>
      <c r="K82">
        <v>2297</v>
      </c>
      <c r="L82">
        <v>2446</v>
      </c>
      <c r="M82">
        <v>2515</v>
      </c>
    </row>
    <row r="83" spans="1:13" x14ac:dyDescent="0.55000000000000004">
      <c r="A83" s="19" t="str">
        <f>_xll.EVPRO("Finance",$C83,"Inv_Type")</f>
        <v>Inv_Equity</v>
      </c>
      <c r="B83" s="19" t="str">
        <f t="shared" si="2"/>
        <v>Burien Nursing &amp; Rehab Center</v>
      </c>
      <c r="C83" s="19" t="str">
        <f t="shared" si="3"/>
        <v>S04623 - Burien Nursing &amp; Rehab Center</v>
      </c>
      <c r="D83" s="3"/>
      <c r="E83" s="2" t="str">
        <f xml:space="preserve"> _xll.EPMOlapMemberO("[ACCOUNT].[H1].[A_BEDS_TOTAL]","","A_BEDS_TOTAL - Total Available Beds","","000")</f>
        <v>A_BEDS_TOTAL - Total Available Beds</v>
      </c>
      <c r="F83">
        <v>109</v>
      </c>
      <c r="G83">
        <v>109</v>
      </c>
      <c r="H83">
        <v>109</v>
      </c>
      <c r="I83">
        <v>109</v>
      </c>
      <c r="J83">
        <v>109</v>
      </c>
      <c r="K83">
        <v>109</v>
      </c>
      <c r="L83">
        <v>107</v>
      </c>
      <c r="M83">
        <v>107</v>
      </c>
    </row>
    <row r="84" spans="1:13" x14ac:dyDescent="0.55000000000000004">
      <c r="A84" s="19" t="str">
        <f>_xll.EVPRO("Finance",$C84,"Inv_Type")</f>
        <v>Inv_Equity</v>
      </c>
      <c r="B84" s="19" t="str">
        <f t="shared" si="2"/>
        <v>Burien Nursing &amp; Rehab Center</v>
      </c>
      <c r="C84" s="19" t="str">
        <f t="shared" si="3"/>
        <v>S04623 - Burien Nursing &amp; Rehab Center</v>
      </c>
      <c r="D84" s="3"/>
      <c r="E84" s="9" t="str">
        <f xml:space="preserve"> _xll.EPMOlapMemberO("[ACCOUNT].[H1].[T_REVENUES]","","T_REVENUES - Total Tenant Revenues","","000")</f>
        <v>T_REVENUES - Total Tenant Revenues</v>
      </c>
      <c r="F84">
        <v>1025048.36</v>
      </c>
      <c r="G84">
        <v>927393.5</v>
      </c>
      <c r="H84">
        <v>972514.68</v>
      </c>
      <c r="I84">
        <v>962098.03</v>
      </c>
      <c r="J84">
        <v>925075.95</v>
      </c>
      <c r="K84">
        <v>897490.07</v>
      </c>
      <c r="L84">
        <v>943156</v>
      </c>
      <c r="M84">
        <v>928697.67</v>
      </c>
    </row>
    <row r="85" spans="1:13" x14ac:dyDescent="0.55000000000000004">
      <c r="A85" s="19" t="str">
        <f>_xll.EVPRO("Finance",$C85,"Inv_Type")</f>
        <v>Inv_Equity</v>
      </c>
      <c r="B85" s="19" t="str">
        <f t="shared" si="2"/>
        <v>Burien Nursing &amp; Rehab Center</v>
      </c>
      <c r="C85" s="19" t="str">
        <f t="shared" si="3"/>
        <v>S04623 - Burien Nursing &amp; Rehab Center</v>
      </c>
      <c r="D85" s="3"/>
      <c r="E85" s="9" t="str">
        <f xml:space="preserve"> _xll.EPMOlapMemberO("[ACCOUNT].[H1].[T_OPEX]","","T_OPEX - Tenant Operating Expenses","","000")</f>
        <v>T_OPEX - Tenant Operating Expenses</v>
      </c>
      <c r="F85">
        <v>914728.63</v>
      </c>
      <c r="G85">
        <v>824763.78</v>
      </c>
      <c r="H85">
        <v>897074.84</v>
      </c>
      <c r="I85">
        <v>867981.57</v>
      </c>
      <c r="J85">
        <v>782316.27</v>
      </c>
      <c r="K85">
        <v>802332.57</v>
      </c>
      <c r="L85">
        <v>856448.38</v>
      </c>
      <c r="M85">
        <v>879078.27</v>
      </c>
    </row>
    <row r="86" spans="1:13" x14ac:dyDescent="0.55000000000000004">
      <c r="A86" s="19" t="str">
        <f>_xll.EVPRO("Finance",$C86,"Inv_Type")</f>
        <v>Inv_Equity</v>
      </c>
      <c r="B86" s="19" t="str">
        <f t="shared" si="2"/>
        <v>Burien Nursing &amp; Rehab Center</v>
      </c>
      <c r="C86" s="19" t="str">
        <f t="shared" si="3"/>
        <v>S04623 - Burien Nursing &amp; Rehab Center</v>
      </c>
      <c r="D86" s="3"/>
      <c r="E86" s="2" t="str">
        <f xml:space="preserve"> _xll.EPMOlapMemberO("[ACCOUNT].[H1].[T_NON_OP_EXP]","","T_NON_OP_EXP - Tenant Non-Operating Expense","","000")</f>
        <v>T_NON_OP_EXP - Tenant Non-Operating Expense</v>
      </c>
      <c r="F86">
        <v>12910.73</v>
      </c>
      <c r="G86">
        <v>12315.69</v>
      </c>
      <c r="H86">
        <v>13442.97</v>
      </c>
      <c r="I86">
        <v>13173.57</v>
      </c>
      <c r="J86">
        <v>13327.43</v>
      </c>
      <c r="K86">
        <v>13484.23</v>
      </c>
      <c r="L86">
        <v>13484.23</v>
      </c>
      <c r="M86">
        <v>13567.73</v>
      </c>
    </row>
    <row r="87" spans="1:13" x14ac:dyDescent="0.55000000000000004">
      <c r="A87" s="19" t="str">
        <f>_xll.EVPRO("Finance",$C87,"Inv_Type")</f>
        <v>Inv_Equity</v>
      </c>
      <c r="B87" s="19" t="str">
        <f t="shared" si="2"/>
        <v>Burien Nursing &amp; Rehab Center</v>
      </c>
      <c r="C87" s="19" t="str">
        <f t="shared" si="3"/>
        <v>S04623 - Burien Nursing &amp; Rehab Center</v>
      </c>
      <c r="D87" s="3"/>
      <c r="E87" s="10" t="str">
        <f xml:space="preserve"> _xll.EPMOlapMemberO("[ACCOUNT].[H1].[T_BAD_DEBT]","","T_BAD_DEBT - Tenant Bad Debt Expense","","000")</f>
        <v>T_BAD_DEBT - Tenant Bad Debt Expense</v>
      </c>
      <c r="F87">
        <v>18862.87</v>
      </c>
      <c r="G87">
        <v>26394.11</v>
      </c>
      <c r="H87">
        <v>40517.919999999998</v>
      </c>
      <c r="I87">
        <v>22921.86</v>
      </c>
      <c r="J87">
        <v>13475.59</v>
      </c>
      <c r="K87">
        <v>2650.11</v>
      </c>
      <c r="L87">
        <v>19923.3</v>
      </c>
      <c r="M87">
        <v>5907.05</v>
      </c>
    </row>
    <row r="88" spans="1:13" x14ac:dyDescent="0.55000000000000004">
      <c r="A88" s="19" t="str">
        <f>_xll.EVPRO("Finance",$C88,"Inv_Type")</f>
        <v>Inv_Equity</v>
      </c>
      <c r="B88" s="19" t="str">
        <f t="shared" si="2"/>
        <v>Burien Nursing &amp; Rehab Center</v>
      </c>
      <c r="C88" s="19" t="str">
        <f t="shared" si="3"/>
        <v>S04623 - Burien Nursing &amp; Rehab Center</v>
      </c>
      <c r="D88" s="3"/>
      <c r="E88" s="3" t="str">
        <f xml:space="preserve"> _xll.EPMOlapMemberO("[ACCOUNT].[H1].[T_EBITDARM]","","T_EBITDARM - EBITDARM","","000")</f>
        <v>T_EBITDARM - EBITDARM</v>
      </c>
      <c r="F88">
        <v>110319.73</v>
      </c>
      <c r="G88">
        <v>102629.72</v>
      </c>
      <c r="H88">
        <v>75439.839999999895</v>
      </c>
      <c r="I88">
        <v>94116.46</v>
      </c>
      <c r="J88">
        <v>142759.67999999999</v>
      </c>
      <c r="K88">
        <v>95157.5</v>
      </c>
      <c r="L88">
        <v>86707.62</v>
      </c>
      <c r="M88">
        <v>49619.4</v>
      </c>
    </row>
    <row r="89" spans="1:13" x14ac:dyDescent="0.55000000000000004">
      <c r="A89" s="19" t="str">
        <f>_xll.EVPRO("Finance",$C89,"Inv_Type")</f>
        <v>Inv_Equity</v>
      </c>
      <c r="B89" s="19" t="str">
        <f t="shared" si="2"/>
        <v>Burien Nursing &amp; Rehab Center</v>
      </c>
      <c r="C89" s="19" t="str">
        <f t="shared" si="3"/>
        <v>S04623 - Burien Nursing &amp; Rehab Center</v>
      </c>
      <c r="D89" s="3"/>
      <c r="E89" s="3" t="str">
        <f xml:space="preserve"> _xll.EPMOlapMemberO("[ACCOUNT].[H1].[T_MGMT_FEE]","","T_MGMT_FEE - Tenant Management Fee - Actual","","000")</f>
        <v>T_MGMT_FEE - Tenant Management Fee - Actual</v>
      </c>
      <c r="F89">
        <v>50818</v>
      </c>
      <c r="G89">
        <v>51252</v>
      </c>
      <c r="H89">
        <v>46369</v>
      </c>
      <c r="I89">
        <v>48625</v>
      </c>
      <c r="J89">
        <v>48104</v>
      </c>
      <c r="K89">
        <v>46253</v>
      </c>
      <c r="L89">
        <v>44874</v>
      </c>
      <c r="M89">
        <v>47157</v>
      </c>
    </row>
    <row r="90" spans="1:13" x14ac:dyDescent="0.55000000000000004">
      <c r="A90" s="19" t="str">
        <f>_xll.EVPRO("Finance",$C90,"Inv_Type")</f>
        <v>Inv_Equity</v>
      </c>
      <c r="B90" s="19" t="str">
        <f t="shared" si="2"/>
        <v>Burien Nursing &amp; Rehab Center</v>
      </c>
      <c r="C90" s="19" t="str">
        <f t="shared" si="3"/>
        <v>S04623 - Burien Nursing &amp; Rehab Center</v>
      </c>
      <c r="D90" s="3"/>
      <c r="E90" s="2" t="str">
        <f xml:space="preserve"> _xll.EPMOlapMemberO("[ACCOUNT].[H1].[T_EBITDAR]","","T_EBITDAR - EBITDAR","","000")</f>
        <v>T_EBITDAR - EBITDAR</v>
      </c>
      <c r="F90">
        <v>59501.7300000002</v>
      </c>
      <c r="G90">
        <v>51377.720000000103</v>
      </c>
      <c r="H90">
        <v>29070.839999999898</v>
      </c>
      <c r="I90">
        <v>45491.46</v>
      </c>
      <c r="J90">
        <v>94655.680000000095</v>
      </c>
      <c r="K90">
        <v>48904.5</v>
      </c>
      <c r="L90">
        <v>41833.620000000003</v>
      </c>
      <c r="M90">
        <v>2462.4000000000201</v>
      </c>
    </row>
    <row r="91" spans="1:13" x14ac:dyDescent="0.55000000000000004">
      <c r="A91" s="19" t="str">
        <f>_xll.EVPRO("Finance",$C91,"Inv_Type")</f>
        <v>Inv_Equity</v>
      </c>
      <c r="B91" s="19" t="str">
        <f t="shared" si="2"/>
        <v>Burien Nursing &amp; Rehab Center</v>
      </c>
      <c r="C91" s="19" t="str">
        <f t="shared" si="3"/>
        <v>S04623 - Burien Nursing &amp; Rehab Center</v>
      </c>
      <c r="D91" s="3"/>
      <c r="E91" s="2" t="str">
        <f xml:space="preserve"> _xll.EPMOlapMemberO("[ACCOUNT].[H1].[T_COVERAGE_RENT]","","T_COVERAGE_RENT - Coverage Rent","","000")</f>
        <v>T_COVERAGE_RENT - Coverage Rent</v>
      </c>
      <c r="F91">
        <v>132067.12</v>
      </c>
      <c r="G91">
        <v>132067.12</v>
      </c>
      <c r="H91">
        <v>132067.12</v>
      </c>
      <c r="I91">
        <v>132067.12</v>
      </c>
      <c r="J91">
        <v>132067.12</v>
      </c>
      <c r="K91">
        <v>132067.12</v>
      </c>
      <c r="L91">
        <v>132067.12</v>
      </c>
      <c r="M91">
        <v>132067.12</v>
      </c>
    </row>
    <row r="92" spans="1:13" x14ac:dyDescent="0.55000000000000004">
      <c r="A92" s="19" t="str">
        <f>_xll.EVPRO("Finance",$C92,"Inv_Type")</f>
        <v>Inv_Equity</v>
      </c>
      <c r="B92" s="19" t="str">
        <f t="shared" si="2"/>
        <v>Burien Nursing &amp; Rehab Center</v>
      </c>
      <c r="C92" s="19" t="str">
        <f t="shared" si="3"/>
        <v>S04623 - Burien Nursing &amp; Rehab Center</v>
      </c>
      <c r="D92" s="3"/>
      <c r="E92" s="2" t="str">
        <f xml:space="preserve"> _xll.EPMOlapMemberO("[ACCOUNT].[H1].[T_RENT_EXP]","","T_RENT_EXP - Tenant Rent Expense","","000")</f>
        <v>T_RENT_EXP - Tenant Rent Expense</v>
      </c>
      <c r="F92">
        <v>132067.13</v>
      </c>
      <c r="G92">
        <v>132067.13</v>
      </c>
      <c r="H92">
        <v>132067.13</v>
      </c>
      <c r="I92">
        <v>132067.13</v>
      </c>
      <c r="J92">
        <v>132067.13</v>
      </c>
      <c r="K92">
        <v>132067.13</v>
      </c>
      <c r="L92">
        <v>132067.13</v>
      </c>
      <c r="M92">
        <v>132067.13</v>
      </c>
    </row>
    <row r="93" spans="1:13" x14ac:dyDescent="0.55000000000000004">
      <c r="A93" s="19" t="str">
        <f>_xll.EVPRO("Finance",$C93,"Inv_Type")</f>
        <v>Inv_Equity</v>
      </c>
      <c r="B93" s="19" t="str">
        <f t="shared" si="2"/>
        <v>Park West Care Center</v>
      </c>
      <c r="C93" s="19" t="str">
        <f t="shared" si="3"/>
        <v>S04625 - Park West Care Center</v>
      </c>
      <c r="D93" s="3" t="str">
        <f xml:space="preserve"> _xll.EPMOlapMemberO("[ENTITY].[H1].[S04625]","","S04625 - Park West Care Center","","000")</f>
        <v>S04625 - Park West Care Center</v>
      </c>
      <c r="E93" s="45" t="str">
        <f xml:space="preserve"> _xll.EPMOlapMemberO("[ACCOUNT].[H1].[PAY_PAT_DAYS]","","PAY_PAT_DAYS - Total Payor Patient Days","","000")</f>
        <v>PAY_PAT_DAYS - Total Payor Patient Days</v>
      </c>
      <c r="F93">
        <v>2322</v>
      </c>
      <c r="G93">
        <v>2282</v>
      </c>
      <c r="H93">
        <v>2511</v>
      </c>
      <c r="I93">
        <v>2451</v>
      </c>
      <c r="J93">
        <v>2500</v>
      </c>
      <c r="K93">
        <v>2566</v>
      </c>
      <c r="L93">
        <v>2586</v>
      </c>
      <c r="M93">
        <v>2561</v>
      </c>
    </row>
    <row r="94" spans="1:13" x14ac:dyDescent="0.55000000000000004">
      <c r="A94" s="19" t="str">
        <f>_xll.EVPRO("Finance",$C94,"Inv_Type")</f>
        <v>Inv_Equity</v>
      </c>
      <c r="B94" s="19" t="str">
        <f t="shared" si="2"/>
        <v>Park West Care Center</v>
      </c>
      <c r="C94" s="19" t="str">
        <f t="shared" si="3"/>
        <v>S04625 - Park West Care Center</v>
      </c>
      <c r="D94" s="3"/>
      <c r="E94" s="2" t="str">
        <f xml:space="preserve"> _xll.EPMOlapMemberO("[ACCOUNT].[H1].[A_BEDS_TOTAL]","","A_BEDS_TOTAL - Total Available Beds","","000")</f>
        <v>A_BEDS_TOTAL - Total Available Beds</v>
      </c>
      <c r="F94">
        <v>115</v>
      </c>
      <c r="G94">
        <v>115</v>
      </c>
      <c r="H94">
        <v>115</v>
      </c>
      <c r="I94">
        <v>115</v>
      </c>
      <c r="J94">
        <v>115</v>
      </c>
      <c r="K94">
        <v>115</v>
      </c>
      <c r="L94">
        <v>115</v>
      </c>
      <c r="M94">
        <v>115</v>
      </c>
    </row>
    <row r="95" spans="1:13" x14ac:dyDescent="0.55000000000000004">
      <c r="A95" s="19" t="str">
        <f>_xll.EVPRO("Finance",$C95,"Inv_Type")</f>
        <v>Inv_Equity</v>
      </c>
      <c r="B95" s="19" t="str">
        <f t="shared" si="2"/>
        <v>Park West Care Center</v>
      </c>
      <c r="C95" s="19" t="str">
        <f t="shared" si="3"/>
        <v>S04625 - Park West Care Center</v>
      </c>
      <c r="D95" s="3"/>
      <c r="E95" s="9" t="str">
        <f xml:space="preserve"> _xll.EPMOlapMemberO("[ACCOUNT].[H1].[T_REVENUES]","","T_REVENUES - Total Tenant Revenues","","000")</f>
        <v>T_REVENUES - Total Tenant Revenues</v>
      </c>
      <c r="F95">
        <v>880830.47</v>
      </c>
      <c r="G95">
        <v>803201.55</v>
      </c>
      <c r="H95">
        <v>862356.34</v>
      </c>
      <c r="I95">
        <v>836836.96</v>
      </c>
      <c r="J95">
        <v>835284.52</v>
      </c>
      <c r="K95">
        <v>870116.9</v>
      </c>
      <c r="L95">
        <v>845206.1</v>
      </c>
      <c r="M95">
        <v>793128.68</v>
      </c>
    </row>
    <row r="96" spans="1:13" x14ac:dyDescent="0.55000000000000004">
      <c r="A96" s="19" t="str">
        <f>_xll.EVPRO("Finance",$C96,"Inv_Type")</f>
        <v>Inv_Equity</v>
      </c>
      <c r="B96" s="19" t="str">
        <f t="shared" si="2"/>
        <v>Park West Care Center</v>
      </c>
      <c r="C96" s="19" t="str">
        <f t="shared" si="3"/>
        <v>S04625 - Park West Care Center</v>
      </c>
      <c r="D96" s="3"/>
      <c r="E96" s="9" t="str">
        <f xml:space="preserve"> _xll.EPMOlapMemberO("[ACCOUNT].[H1].[T_OPEX]","","T_OPEX - Tenant Operating Expenses","","000")</f>
        <v>T_OPEX - Tenant Operating Expenses</v>
      </c>
      <c r="F96">
        <v>834601.35</v>
      </c>
      <c r="G96">
        <v>749813.01</v>
      </c>
      <c r="H96">
        <v>901677.64</v>
      </c>
      <c r="I96">
        <v>843111.6</v>
      </c>
      <c r="J96">
        <v>839214.12</v>
      </c>
      <c r="K96">
        <v>889986.67</v>
      </c>
      <c r="L96">
        <v>919245.82</v>
      </c>
      <c r="M96">
        <v>897325.98</v>
      </c>
    </row>
    <row r="97" spans="1:13" x14ac:dyDescent="0.55000000000000004">
      <c r="A97" s="19" t="str">
        <f>_xll.EVPRO("Finance",$C97,"Inv_Type")</f>
        <v>Inv_Equity</v>
      </c>
      <c r="B97" s="19" t="str">
        <f t="shared" si="2"/>
        <v>Park West Care Center</v>
      </c>
      <c r="C97" s="19" t="str">
        <f t="shared" si="3"/>
        <v>S04625 - Park West Care Center</v>
      </c>
      <c r="D97" s="3"/>
      <c r="E97" s="2" t="str">
        <f xml:space="preserve"> _xll.EPMOlapMemberO("[ACCOUNT].[H1].[T_NON_OP_EXP]","","T_NON_OP_EXP - Tenant Non-Operating Expense","","000")</f>
        <v>T_NON_OP_EXP - Tenant Non-Operating Expense</v>
      </c>
      <c r="F97">
        <v>12761.66</v>
      </c>
      <c r="G97">
        <v>10302</v>
      </c>
      <c r="H97">
        <v>17046.7</v>
      </c>
      <c r="I97">
        <v>17895.87</v>
      </c>
      <c r="J97">
        <v>14629.14</v>
      </c>
      <c r="K97">
        <v>9931.34</v>
      </c>
      <c r="L97">
        <v>12022.51</v>
      </c>
      <c r="M97">
        <v>13761.63</v>
      </c>
    </row>
    <row r="98" spans="1:13" x14ac:dyDescent="0.55000000000000004">
      <c r="A98" s="19" t="str">
        <f>_xll.EVPRO("Finance",$C98,"Inv_Type")</f>
        <v>Inv_Equity</v>
      </c>
      <c r="B98" s="19" t="str">
        <f t="shared" si="2"/>
        <v>Park West Care Center</v>
      </c>
      <c r="C98" s="19" t="str">
        <f t="shared" si="3"/>
        <v>S04625 - Park West Care Center</v>
      </c>
      <c r="D98" s="3"/>
      <c r="E98" s="10" t="str">
        <f xml:space="preserve"> _xll.EPMOlapMemberO("[ACCOUNT].[H1].[T_BAD_DEBT]","","T_BAD_DEBT - Tenant Bad Debt Expense","","000")</f>
        <v>T_BAD_DEBT - Tenant Bad Debt Expense</v>
      </c>
      <c r="F98">
        <v>-26712.58</v>
      </c>
      <c r="G98">
        <v>20505.990000000002</v>
      </c>
      <c r="H98">
        <v>11195.82</v>
      </c>
      <c r="I98">
        <v>-10475.35</v>
      </c>
      <c r="J98">
        <v>22548.87</v>
      </c>
      <c r="K98">
        <v>34849.56</v>
      </c>
      <c r="L98">
        <v>4194.04</v>
      </c>
      <c r="M98">
        <v>-33425.72</v>
      </c>
    </row>
    <row r="99" spans="1:13" x14ac:dyDescent="0.55000000000000004">
      <c r="A99" s="19" t="str">
        <f>_xll.EVPRO("Finance",$C99,"Inv_Type")</f>
        <v>Inv_Equity</v>
      </c>
      <c r="B99" s="19" t="str">
        <f t="shared" si="2"/>
        <v>Park West Care Center</v>
      </c>
      <c r="C99" s="19" t="str">
        <f t="shared" si="3"/>
        <v>S04625 - Park West Care Center</v>
      </c>
      <c r="D99" s="3"/>
      <c r="E99" s="3" t="str">
        <f xml:space="preserve"> _xll.EPMOlapMemberO("[ACCOUNT].[H1].[T_EBITDARM]","","T_EBITDARM - EBITDARM","","000")</f>
        <v>T_EBITDARM - EBITDARM</v>
      </c>
      <c r="F99">
        <v>46229.119999999901</v>
      </c>
      <c r="G99">
        <v>53388.539999999797</v>
      </c>
      <c r="H99">
        <v>-39321.300000000003</v>
      </c>
      <c r="I99">
        <v>-6274.6400000000103</v>
      </c>
      <c r="J99">
        <v>-3929.5999999999799</v>
      </c>
      <c r="K99">
        <v>-19869.77</v>
      </c>
      <c r="L99">
        <v>-74039.72</v>
      </c>
      <c r="M99">
        <v>-104197.3</v>
      </c>
    </row>
    <row r="100" spans="1:13" x14ac:dyDescent="0.55000000000000004">
      <c r="A100" s="19" t="str">
        <f>_xll.EVPRO("Finance",$C100,"Inv_Type")</f>
        <v>Inv_Equity</v>
      </c>
      <c r="B100" s="19" t="str">
        <f t="shared" si="2"/>
        <v>Park West Care Center</v>
      </c>
      <c r="C100" s="19" t="str">
        <f t="shared" si="3"/>
        <v>S04625 - Park West Care Center</v>
      </c>
      <c r="D100" s="3"/>
      <c r="E100" s="3" t="str">
        <f xml:space="preserve"> _xll.EPMOlapMemberO("[ACCOUNT].[H1].[T_MGMT_FEE]","","T_MGMT_FEE - Tenant Management Fee - Actual","","000")</f>
        <v>T_MGMT_FEE - Tenant Management Fee - Actual</v>
      </c>
      <c r="F100">
        <v>60626</v>
      </c>
      <c r="G100">
        <v>44041</v>
      </c>
      <c r="H100">
        <v>40160</v>
      </c>
      <c r="I100">
        <v>43117</v>
      </c>
      <c r="J100">
        <v>41841</v>
      </c>
      <c r="K100">
        <v>41764</v>
      </c>
      <c r="L100">
        <v>43505</v>
      </c>
      <c r="M100">
        <v>42260</v>
      </c>
    </row>
    <row r="101" spans="1:13" x14ac:dyDescent="0.55000000000000004">
      <c r="A101" s="19" t="str">
        <f>_xll.EVPRO("Finance",$C101,"Inv_Type")</f>
        <v>Inv_Equity</v>
      </c>
      <c r="B101" s="19" t="str">
        <f t="shared" si="2"/>
        <v>Park West Care Center</v>
      </c>
      <c r="C101" s="19" t="str">
        <f t="shared" si="3"/>
        <v>S04625 - Park West Care Center</v>
      </c>
      <c r="D101" s="3"/>
      <c r="E101" s="2" t="str">
        <f xml:space="preserve"> _xll.EPMOlapMemberO("[ACCOUNT].[H1].[T_EBITDAR]","","T_EBITDAR - EBITDAR","","000")</f>
        <v>T_EBITDAR - EBITDAR</v>
      </c>
      <c r="F101">
        <v>-14396.880000000099</v>
      </c>
      <c r="G101">
        <v>9347.5399999998008</v>
      </c>
      <c r="H101">
        <v>-79481.3</v>
      </c>
      <c r="I101">
        <v>-49391.64</v>
      </c>
      <c r="J101">
        <v>-45770.6</v>
      </c>
      <c r="K101">
        <v>-61633.77</v>
      </c>
      <c r="L101">
        <v>-117544.72</v>
      </c>
      <c r="M101">
        <v>-146457.29999999999</v>
      </c>
    </row>
    <row r="102" spans="1:13" x14ac:dyDescent="0.55000000000000004">
      <c r="A102" s="19" t="str">
        <f>_xll.EVPRO("Finance",$C102,"Inv_Type")</f>
        <v>Inv_Equity</v>
      </c>
      <c r="B102" s="19" t="str">
        <f t="shared" si="2"/>
        <v>Park West Care Center</v>
      </c>
      <c r="C102" s="19" t="str">
        <f t="shared" si="3"/>
        <v>S04625 - Park West Care Center</v>
      </c>
      <c r="D102" s="3"/>
      <c r="E102" s="2" t="str">
        <f xml:space="preserve"> _xll.EPMOlapMemberO("[ACCOUNT].[H1].[T_COVERAGE_RENT]","","T_COVERAGE_RENT - Coverage Rent","","000")</f>
        <v>T_COVERAGE_RENT - Coverage Rent</v>
      </c>
      <c r="F102">
        <v>92185.47</v>
      </c>
      <c r="G102">
        <v>92185.47</v>
      </c>
      <c r="H102">
        <v>92185.47</v>
      </c>
      <c r="I102">
        <v>92185.47</v>
      </c>
      <c r="J102">
        <v>92185.47</v>
      </c>
      <c r="K102">
        <v>92185.47</v>
      </c>
      <c r="L102">
        <v>92185.47</v>
      </c>
      <c r="M102">
        <v>92185.47</v>
      </c>
    </row>
    <row r="103" spans="1:13" x14ac:dyDescent="0.55000000000000004">
      <c r="A103" s="19" t="str">
        <f>_xll.EVPRO("Finance",$C103,"Inv_Type")</f>
        <v>Inv_Equity</v>
      </c>
      <c r="B103" s="19" t="str">
        <f t="shared" si="2"/>
        <v>Park West Care Center</v>
      </c>
      <c r="C103" s="19" t="str">
        <f t="shared" si="3"/>
        <v>S04625 - Park West Care Center</v>
      </c>
      <c r="D103" s="3"/>
      <c r="E103" s="2" t="str">
        <f xml:space="preserve"> _xll.EPMOlapMemberO("[ACCOUNT].[H1].[T_RENT_EXP]","","T_RENT_EXP - Tenant Rent Expense","","000")</f>
        <v>T_RENT_EXP - Tenant Rent Expense</v>
      </c>
      <c r="F103">
        <v>92185.47</v>
      </c>
      <c r="G103">
        <v>92185.47</v>
      </c>
      <c r="H103">
        <v>92185.47</v>
      </c>
      <c r="I103">
        <v>92185.47</v>
      </c>
      <c r="J103">
        <v>92185.47</v>
      </c>
      <c r="K103">
        <v>92185.47</v>
      </c>
      <c r="L103">
        <v>92185.47</v>
      </c>
      <c r="M103">
        <v>92185.47</v>
      </c>
    </row>
    <row r="104" spans="1:13" x14ac:dyDescent="0.55000000000000004">
      <c r="A104" s="19" t="str">
        <f>_xll.EVPRO("Finance",$C104,"Inv_Type")</f>
        <v>Inv_Equity</v>
      </c>
      <c r="B104" s="19" t="str">
        <f t="shared" si="2"/>
        <v>Beachside Nursing Center</v>
      </c>
      <c r="C104" s="19" t="str">
        <f t="shared" si="3"/>
        <v>S04627 - Beachside Nursing Center</v>
      </c>
      <c r="D104" s="3" t="str">
        <f xml:space="preserve"> _xll.EPMOlapMemberO("[ENTITY].[H1].[S04627]","","S04627 - Beachside Nursing Center","","000")</f>
        <v>S04627 - Beachside Nursing Center</v>
      </c>
      <c r="E104" s="45" t="str">
        <f xml:space="preserve"> _xll.EPMOlapMemberO("[ACCOUNT].[H1].[PAY_PAT_DAYS]","","PAY_PAT_DAYS - Total Payor Patient Days","","000")</f>
        <v>PAY_PAT_DAYS - Total Payor Patient Days</v>
      </c>
      <c r="F104">
        <v>1471</v>
      </c>
      <c r="G104">
        <v>1286</v>
      </c>
      <c r="H104">
        <v>1525</v>
      </c>
      <c r="I104">
        <v>1404</v>
      </c>
      <c r="J104">
        <v>1378</v>
      </c>
      <c r="K104">
        <v>1297</v>
      </c>
      <c r="L104">
        <v>1508</v>
      </c>
      <c r="M104">
        <v>1531</v>
      </c>
    </row>
    <row r="105" spans="1:13" x14ac:dyDescent="0.55000000000000004">
      <c r="A105" s="19" t="str">
        <f>_xll.EVPRO("Finance",$C105,"Inv_Type")</f>
        <v>Inv_Equity</v>
      </c>
      <c r="B105" s="19" t="str">
        <f t="shared" si="2"/>
        <v>Beachside Nursing Center</v>
      </c>
      <c r="C105" s="19" t="str">
        <f t="shared" si="3"/>
        <v>S04627 - Beachside Nursing Center</v>
      </c>
      <c r="D105" s="3"/>
      <c r="E105" s="2" t="str">
        <f xml:space="preserve"> _xll.EPMOlapMemberO("[ACCOUNT].[H1].[A_BEDS_TOTAL]","","A_BEDS_TOTAL - Total Available Beds","","000")</f>
        <v>A_BEDS_TOTAL - Total Available Beds</v>
      </c>
      <c r="F105">
        <v>59</v>
      </c>
      <c r="G105">
        <v>59</v>
      </c>
      <c r="H105">
        <v>59</v>
      </c>
      <c r="I105">
        <v>59</v>
      </c>
      <c r="J105">
        <v>59</v>
      </c>
      <c r="K105">
        <v>59</v>
      </c>
      <c r="L105">
        <v>59</v>
      </c>
      <c r="M105">
        <v>59</v>
      </c>
    </row>
    <row r="106" spans="1:13" x14ac:dyDescent="0.55000000000000004">
      <c r="A106" s="19" t="str">
        <f>_xll.EVPRO("Finance",$C106,"Inv_Type")</f>
        <v>Inv_Equity</v>
      </c>
      <c r="B106" s="19" t="str">
        <f t="shared" si="2"/>
        <v>Beachside Nursing Center</v>
      </c>
      <c r="C106" s="19" t="str">
        <f t="shared" si="3"/>
        <v>S04627 - Beachside Nursing Center</v>
      </c>
      <c r="D106" s="3"/>
      <c r="E106" s="9" t="str">
        <f xml:space="preserve"> _xll.EPMOlapMemberO("[ACCOUNT].[H1].[T_REVENUES]","","T_REVENUES - Total Tenant Revenues","","000")</f>
        <v>T_REVENUES - Total Tenant Revenues</v>
      </c>
      <c r="F106">
        <v>839219.9</v>
      </c>
      <c r="G106">
        <v>738389.31</v>
      </c>
      <c r="H106">
        <v>878914.93</v>
      </c>
      <c r="I106">
        <v>800917.57</v>
      </c>
      <c r="J106">
        <v>841549.33</v>
      </c>
      <c r="K106">
        <v>733965.13</v>
      </c>
      <c r="L106">
        <v>844277.9</v>
      </c>
      <c r="M106">
        <v>863620.72</v>
      </c>
    </row>
    <row r="107" spans="1:13" x14ac:dyDescent="0.55000000000000004">
      <c r="A107" s="19" t="str">
        <f>_xll.EVPRO("Finance",$C107,"Inv_Type")</f>
        <v>Inv_Equity</v>
      </c>
      <c r="B107" s="19" t="str">
        <f t="shared" si="2"/>
        <v>Beachside Nursing Center</v>
      </c>
      <c r="C107" s="19" t="str">
        <f t="shared" si="3"/>
        <v>S04627 - Beachside Nursing Center</v>
      </c>
      <c r="D107" s="3"/>
      <c r="E107" s="9" t="str">
        <f xml:space="preserve"> _xll.EPMOlapMemberO("[ACCOUNT].[H1].[T_OPEX]","","T_OPEX - Tenant Operating Expenses","","000")</f>
        <v>T_OPEX - Tenant Operating Expenses</v>
      </c>
      <c r="F107">
        <v>540783.1</v>
      </c>
      <c r="G107">
        <v>629884.11</v>
      </c>
      <c r="H107">
        <v>645516.6</v>
      </c>
      <c r="I107">
        <v>644548.9</v>
      </c>
      <c r="J107">
        <v>648958.61</v>
      </c>
      <c r="K107">
        <v>626801.56000000006</v>
      </c>
      <c r="L107">
        <v>591816.92000000004</v>
      </c>
      <c r="M107">
        <v>641181.31999999995</v>
      </c>
    </row>
    <row r="108" spans="1:13" x14ac:dyDescent="0.55000000000000004">
      <c r="A108" s="19" t="str">
        <f>_xll.EVPRO("Finance",$C108,"Inv_Type")</f>
        <v>Inv_Equity</v>
      </c>
      <c r="B108" s="19" t="str">
        <f t="shared" si="2"/>
        <v>Beachside Nursing Center</v>
      </c>
      <c r="C108" s="19" t="str">
        <f t="shared" si="3"/>
        <v>S04627 - Beachside Nursing Center</v>
      </c>
      <c r="D108" s="3"/>
      <c r="E108" s="2" t="str">
        <f xml:space="preserve"> _xll.EPMOlapMemberO("[ACCOUNT].[H1].[T_NON_OP_EXP]","","T_NON_OP_EXP - Tenant Non-Operating Expense","","000")</f>
        <v>T_NON_OP_EXP - Tenant Non-Operating Expense</v>
      </c>
      <c r="F108">
        <v>8214.2800000000007</v>
      </c>
      <c r="G108">
        <v>8088.77</v>
      </c>
      <c r="H108">
        <v>19996.55</v>
      </c>
      <c r="I108">
        <v>13119.05</v>
      </c>
      <c r="J108">
        <v>968.849999999999</v>
      </c>
      <c r="K108">
        <v>8480.7000000000007</v>
      </c>
      <c r="L108">
        <v>8523.7000000000007</v>
      </c>
      <c r="M108">
        <v>9439.0400000000009</v>
      </c>
    </row>
    <row r="109" spans="1:13" x14ac:dyDescent="0.55000000000000004">
      <c r="A109" s="19" t="str">
        <f>_xll.EVPRO("Finance",$C109,"Inv_Type")</f>
        <v>Inv_Equity</v>
      </c>
      <c r="B109" s="19" t="str">
        <f t="shared" si="2"/>
        <v>Beachside Nursing Center</v>
      </c>
      <c r="C109" s="19" t="str">
        <f t="shared" si="3"/>
        <v>S04627 - Beachside Nursing Center</v>
      </c>
      <c r="D109" s="3"/>
      <c r="E109" s="10" t="str">
        <f xml:space="preserve"> _xll.EPMOlapMemberO("[ACCOUNT].[H1].[T_BAD_DEBT]","","T_BAD_DEBT - Tenant Bad Debt Expense","","000")</f>
        <v>T_BAD_DEBT - Tenant Bad Debt Expense</v>
      </c>
      <c r="F109">
        <v>6665.58</v>
      </c>
      <c r="G109">
        <v>10680.11</v>
      </c>
      <c r="H109">
        <v>11346.77</v>
      </c>
      <c r="I109">
        <v>-12175.13</v>
      </c>
      <c r="J109">
        <v>-3446.21</v>
      </c>
      <c r="K109">
        <v>11299.14</v>
      </c>
      <c r="L109">
        <v>15536.15</v>
      </c>
      <c r="M109">
        <v>1421.67</v>
      </c>
    </row>
    <row r="110" spans="1:13" x14ac:dyDescent="0.55000000000000004">
      <c r="A110" s="19" t="str">
        <f>_xll.EVPRO("Finance",$C110,"Inv_Type")</f>
        <v>Inv_Equity</v>
      </c>
      <c r="B110" s="19" t="str">
        <f t="shared" si="2"/>
        <v>Beachside Nursing Center</v>
      </c>
      <c r="C110" s="19" t="str">
        <f t="shared" si="3"/>
        <v>S04627 - Beachside Nursing Center</v>
      </c>
      <c r="D110" s="3"/>
      <c r="E110" s="3" t="str">
        <f xml:space="preserve"> _xll.EPMOlapMemberO("[ACCOUNT].[H1].[T_EBITDARM]","","T_EBITDARM - EBITDARM","","000")</f>
        <v>T_EBITDARM - EBITDARM</v>
      </c>
      <c r="F110">
        <v>298436.8</v>
      </c>
      <c r="G110">
        <v>108505.2</v>
      </c>
      <c r="H110">
        <v>233398.33</v>
      </c>
      <c r="I110">
        <v>156368.67000000001</v>
      </c>
      <c r="J110">
        <v>192590.72</v>
      </c>
      <c r="K110">
        <v>107163.57</v>
      </c>
      <c r="L110">
        <v>252460.98</v>
      </c>
      <c r="M110">
        <v>222439.4</v>
      </c>
    </row>
    <row r="111" spans="1:13" x14ac:dyDescent="0.55000000000000004">
      <c r="A111" s="19" t="str">
        <f>_xll.EVPRO("Finance",$C111,"Inv_Type")</f>
        <v>Inv_Equity</v>
      </c>
      <c r="B111" s="19" t="str">
        <f t="shared" si="2"/>
        <v>Beachside Nursing Center</v>
      </c>
      <c r="C111" s="19" t="str">
        <f t="shared" si="3"/>
        <v>S04627 - Beachside Nursing Center</v>
      </c>
      <c r="D111" s="3"/>
      <c r="E111" s="3" t="str">
        <f xml:space="preserve"> _xll.EPMOlapMemberO("[ACCOUNT].[H1].[T_MGMT_FEE]","","T_MGMT_FEE - Tenant Management Fee - Actual","","000")</f>
        <v>T_MGMT_FEE - Tenant Management Fee - Actual</v>
      </c>
      <c r="F111">
        <v>37048</v>
      </c>
      <c r="G111">
        <v>41960</v>
      </c>
      <c r="H111">
        <v>36919</v>
      </c>
      <c r="I111">
        <v>43945</v>
      </c>
      <c r="J111">
        <v>40045</v>
      </c>
      <c r="K111">
        <v>41827</v>
      </c>
      <c r="L111">
        <v>36698</v>
      </c>
      <c r="M111">
        <v>42213</v>
      </c>
    </row>
    <row r="112" spans="1:13" x14ac:dyDescent="0.55000000000000004">
      <c r="A112" s="19" t="str">
        <f>_xll.EVPRO("Finance",$C112,"Inv_Type")</f>
        <v>Inv_Equity</v>
      </c>
      <c r="B112" s="19" t="str">
        <f t="shared" si="2"/>
        <v>Beachside Nursing Center</v>
      </c>
      <c r="C112" s="19" t="str">
        <f t="shared" si="3"/>
        <v>S04627 - Beachside Nursing Center</v>
      </c>
      <c r="D112" s="3"/>
      <c r="E112" s="2" t="str">
        <f xml:space="preserve"> _xll.EPMOlapMemberO("[ACCOUNT].[H1].[T_EBITDAR]","","T_EBITDAR - EBITDAR","","000")</f>
        <v>T_EBITDAR - EBITDAR</v>
      </c>
      <c r="F112">
        <v>261388.79999999999</v>
      </c>
      <c r="G112">
        <v>66545.200000000099</v>
      </c>
      <c r="H112">
        <v>196479.33</v>
      </c>
      <c r="I112">
        <v>112423.67</v>
      </c>
      <c r="J112">
        <v>152545.72</v>
      </c>
      <c r="K112">
        <v>65336.570000000102</v>
      </c>
      <c r="L112">
        <v>215762.98</v>
      </c>
      <c r="M112">
        <v>180226.4</v>
      </c>
    </row>
    <row r="113" spans="1:13" x14ac:dyDescent="0.55000000000000004">
      <c r="A113" s="19" t="str">
        <f>_xll.EVPRO("Finance",$C113,"Inv_Type")</f>
        <v>Inv_Equity</v>
      </c>
      <c r="B113" s="19" t="str">
        <f t="shared" si="2"/>
        <v>Beachside Nursing Center</v>
      </c>
      <c r="C113" s="19" t="str">
        <f t="shared" si="3"/>
        <v>S04627 - Beachside Nursing Center</v>
      </c>
      <c r="D113" s="3"/>
      <c r="E113" s="2" t="str">
        <f xml:space="preserve"> _xll.EPMOlapMemberO("[ACCOUNT].[H1].[T_COVERAGE_RENT]","","T_COVERAGE_RENT - Coverage Rent","","000")</f>
        <v>T_COVERAGE_RENT - Coverage Rent</v>
      </c>
      <c r="F113">
        <v>88405.85</v>
      </c>
      <c r="G113">
        <v>88405.85</v>
      </c>
      <c r="H113">
        <v>88405.85</v>
      </c>
      <c r="I113">
        <v>88405.85</v>
      </c>
      <c r="J113">
        <v>88405.85</v>
      </c>
      <c r="K113">
        <v>88405.85</v>
      </c>
      <c r="L113">
        <v>88405.85</v>
      </c>
      <c r="M113">
        <v>88405.85</v>
      </c>
    </row>
    <row r="114" spans="1:13" x14ac:dyDescent="0.55000000000000004">
      <c r="A114" s="19" t="str">
        <f>_xll.EVPRO("Finance",$C114,"Inv_Type")</f>
        <v>Inv_Equity</v>
      </c>
      <c r="B114" s="19" t="str">
        <f t="shared" si="2"/>
        <v>Beachside Nursing Center</v>
      </c>
      <c r="C114" s="19" t="str">
        <f t="shared" si="3"/>
        <v>S04627 - Beachside Nursing Center</v>
      </c>
      <c r="D114" s="3"/>
      <c r="E114" s="2" t="str">
        <f xml:space="preserve"> _xll.EPMOlapMemberO("[ACCOUNT].[H1].[T_RENT_EXP]","","T_RENT_EXP - Tenant Rent Expense","","000")</f>
        <v>T_RENT_EXP - Tenant Rent Expense</v>
      </c>
      <c r="F114">
        <v>88647.75</v>
      </c>
      <c r="G114">
        <v>88647.75</v>
      </c>
      <c r="H114">
        <v>88647.75</v>
      </c>
      <c r="I114">
        <v>88647.75</v>
      </c>
      <c r="J114">
        <v>88647.75</v>
      </c>
      <c r="K114">
        <v>88647.75</v>
      </c>
      <c r="L114">
        <v>88163.95</v>
      </c>
      <c r="M114">
        <v>88405.85</v>
      </c>
    </row>
    <row r="115" spans="1:13" x14ac:dyDescent="0.55000000000000004">
      <c r="A115" s="19" t="str">
        <f>_xll.EVPRO("Finance",$C115,"Inv_Type")</f>
        <v>Inv_Equity</v>
      </c>
      <c r="B115" s="19" t="str">
        <f t="shared" si="2"/>
        <v>Chatsworth Park Health Care</v>
      </c>
      <c r="C115" s="19" t="str">
        <f t="shared" si="3"/>
        <v>S04629 - Chatsworth Park Health Care</v>
      </c>
      <c r="D115" s="3" t="str">
        <f xml:space="preserve"> _xll.EPMOlapMemberO("[ENTITY].[H1].[S04629]","","S04629 - Chatsworth Park Health Care","","000")</f>
        <v>S04629 - Chatsworth Park Health Care</v>
      </c>
      <c r="E115" s="45" t="str">
        <f xml:space="preserve"> _xll.EPMOlapMemberO("[ACCOUNT].[H1].[PAY_PAT_DAYS]","","PAY_PAT_DAYS - Total Payor Patient Days","","000")</f>
        <v>PAY_PAT_DAYS - Total Payor Patient Days</v>
      </c>
      <c r="F115">
        <v>2366</v>
      </c>
      <c r="G115">
        <v>2270</v>
      </c>
      <c r="H115">
        <v>2761</v>
      </c>
      <c r="I115">
        <v>2674</v>
      </c>
      <c r="J115">
        <v>2864</v>
      </c>
      <c r="K115">
        <v>3028</v>
      </c>
      <c r="L115">
        <v>3385</v>
      </c>
      <c r="M115">
        <v>3091</v>
      </c>
    </row>
    <row r="116" spans="1:13" x14ac:dyDescent="0.55000000000000004">
      <c r="A116" s="19" t="str">
        <f>_xll.EVPRO("Finance",$C116,"Inv_Type")</f>
        <v>Inv_Equity</v>
      </c>
      <c r="B116" s="19" t="str">
        <f t="shared" si="2"/>
        <v>Chatsworth Park Health Care</v>
      </c>
      <c r="C116" s="19" t="str">
        <f t="shared" si="3"/>
        <v>S04629 - Chatsworth Park Health Care</v>
      </c>
      <c r="D116" s="3"/>
      <c r="E116" s="2" t="str">
        <f xml:space="preserve"> _xll.EPMOlapMemberO("[ACCOUNT].[H1].[A_BEDS_TOTAL]","","A_BEDS_TOTAL - Total Available Beds","","000")</f>
        <v>A_BEDS_TOTAL - Total Available Beds</v>
      </c>
      <c r="F116">
        <v>128</v>
      </c>
      <c r="G116">
        <v>128</v>
      </c>
      <c r="H116">
        <v>128</v>
      </c>
      <c r="I116">
        <v>128</v>
      </c>
      <c r="J116">
        <v>128</v>
      </c>
      <c r="K116">
        <v>128</v>
      </c>
      <c r="L116">
        <v>128</v>
      </c>
      <c r="M116">
        <v>128</v>
      </c>
    </row>
    <row r="117" spans="1:13" x14ac:dyDescent="0.55000000000000004">
      <c r="A117" s="19" t="str">
        <f>_xll.EVPRO("Finance",$C117,"Inv_Type")</f>
        <v>Inv_Equity</v>
      </c>
      <c r="B117" s="19" t="str">
        <f t="shared" si="2"/>
        <v>Chatsworth Park Health Care</v>
      </c>
      <c r="C117" s="19" t="str">
        <f t="shared" si="3"/>
        <v>S04629 - Chatsworth Park Health Care</v>
      </c>
      <c r="D117" s="3"/>
      <c r="E117" s="9" t="str">
        <f xml:space="preserve"> _xll.EPMOlapMemberO("[ACCOUNT].[H1].[T_REVENUES]","","T_REVENUES - Total Tenant Revenues","","000")</f>
        <v>T_REVENUES - Total Tenant Revenues</v>
      </c>
      <c r="F117">
        <v>925019.6</v>
      </c>
      <c r="G117">
        <v>926728.17</v>
      </c>
      <c r="H117">
        <v>1197759.75</v>
      </c>
      <c r="I117">
        <v>1062794.08</v>
      </c>
      <c r="J117">
        <v>1159546.8999999999</v>
      </c>
      <c r="K117">
        <v>1293413.3999999999</v>
      </c>
      <c r="L117">
        <v>1442963.41</v>
      </c>
      <c r="M117">
        <v>1312678.83</v>
      </c>
    </row>
    <row r="118" spans="1:13" x14ac:dyDescent="0.55000000000000004">
      <c r="A118" s="19" t="str">
        <f>_xll.EVPRO("Finance",$C118,"Inv_Type")</f>
        <v>Inv_Equity</v>
      </c>
      <c r="B118" s="19" t="str">
        <f t="shared" si="2"/>
        <v>Chatsworth Park Health Care</v>
      </c>
      <c r="C118" s="19" t="str">
        <f t="shared" si="3"/>
        <v>S04629 - Chatsworth Park Health Care</v>
      </c>
      <c r="D118" s="3"/>
      <c r="E118" s="9" t="str">
        <f xml:space="preserve"> _xll.EPMOlapMemberO("[ACCOUNT].[H1].[T_OPEX]","","T_OPEX - Tenant Operating Expenses","","000")</f>
        <v>T_OPEX - Tenant Operating Expenses</v>
      </c>
      <c r="F118">
        <v>884905.63</v>
      </c>
      <c r="G118">
        <v>851460.31</v>
      </c>
      <c r="H118">
        <v>941603.09</v>
      </c>
      <c r="I118">
        <v>926376.21</v>
      </c>
      <c r="J118">
        <v>894760.25</v>
      </c>
      <c r="K118">
        <v>1035109.36</v>
      </c>
      <c r="L118">
        <v>1107627.55</v>
      </c>
      <c r="M118">
        <v>1063621.9099999999</v>
      </c>
    </row>
    <row r="119" spans="1:13" x14ac:dyDescent="0.55000000000000004">
      <c r="A119" s="19" t="str">
        <f>_xll.EVPRO("Finance",$C119,"Inv_Type")</f>
        <v>Inv_Equity</v>
      </c>
      <c r="B119" s="19" t="str">
        <f t="shared" si="2"/>
        <v>Chatsworth Park Health Care</v>
      </c>
      <c r="C119" s="19" t="str">
        <f t="shared" si="3"/>
        <v>S04629 - Chatsworth Park Health Care</v>
      </c>
      <c r="D119" s="3"/>
      <c r="E119" s="2" t="str">
        <f xml:space="preserve"> _xll.EPMOlapMemberO("[ACCOUNT].[H1].[T_NON_OP_EXP]","","T_NON_OP_EXP - Tenant Non-Operating Expense","","000")</f>
        <v>T_NON_OP_EXP - Tenant Non-Operating Expense</v>
      </c>
      <c r="F119">
        <v>13243.6</v>
      </c>
      <c r="G119">
        <v>8436.06</v>
      </c>
      <c r="H119">
        <v>16041.55</v>
      </c>
      <c r="I119">
        <v>21248.1</v>
      </c>
      <c r="J119">
        <v>102553.52</v>
      </c>
      <c r="K119">
        <v>107965.18</v>
      </c>
      <c r="L119">
        <v>82873.27</v>
      </c>
      <c r="M119">
        <v>101783.07</v>
      </c>
    </row>
    <row r="120" spans="1:13" x14ac:dyDescent="0.55000000000000004">
      <c r="A120" s="19" t="str">
        <f>_xll.EVPRO("Finance",$C120,"Inv_Type")</f>
        <v>Inv_Equity</v>
      </c>
      <c r="B120" s="19" t="str">
        <f t="shared" si="2"/>
        <v>Chatsworth Park Health Care</v>
      </c>
      <c r="C120" s="19" t="str">
        <f t="shared" si="3"/>
        <v>S04629 - Chatsworth Park Health Care</v>
      </c>
      <c r="D120" s="3"/>
      <c r="E120" s="10" t="str">
        <f xml:space="preserve"> _xll.EPMOlapMemberO("[ACCOUNT].[H1].[T_BAD_DEBT]","","T_BAD_DEBT - Tenant Bad Debt Expense","","000")</f>
        <v>T_BAD_DEBT - Tenant Bad Debt Expense</v>
      </c>
      <c r="F120">
        <v>53138.55</v>
      </c>
      <c r="G120">
        <v>36236.53</v>
      </c>
      <c r="H120">
        <v>30076.77</v>
      </c>
      <c r="I120">
        <v>-7581.61</v>
      </c>
      <c r="J120">
        <v>-24231.14</v>
      </c>
      <c r="K120">
        <v>24164.83</v>
      </c>
      <c r="L120">
        <v>4988.8500000000004</v>
      </c>
      <c r="M120">
        <v>41897.81</v>
      </c>
    </row>
    <row r="121" spans="1:13" x14ac:dyDescent="0.55000000000000004">
      <c r="A121" s="19" t="str">
        <f>_xll.EVPRO("Finance",$C121,"Inv_Type")</f>
        <v>Inv_Equity</v>
      </c>
      <c r="B121" s="19" t="str">
        <f t="shared" si="2"/>
        <v>Chatsworth Park Health Care</v>
      </c>
      <c r="C121" s="19" t="str">
        <f t="shared" si="3"/>
        <v>S04629 - Chatsworth Park Health Care</v>
      </c>
      <c r="D121" s="3"/>
      <c r="E121" s="3" t="str">
        <f xml:space="preserve"> _xll.EPMOlapMemberO("[ACCOUNT].[H1].[T_EBITDARM]","","T_EBITDARM - EBITDARM","","000")</f>
        <v>T_EBITDARM - EBITDARM</v>
      </c>
      <c r="F121">
        <v>40113.97</v>
      </c>
      <c r="G121">
        <v>75267.860000000102</v>
      </c>
      <c r="H121">
        <v>256156.66</v>
      </c>
      <c r="I121">
        <v>136417.87</v>
      </c>
      <c r="J121">
        <v>264786.65000000002</v>
      </c>
      <c r="K121">
        <v>258304.04</v>
      </c>
      <c r="L121">
        <v>335335.86</v>
      </c>
      <c r="M121">
        <v>249056.92</v>
      </c>
    </row>
    <row r="122" spans="1:13" x14ac:dyDescent="0.55000000000000004">
      <c r="A122" s="19" t="str">
        <f>_xll.EVPRO("Finance",$C122,"Inv_Type")</f>
        <v>Inv_Equity</v>
      </c>
      <c r="B122" s="19" t="str">
        <f t="shared" si="2"/>
        <v>Chatsworth Park Health Care</v>
      </c>
      <c r="C122" s="19" t="str">
        <f t="shared" si="3"/>
        <v>S04629 - Chatsworth Park Health Care</v>
      </c>
      <c r="D122" s="3"/>
      <c r="E122" s="3" t="str">
        <f xml:space="preserve"> _xll.EPMOlapMemberO("[ACCOUNT].[H1].[T_MGMT_FEE]","","T_MGMT_FEE - Tenant Management Fee - Actual","","000")</f>
        <v>T_MGMT_FEE - Tenant Management Fee - Actual</v>
      </c>
      <c r="F122">
        <v>36485</v>
      </c>
      <c r="G122">
        <v>46250</v>
      </c>
      <c r="H122">
        <v>46336</v>
      </c>
      <c r="I122">
        <v>59887</v>
      </c>
      <c r="J122">
        <v>53139</v>
      </c>
      <c r="K122">
        <v>57977</v>
      </c>
      <c r="L122">
        <v>64670</v>
      </c>
      <c r="M122">
        <v>72148</v>
      </c>
    </row>
    <row r="123" spans="1:13" x14ac:dyDescent="0.55000000000000004">
      <c r="A123" s="19" t="str">
        <f>_xll.EVPRO("Finance",$C123,"Inv_Type")</f>
        <v>Inv_Equity</v>
      </c>
      <c r="B123" s="19" t="str">
        <f t="shared" si="2"/>
        <v>Chatsworth Park Health Care</v>
      </c>
      <c r="C123" s="19" t="str">
        <f t="shared" si="3"/>
        <v>S04629 - Chatsworth Park Health Care</v>
      </c>
      <c r="D123" s="3"/>
      <c r="E123" s="2" t="str">
        <f xml:space="preserve"> _xll.EPMOlapMemberO("[ACCOUNT].[H1].[T_EBITDAR]","","T_EBITDAR - EBITDAR","","000")</f>
        <v>T_EBITDAR - EBITDAR</v>
      </c>
      <c r="F123">
        <v>3628.9699999999698</v>
      </c>
      <c r="G123">
        <v>29017.860000000099</v>
      </c>
      <c r="H123">
        <v>209820.66</v>
      </c>
      <c r="I123">
        <v>76530.87</v>
      </c>
      <c r="J123">
        <v>211647.65</v>
      </c>
      <c r="K123">
        <v>200327.04000000001</v>
      </c>
      <c r="L123">
        <v>270665.86</v>
      </c>
      <c r="M123">
        <v>176908.92</v>
      </c>
    </row>
    <row r="124" spans="1:13" x14ac:dyDescent="0.55000000000000004">
      <c r="A124" s="19" t="str">
        <f>_xll.EVPRO("Finance",$C124,"Inv_Type")</f>
        <v>Inv_Equity</v>
      </c>
      <c r="B124" s="19" t="str">
        <f t="shared" si="2"/>
        <v>Chatsworth Park Health Care</v>
      </c>
      <c r="C124" s="19" t="str">
        <f t="shared" si="3"/>
        <v>S04629 - Chatsworth Park Health Care</v>
      </c>
      <c r="D124" s="3"/>
      <c r="E124" s="2" t="str">
        <f xml:space="preserve"> _xll.EPMOlapMemberO("[ACCOUNT].[H1].[T_COVERAGE_RENT]","","T_COVERAGE_RENT - Coverage Rent","","000")</f>
        <v>T_COVERAGE_RENT - Coverage Rent</v>
      </c>
      <c r="F124">
        <v>179469.53</v>
      </c>
      <c r="G124">
        <v>179469.53</v>
      </c>
      <c r="H124">
        <v>179469.53</v>
      </c>
      <c r="I124">
        <v>179469.53</v>
      </c>
      <c r="J124">
        <v>179469.53</v>
      </c>
      <c r="K124">
        <v>179469.53</v>
      </c>
      <c r="L124">
        <v>179469.53</v>
      </c>
      <c r="M124">
        <v>179469.53</v>
      </c>
    </row>
    <row r="125" spans="1:13" x14ac:dyDescent="0.55000000000000004">
      <c r="A125" s="19" t="str">
        <f>_xll.EVPRO("Finance",$C125,"Inv_Type")</f>
        <v>Inv_Equity</v>
      </c>
      <c r="B125" s="19" t="str">
        <f t="shared" si="2"/>
        <v>Chatsworth Park Health Care</v>
      </c>
      <c r="C125" s="19" t="str">
        <f t="shared" si="3"/>
        <v>S04629 - Chatsworth Park Health Care</v>
      </c>
      <c r="D125" s="3"/>
      <c r="E125" s="2" t="str">
        <f xml:space="preserve"> _xll.EPMOlapMemberO("[ACCOUNT].[H1].[T_RENT_EXP]","","T_RENT_EXP - Tenant Rent Expense","","000")</f>
        <v>T_RENT_EXP - Tenant Rent Expense</v>
      </c>
      <c r="F125">
        <v>179469.53</v>
      </c>
      <c r="G125">
        <v>179469.53</v>
      </c>
      <c r="H125">
        <v>179469.53</v>
      </c>
      <c r="I125">
        <v>179469.53</v>
      </c>
      <c r="J125">
        <v>179469.53</v>
      </c>
      <c r="K125">
        <v>179469.53</v>
      </c>
      <c r="L125">
        <v>179469.53</v>
      </c>
      <c r="M125">
        <v>179469.53</v>
      </c>
    </row>
    <row r="126" spans="1:13" x14ac:dyDescent="0.55000000000000004">
      <c r="A126" s="19" t="str">
        <f>_xll.EVPRO("Finance",$C126,"Inv_Type")</f>
        <v>Inv_Equity</v>
      </c>
      <c r="B126" s="19" t="str">
        <f t="shared" si="2"/>
        <v>Cottonwood Post-Acute Rehab</v>
      </c>
      <c r="C126" s="19" t="str">
        <f t="shared" si="3"/>
        <v>S04631 - Cottonwood Post-Acute Rehab</v>
      </c>
      <c r="D126" s="3" t="str">
        <f xml:space="preserve"> _xll.EPMOlapMemberO("[ENTITY].[H1].[S04631]","","S04631 - Cottonwood Post-Acute Rehab","","000")</f>
        <v>S04631 - Cottonwood Post-Acute Rehab</v>
      </c>
      <c r="E126" s="45" t="str">
        <f xml:space="preserve"> _xll.EPMOlapMemberO("[ACCOUNT].[H1].[PAY_PAT_DAYS]","","PAY_PAT_DAYS - Total Payor Patient Days","","000")</f>
        <v>PAY_PAT_DAYS - Total Payor Patient Days</v>
      </c>
      <c r="F126">
        <v>2393</v>
      </c>
      <c r="G126">
        <v>2113</v>
      </c>
      <c r="H126">
        <v>2313</v>
      </c>
      <c r="I126">
        <v>2340</v>
      </c>
      <c r="J126">
        <v>2635</v>
      </c>
      <c r="K126">
        <v>2450</v>
      </c>
      <c r="L126">
        <v>2460</v>
      </c>
      <c r="M126">
        <v>2238</v>
      </c>
    </row>
    <row r="127" spans="1:13" x14ac:dyDescent="0.55000000000000004">
      <c r="A127" s="19" t="str">
        <f>_xll.EVPRO("Finance",$C127,"Inv_Type")</f>
        <v>Inv_Equity</v>
      </c>
      <c r="B127" s="19" t="str">
        <f t="shared" si="2"/>
        <v>Cottonwood Post-Acute Rehab</v>
      </c>
      <c r="C127" s="19" t="str">
        <f t="shared" si="3"/>
        <v>S04631 - Cottonwood Post-Acute Rehab</v>
      </c>
      <c r="D127" s="3"/>
      <c r="E127" s="2" t="str">
        <f xml:space="preserve"> _xll.EPMOlapMemberO("[ACCOUNT].[H1].[A_BEDS_TOTAL]","","A_BEDS_TOTAL - Total Available Beds","","000")</f>
        <v>A_BEDS_TOTAL - Total Available Beds</v>
      </c>
      <c r="F127">
        <v>98</v>
      </c>
      <c r="G127">
        <v>98</v>
      </c>
      <c r="H127">
        <v>98</v>
      </c>
      <c r="I127">
        <v>98</v>
      </c>
      <c r="J127">
        <v>98</v>
      </c>
      <c r="K127">
        <v>98</v>
      </c>
      <c r="L127">
        <v>98</v>
      </c>
      <c r="M127">
        <v>98</v>
      </c>
    </row>
    <row r="128" spans="1:13" x14ac:dyDescent="0.55000000000000004">
      <c r="A128" s="19" t="str">
        <f>_xll.EVPRO("Finance",$C128,"Inv_Type")</f>
        <v>Inv_Equity</v>
      </c>
      <c r="B128" s="19" t="str">
        <f t="shared" si="2"/>
        <v>Cottonwood Post-Acute Rehab</v>
      </c>
      <c r="C128" s="19" t="str">
        <f t="shared" si="3"/>
        <v>S04631 - Cottonwood Post-Acute Rehab</v>
      </c>
      <c r="D128" s="3"/>
      <c r="E128" s="9" t="str">
        <f xml:space="preserve"> _xll.EPMOlapMemberO("[ACCOUNT].[H1].[T_REVENUES]","","T_REVENUES - Total Tenant Revenues","","000")</f>
        <v>T_REVENUES - Total Tenant Revenues</v>
      </c>
      <c r="F128">
        <v>1022427.06</v>
      </c>
      <c r="G128">
        <v>779327.93</v>
      </c>
      <c r="H128">
        <v>975503.84</v>
      </c>
      <c r="I128">
        <v>929831.7</v>
      </c>
      <c r="J128">
        <v>1077877.75</v>
      </c>
      <c r="K128">
        <v>1045043.31</v>
      </c>
      <c r="L128">
        <v>1227329.47</v>
      </c>
      <c r="M128">
        <v>1106968.25</v>
      </c>
    </row>
    <row r="129" spans="1:13" x14ac:dyDescent="0.55000000000000004">
      <c r="A129" s="19" t="str">
        <f>_xll.EVPRO("Finance",$C129,"Inv_Type")</f>
        <v>Inv_Equity</v>
      </c>
      <c r="B129" s="19" t="str">
        <f t="shared" si="2"/>
        <v>Cottonwood Post-Acute Rehab</v>
      </c>
      <c r="C129" s="19" t="str">
        <f t="shared" si="3"/>
        <v>S04631 - Cottonwood Post-Acute Rehab</v>
      </c>
      <c r="D129" s="3"/>
      <c r="E129" s="9" t="str">
        <f xml:space="preserve"> _xll.EPMOlapMemberO("[ACCOUNT].[H1].[T_OPEX]","","T_OPEX - Tenant Operating Expenses","","000")</f>
        <v>T_OPEX - Tenant Operating Expenses</v>
      </c>
      <c r="F129">
        <v>836785.81</v>
      </c>
      <c r="G129">
        <v>764959.89</v>
      </c>
      <c r="H129">
        <v>821207.55</v>
      </c>
      <c r="I129">
        <v>802252.56</v>
      </c>
      <c r="J129">
        <v>756342.73</v>
      </c>
      <c r="K129">
        <v>865664.43</v>
      </c>
      <c r="L129">
        <v>856995.99</v>
      </c>
      <c r="M129">
        <v>963212.72</v>
      </c>
    </row>
    <row r="130" spans="1:13" x14ac:dyDescent="0.55000000000000004">
      <c r="A130" s="19" t="str">
        <f>_xll.EVPRO("Finance",$C130,"Inv_Type")</f>
        <v>Inv_Equity</v>
      </c>
      <c r="B130" s="19" t="str">
        <f t="shared" si="2"/>
        <v>Cottonwood Post-Acute Rehab</v>
      </c>
      <c r="C130" s="19" t="str">
        <f t="shared" si="3"/>
        <v>S04631 - Cottonwood Post-Acute Rehab</v>
      </c>
      <c r="D130" s="3"/>
      <c r="E130" s="2" t="str">
        <f xml:space="preserve"> _xll.EPMOlapMemberO("[ACCOUNT].[H1].[T_NON_OP_EXP]","","T_NON_OP_EXP - Tenant Non-Operating Expense","","000")</f>
        <v>T_NON_OP_EXP - Tenant Non-Operating Expense</v>
      </c>
      <c r="F130">
        <v>6265.46</v>
      </c>
      <c r="G130">
        <v>5353.46</v>
      </c>
      <c r="H130">
        <v>6282.12</v>
      </c>
      <c r="I130">
        <v>5826.12</v>
      </c>
      <c r="J130">
        <v>33215.61</v>
      </c>
      <c r="K130">
        <v>33215.61</v>
      </c>
      <c r="L130">
        <v>33215.61</v>
      </c>
      <c r="M130">
        <v>34551.61</v>
      </c>
    </row>
    <row r="131" spans="1:13" x14ac:dyDescent="0.55000000000000004">
      <c r="A131" s="19" t="str">
        <f>_xll.EVPRO("Finance",$C131,"Inv_Type")</f>
        <v>Inv_Equity</v>
      </c>
      <c r="B131" s="19" t="str">
        <f t="shared" si="2"/>
        <v>Cottonwood Post-Acute Rehab</v>
      </c>
      <c r="C131" s="19" t="str">
        <f t="shared" si="3"/>
        <v>S04631 - Cottonwood Post-Acute Rehab</v>
      </c>
      <c r="D131" s="3"/>
      <c r="E131" s="10" t="str">
        <f xml:space="preserve"> _xll.EPMOlapMemberO("[ACCOUNT].[H1].[T_BAD_DEBT]","","T_BAD_DEBT - Tenant Bad Debt Expense","","000")</f>
        <v>T_BAD_DEBT - Tenant Bad Debt Expense</v>
      </c>
      <c r="F131">
        <v>-12058.37</v>
      </c>
      <c r="G131">
        <v>-28106.13</v>
      </c>
      <c r="H131">
        <v>19346.22</v>
      </c>
      <c r="I131">
        <v>38940.68</v>
      </c>
      <c r="J131">
        <v>-19946.310000000001</v>
      </c>
      <c r="K131">
        <v>2580.2399999999998</v>
      </c>
      <c r="L131">
        <v>-41063.980000000003</v>
      </c>
      <c r="M131">
        <v>18875.599999999999</v>
      </c>
    </row>
    <row r="132" spans="1:13" x14ac:dyDescent="0.55000000000000004">
      <c r="A132" s="19" t="str">
        <f>_xll.EVPRO("Finance",$C132,"Inv_Type")</f>
        <v>Inv_Equity</v>
      </c>
      <c r="B132" s="19" t="str">
        <f t="shared" si="2"/>
        <v>Cottonwood Post-Acute Rehab</v>
      </c>
      <c r="C132" s="19" t="str">
        <f t="shared" si="3"/>
        <v>S04631 - Cottonwood Post-Acute Rehab</v>
      </c>
      <c r="D132" s="3"/>
      <c r="E132" s="3" t="str">
        <f xml:space="preserve"> _xll.EPMOlapMemberO("[ACCOUNT].[H1].[T_EBITDARM]","","T_EBITDARM - EBITDARM","","000")</f>
        <v>T_EBITDARM - EBITDARM</v>
      </c>
      <c r="F132">
        <v>185641.25</v>
      </c>
      <c r="G132">
        <v>14368.04</v>
      </c>
      <c r="H132">
        <v>154296.29</v>
      </c>
      <c r="I132">
        <v>127579.14</v>
      </c>
      <c r="J132">
        <v>321535.02</v>
      </c>
      <c r="K132">
        <v>179378.88</v>
      </c>
      <c r="L132">
        <v>370333.48</v>
      </c>
      <c r="M132">
        <v>143755.53</v>
      </c>
    </row>
    <row r="133" spans="1:13" x14ac:dyDescent="0.55000000000000004">
      <c r="A133" s="19" t="str">
        <f>_xll.EVPRO("Finance",$C133,"Inv_Type")</f>
        <v>Inv_Equity</v>
      </c>
      <c r="B133" s="19" t="str">
        <f t="shared" si="2"/>
        <v>Cottonwood Post-Acute Rehab</v>
      </c>
      <c r="C133" s="19" t="str">
        <f t="shared" si="3"/>
        <v>S04631 - Cottonwood Post-Acute Rehab</v>
      </c>
      <c r="D133" s="3"/>
      <c r="E133" s="3" t="str">
        <f xml:space="preserve"> _xll.EPMOlapMemberO("[ACCOUNT].[H1].[T_MGMT_FEE]","","T_MGMT_FEE - Tenant Management Fee - Actual","","000")</f>
        <v>T_MGMT_FEE - Tenant Management Fee - Actual</v>
      </c>
      <c r="F133">
        <v>44739</v>
      </c>
      <c r="G133">
        <v>49768</v>
      </c>
      <c r="H133">
        <v>38966</v>
      </c>
      <c r="I133">
        <v>48775</v>
      </c>
      <c r="J133">
        <v>46491</v>
      </c>
      <c r="K133">
        <v>55246</v>
      </c>
      <c r="L133">
        <v>52252</v>
      </c>
      <c r="M133">
        <v>61366</v>
      </c>
    </row>
    <row r="134" spans="1:13" x14ac:dyDescent="0.55000000000000004">
      <c r="A134" s="19" t="str">
        <f>_xll.EVPRO("Finance",$C134,"Inv_Type")</f>
        <v>Inv_Equity</v>
      </c>
      <c r="B134" s="19" t="str">
        <f t="shared" ref="B134:B197" si="4">MID($C134,FIND("- ",$C134)+2,10000)</f>
        <v>Cottonwood Post-Acute Rehab</v>
      </c>
      <c r="C134" s="19" t="str">
        <f t="shared" ref="C134:C197" si="5">IF(D134&lt;&gt;"",D134,C133)</f>
        <v>S04631 - Cottonwood Post-Acute Rehab</v>
      </c>
      <c r="D134" s="3"/>
      <c r="E134" s="2" t="str">
        <f xml:space="preserve"> _xll.EPMOlapMemberO("[ACCOUNT].[H1].[T_EBITDAR]","","T_EBITDAR - EBITDAR","","000")</f>
        <v>T_EBITDAR - EBITDAR</v>
      </c>
      <c r="F134">
        <v>140902.25</v>
      </c>
      <c r="G134">
        <v>-35399.96</v>
      </c>
      <c r="H134">
        <v>115330.29</v>
      </c>
      <c r="I134">
        <v>78804.14</v>
      </c>
      <c r="J134">
        <v>275044.02</v>
      </c>
      <c r="K134">
        <v>124132.88</v>
      </c>
      <c r="L134">
        <v>318081.48</v>
      </c>
      <c r="M134">
        <v>82389.53</v>
      </c>
    </row>
    <row r="135" spans="1:13" x14ac:dyDescent="0.55000000000000004">
      <c r="A135" s="19" t="str">
        <f>_xll.EVPRO("Finance",$C135,"Inv_Type")</f>
        <v>Inv_Equity</v>
      </c>
      <c r="B135" s="19" t="str">
        <f t="shared" si="4"/>
        <v>Cottonwood Post-Acute Rehab</v>
      </c>
      <c r="C135" s="19" t="str">
        <f t="shared" si="5"/>
        <v>S04631 - Cottonwood Post-Acute Rehab</v>
      </c>
      <c r="D135" s="3"/>
      <c r="E135" s="2" t="str">
        <f xml:space="preserve"> _xll.EPMOlapMemberO("[ACCOUNT].[H1].[T_COVERAGE_RENT]","","T_COVERAGE_RENT - Coverage Rent","","000")</f>
        <v>T_COVERAGE_RENT - Coverage Rent</v>
      </c>
      <c r="F135">
        <v>57056.76</v>
      </c>
      <c r="G135">
        <v>57056.76</v>
      </c>
      <c r="H135">
        <v>57056.76</v>
      </c>
      <c r="I135">
        <v>57056.76</v>
      </c>
      <c r="J135">
        <v>57056.76</v>
      </c>
      <c r="K135">
        <v>57056.76</v>
      </c>
      <c r="L135">
        <v>57056.76</v>
      </c>
      <c r="M135">
        <v>57056.76</v>
      </c>
    </row>
    <row r="136" spans="1:13" x14ac:dyDescent="0.55000000000000004">
      <c r="A136" s="19" t="str">
        <f>_xll.EVPRO("Finance",$C136,"Inv_Type")</f>
        <v>Inv_Equity</v>
      </c>
      <c r="B136" s="19" t="str">
        <f t="shared" si="4"/>
        <v>Cottonwood Post-Acute Rehab</v>
      </c>
      <c r="C136" s="19" t="str">
        <f t="shared" si="5"/>
        <v>S04631 - Cottonwood Post-Acute Rehab</v>
      </c>
      <c r="D136" s="3"/>
      <c r="E136" s="2" t="str">
        <f xml:space="preserve"> _xll.EPMOlapMemberO("[ACCOUNT].[H1].[T_RENT_EXP]","","T_RENT_EXP - Tenant Rent Expense","","000")</f>
        <v>T_RENT_EXP - Tenant Rent Expense</v>
      </c>
      <c r="F136">
        <v>57056.76</v>
      </c>
      <c r="G136">
        <v>57056.76</v>
      </c>
      <c r="H136">
        <v>57056.76</v>
      </c>
      <c r="I136">
        <v>57056.76</v>
      </c>
      <c r="J136">
        <v>57056.76</v>
      </c>
      <c r="K136">
        <v>57056.76</v>
      </c>
      <c r="L136">
        <v>57056.76</v>
      </c>
      <c r="M136">
        <v>57056.76</v>
      </c>
    </row>
    <row r="137" spans="1:13" x14ac:dyDescent="0.55000000000000004">
      <c r="A137" s="19" t="str">
        <f>_xll.EVPRO("Finance",$C137,"Inv_Type")</f>
        <v>Inv_Equity</v>
      </c>
      <c r="B137" s="19" t="str">
        <f t="shared" si="4"/>
        <v>Danville Post-Acute Rehab</v>
      </c>
      <c r="C137" s="19" t="str">
        <f t="shared" si="5"/>
        <v>S04633 - Danville Post-Acute Rehab</v>
      </c>
      <c r="D137" s="3" t="str">
        <f xml:space="preserve"> _xll.EPMOlapMemberO("[ENTITY].[H1].[S04633]","","S04633 - Danville Post-Acute Rehab","","000")</f>
        <v>S04633 - Danville Post-Acute Rehab</v>
      </c>
      <c r="E137" s="45" t="str">
        <f xml:space="preserve"> _xll.EPMOlapMemberO("[ACCOUNT].[H1].[PAY_PAT_DAYS]","","PAY_PAT_DAYS - Total Payor Patient Days","","000")</f>
        <v>PAY_PAT_DAYS - Total Payor Patient Days</v>
      </c>
      <c r="F137">
        <v>1316</v>
      </c>
      <c r="G137">
        <v>1214</v>
      </c>
      <c r="H137">
        <v>1324</v>
      </c>
      <c r="I137">
        <v>1414</v>
      </c>
      <c r="J137">
        <v>1399</v>
      </c>
      <c r="K137">
        <v>1324</v>
      </c>
      <c r="L137">
        <v>1381</v>
      </c>
      <c r="M137">
        <v>1451</v>
      </c>
    </row>
    <row r="138" spans="1:13" x14ac:dyDescent="0.55000000000000004">
      <c r="A138" s="19" t="str">
        <f>_xll.EVPRO("Finance",$C138,"Inv_Type")</f>
        <v>Inv_Equity</v>
      </c>
      <c r="B138" s="19" t="str">
        <f t="shared" si="4"/>
        <v>Danville Post-Acute Rehab</v>
      </c>
      <c r="C138" s="19" t="str">
        <f t="shared" si="5"/>
        <v>S04633 - Danville Post-Acute Rehab</v>
      </c>
      <c r="D138" s="3"/>
      <c r="E138" s="2" t="str">
        <f xml:space="preserve"> _xll.EPMOlapMemberO("[ACCOUNT].[H1].[A_BEDS_TOTAL]","","A_BEDS_TOTAL - Total Available Beds","","000")</f>
        <v>A_BEDS_TOTAL - Total Available Beds</v>
      </c>
      <c r="F138">
        <v>49</v>
      </c>
      <c r="G138">
        <v>49</v>
      </c>
      <c r="H138">
        <v>49</v>
      </c>
      <c r="I138">
        <v>49</v>
      </c>
      <c r="J138">
        <v>49</v>
      </c>
      <c r="K138">
        <v>49</v>
      </c>
      <c r="L138">
        <v>49</v>
      </c>
      <c r="M138">
        <v>49</v>
      </c>
    </row>
    <row r="139" spans="1:13" x14ac:dyDescent="0.55000000000000004">
      <c r="A139" s="19" t="str">
        <f>_xll.EVPRO("Finance",$C139,"Inv_Type")</f>
        <v>Inv_Equity</v>
      </c>
      <c r="B139" s="19" t="str">
        <f t="shared" si="4"/>
        <v>Danville Post-Acute Rehab</v>
      </c>
      <c r="C139" s="19" t="str">
        <f t="shared" si="5"/>
        <v>S04633 - Danville Post-Acute Rehab</v>
      </c>
      <c r="D139" s="3"/>
      <c r="E139" s="9" t="str">
        <f xml:space="preserve"> _xll.EPMOlapMemberO("[ACCOUNT].[H1].[T_REVENUES]","","T_REVENUES - Total Tenant Revenues","","000")</f>
        <v>T_REVENUES - Total Tenant Revenues</v>
      </c>
      <c r="F139">
        <v>918625.54</v>
      </c>
      <c r="G139">
        <v>845822.58</v>
      </c>
      <c r="H139">
        <v>865211.32</v>
      </c>
      <c r="I139">
        <v>905642.46</v>
      </c>
      <c r="J139">
        <v>863751.38</v>
      </c>
      <c r="K139">
        <v>810515.63</v>
      </c>
      <c r="L139">
        <v>802937.77</v>
      </c>
      <c r="M139">
        <v>936914.6</v>
      </c>
    </row>
    <row r="140" spans="1:13" x14ac:dyDescent="0.55000000000000004">
      <c r="A140" s="19" t="str">
        <f>_xll.EVPRO("Finance",$C140,"Inv_Type")</f>
        <v>Inv_Equity</v>
      </c>
      <c r="B140" s="19" t="str">
        <f t="shared" si="4"/>
        <v>Danville Post-Acute Rehab</v>
      </c>
      <c r="C140" s="19" t="str">
        <f t="shared" si="5"/>
        <v>S04633 - Danville Post-Acute Rehab</v>
      </c>
      <c r="D140" s="3"/>
      <c r="E140" s="9" t="str">
        <f xml:space="preserve"> _xll.EPMOlapMemberO("[ACCOUNT].[H1].[T_OPEX]","","T_OPEX - Tenant Operating Expenses","","000")</f>
        <v>T_OPEX - Tenant Operating Expenses</v>
      </c>
      <c r="F140">
        <v>537185.57999999996</v>
      </c>
      <c r="G140">
        <v>566376.61</v>
      </c>
      <c r="H140">
        <v>553552.98</v>
      </c>
      <c r="I140">
        <v>571102.24</v>
      </c>
      <c r="J140">
        <v>620386.31999999995</v>
      </c>
      <c r="K140">
        <v>521533.87</v>
      </c>
      <c r="L140">
        <v>499070.14</v>
      </c>
      <c r="M140">
        <v>545090.67000000004</v>
      </c>
    </row>
    <row r="141" spans="1:13" x14ac:dyDescent="0.55000000000000004">
      <c r="A141" s="19" t="str">
        <f>_xll.EVPRO("Finance",$C141,"Inv_Type")</f>
        <v>Inv_Equity</v>
      </c>
      <c r="B141" s="19" t="str">
        <f t="shared" si="4"/>
        <v>Danville Post-Acute Rehab</v>
      </c>
      <c r="C141" s="19" t="str">
        <f t="shared" si="5"/>
        <v>S04633 - Danville Post-Acute Rehab</v>
      </c>
      <c r="D141" s="3"/>
      <c r="E141" s="2" t="str">
        <f xml:space="preserve"> _xll.EPMOlapMemberO("[ACCOUNT].[H1].[T_NON_OP_EXP]","","T_NON_OP_EXP - Tenant Non-Operating Expense","","000")</f>
        <v>T_NON_OP_EXP - Tenant Non-Operating Expense</v>
      </c>
      <c r="F141">
        <v>11978.35</v>
      </c>
      <c r="G141">
        <v>11978.35</v>
      </c>
      <c r="H141">
        <v>12006.04</v>
      </c>
      <c r="I141">
        <v>12006.04</v>
      </c>
      <c r="J141">
        <v>12006.04</v>
      </c>
      <c r="K141">
        <v>12006.04</v>
      </c>
      <c r="L141">
        <v>12006.04</v>
      </c>
      <c r="M141">
        <v>26691.26</v>
      </c>
    </row>
    <row r="142" spans="1:13" x14ac:dyDescent="0.55000000000000004">
      <c r="A142" s="19" t="str">
        <f>_xll.EVPRO("Finance",$C142,"Inv_Type")</f>
        <v>Inv_Equity</v>
      </c>
      <c r="B142" s="19" t="str">
        <f t="shared" si="4"/>
        <v>Danville Post-Acute Rehab</v>
      </c>
      <c r="C142" s="19" t="str">
        <f t="shared" si="5"/>
        <v>S04633 - Danville Post-Acute Rehab</v>
      </c>
      <c r="D142" s="3"/>
      <c r="E142" s="10" t="str">
        <f xml:space="preserve"> _xll.EPMOlapMemberO("[ACCOUNT].[H1].[T_BAD_DEBT]","","T_BAD_DEBT - Tenant Bad Debt Expense","","000")</f>
        <v>T_BAD_DEBT - Tenant Bad Debt Expense</v>
      </c>
      <c r="F142">
        <v>-14008</v>
      </c>
      <c r="G142">
        <v>10058.02</v>
      </c>
      <c r="H142">
        <v>-2702.23</v>
      </c>
      <c r="I142">
        <v>-6061.41</v>
      </c>
      <c r="J142">
        <v>15155.95</v>
      </c>
      <c r="K142">
        <v>2735.28</v>
      </c>
      <c r="L142">
        <v>-10544.71</v>
      </c>
      <c r="M142">
        <v>-8160.66</v>
      </c>
    </row>
    <row r="143" spans="1:13" x14ac:dyDescent="0.55000000000000004">
      <c r="A143" s="19" t="str">
        <f>_xll.EVPRO("Finance",$C143,"Inv_Type")</f>
        <v>Inv_Equity</v>
      </c>
      <c r="B143" s="19" t="str">
        <f t="shared" si="4"/>
        <v>Danville Post-Acute Rehab</v>
      </c>
      <c r="C143" s="19" t="str">
        <f t="shared" si="5"/>
        <v>S04633 - Danville Post-Acute Rehab</v>
      </c>
      <c r="D143" s="3"/>
      <c r="E143" s="3" t="str">
        <f xml:space="preserve"> _xll.EPMOlapMemberO("[ACCOUNT].[H1].[T_EBITDARM]","","T_EBITDARM - EBITDARM","","000")</f>
        <v>T_EBITDARM - EBITDARM</v>
      </c>
      <c r="F143">
        <v>381439.96</v>
      </c>
      <c r="G143">
        <v>279445.96999999997</v>
      </c>
      <c r="H143">
        <v>311658.34000000003</v>
      </c>
      <c r="I143">
        <v>334540.21999999997</v>
      </c>
      <c r="J143">
        <v>243365.06</v>
      </c>
      <c r="K143">
        <v>288981.76000000001</v>
      </c>
      <c r="L143">
        <v>303867.63</v>
      </c>
      <c r="M143">
        <v>391823.93</v>
      </c>
    </row>
    <row r="144" spans="1:13" x14ac:dyDescent="0.55000000000000004">
      <c r="A144" s="19" t="str">
        <f>_xll.EVPRO("Finance",$C144,"Inv_Type")</f>
        <v>Inv_Equity</v>
      </c>
      <c r="B144" s="19" t="str">
        <f t="shared" si="4"/>
        <v>Danville Post-Acute Rehab</v>
      </c>
      <c r="C144" s="19" t="str">
        <f t="shared" si="5"/>
        <v>S04633 - Danville Post-Acute Rehab</v>
      </c>
      <c r="D144" s="3"/>
      <c r="E144" s="3" t="str">
        <f xml:space="preserve"> _xll.EPMOlapMemberO("[ACCOUNT].[H1].[T_MGMT_FEE]","","T_MGMT_FEE - Tenant Management Fee - Actual","","000")</f>
        <v>T_MGMT_FEE - Tenant Management Fee - Actual</v>
      </c>
      <c r="F144">
        <v>39735</v>
      </c>
      <c r="G144">
        <v>45298</v>
      </c>
      <c r="H144">
        <v>40229</v>
      </c>
      <c r="I144">
        <v>41990</v>
      </c>
      <c r="J144">
        <v>43005</v>
      </c>
      <c r="K144">
        <v>40709</v>
      </c>
      <c r="L144">
        <v>40525</v>
      </c>
      <c r="M144">
        <v>40146</v>
      </c>
    </row>
    <row r="145" spans="1:13" x14ac:dyDescent="0.55000000000000004">
      <c r="A145" s="19" t="str">
        <f>_xll.EVPRO("Finance",$C145,"Inv_Type")</f>
        <v>Inv_Equity</v>
      </c>
      <c r="B145" s="19" t="str">
        <f t="shared" si="4"/>
        <v>Danville Post-Acute Rehab</v>
      </c>
      <c r="C145" s="19" t="str">
        <f t="shared" si="5"/>
        <v>S04633 - Danville Post-Acute Rehab</v>
      </c>
      <c r="D145" s="3"/>
      <c r="E145" s="2" t="str">
        <f xml:space="preserve"> _xll.EPMOlapMemberO("[ACCOUNT].[H1].[T_EBITDAR]","","T_EBITDAR - EBITDAR","","000")</f>
        <v>T_EBITDAR - EBITDAR</v>
      </c>
      <c r="F145">
        <v>341704.96000000002</v>
      </c>
      <c r="G145">
        <v>234147.97</v>
      </c>
      <c r="H145">
        <v>271429.34000000003</v>
      </c>
      <c r="I145">
        <v>292550.21999999997</v>
      </c>
      <c r="J145">
        <v>200360.06</v>
      </c>
      <c r="K145">
        <v>248272.76</v>
      </c>
      <c r="L145">
        <v>263342.63</v>
      </c>
      <c r="M145">
        <v>351677.93</v>
      </c>
    </row>
    <row r="146" spans="1:13" x14ac:dyDescent="0.55000000000000004">
      <c r="A146" s="19" t="str">
        <f>_xll.EVPRO("Finance",$C146,"Inv_Type")</f>
        <v>Inv_Equity</v>
      </c>
      <c r="B146" s="19" t="str">
        <f t="shared" si="4"/>
        <v>Danville Post-Acute Rehab</v>
      </c>
      <c r="C146" s="19" t="str">
        <f t="shared" si="5"/>
        <v>S04633 - Danville Post-Acute Rehab</v>
      </c>
      <c r="D146" s="3"/>
      <c r="E146" s="2" t="str">
        <f xml:space="preserve"> _xll.EPMOlapMemberO("[ACCOUNT].[H1].[T_COVERAGE_RENT]","","T_COVERAGE_RENT - Coverage Rent","","000")</f>
        <v>T_COVERAGE_RENT - Coverage Rent</v>
      </c>
      <c r="F146">
        <v>135147.76</v>
      </c>
      <c r="G146">
        <v>135147.76</v>
      </c>
      <c r="H146">
        <v>135147.76</v>
      </c>
      <c r="I146">
        <v>135147.76</v>
      </c>
      <c r="J146">
        <v>135147.76</v>
      </c>
      <c r="K146">
        <v>135147.76</v>
      </c>
      <c r="L146">
        <v>135147.76</v>
      </c>
      <c r="M146">
        <v>135147.76</v>
      </c>
    </row>
    <row r="147" spans="1:13" x14ac:dyDescent="0.55000000000000004">
      <c r="A147" s="19" t="str">
        <f>_xll.EVPRO("Finance",$C147,"Inv_Type")</f>
        <v>Inv_Equity</v>
      </c>
      <c r="B147" s="19" t="str">
        <f t="shared" si="4"/>
        <v>Danville Post-Acute Rehab</v>
      </c>
      <c r="C147" s="19" t="str">
        <f t="shared" si="5"/>
        <v>S04633 - Danville Post-Acute Rehab</v>
      </c>
      <c r="D147" s="3"/>
      <c r="E147" s="2" t="str">
        <f xml:space="preserve"> _xll.EPMOlapMemberO("[ACCOUNT].[H1].[T_RENT_EXP]","","T_RENT_EXP - Tenant Rent Expense","","000")</f>
        <v>T_RENT_EXP - Tenant Rent Expense</v>
      </c>
      <c r="F147">
        <v>137481.76999999999</v>
      </c>
      <c r="G147">
        <v>137556.76999999999</v>
      </c>
      <c r="H147">
        <v>138882.35</v>
      </c>
      <c r="I147">
        <v>137556.76999999999</v>
      </c>
      <c r="J147">
        <v>137556.76999999999</v>
      </c>
      <c r="K147">
        <v>137556.76999999999</v>
      </c>
      <c r="L147">
        <v>137556.76999999999</v>
      </c>
      <c r="M147">
        <v>137556.76999999999</v>
      </c>
    </row>
    <row r="148" spans="1:13" x14ac:dyDescent="0.55000000000000004">
      <c r="A148" s="19" t="str">
        <f>_xll.EVPRO("Finance",$C148,"Inv_Type")</f>
        <v>Inv_Equity</v>
      </c>
      <c r="B148" s="19" t="str">
        <f t="shared" si="4"/>
        <v>Lake Balboa Care Center</v>
      </c>
      <c r="C148" s="19" t="str">
        <f t="shared" si="5"/>
        <v>S04635 - Lake Balboa Care Center</v>
      </c>
      <c r="D148" s="3" t="str">
        <f xml:space="preserve"> _xll.EPMOlapMemberO("[ENTITY].[H1].[S04635]","","S04635 - Lake Balboa Care Center","","000")</f>
        <v>S04635 - Lake Balboa Care Center</v>
      </c>
      <c r="E148" s="45" t="str">
        <f xml:space="preserve"> _xll.EPMOlapMemberO("[ACCOUNT].[H1].[PAY_PAT_DAYS]","","PAY_PAT_DAYS - Total Payor Patient Days","","000")</f>
        <v>PAY_PAT_DAYS - Total Payor Patient Days</v>
      </c>
      <c r="F148">
        <v>637</v>
      </c>
      <c r="G148">
        <v>727</v>
      </c>
      <c r="H148">
        <v>755</v>
      </c>
      <c r="I148">
        <v>1025</v>
      </c>
      <c r="J148">
        <v>1305</v>
      </c>
      <c r="K148">
        <v>1122</v>
      </c>
      <c r="L148">
        <v>1264</v>
      </c>
      <c r="M148">
        <v>1189</v>
      </c>
    </row>
    <row r="149" spans="1:13" x14ac:dyDescent="0.55000000000000004">
      <c r="A149" s="19" t="str">
        <f>_xll.EVPRO("Finance",$C149,"Inv_Type")</f>
        <v>Inv_Equity</v>
      </c>
      <c r="B149" s="19" t="str">
        <f t="shared" si="4"/>
        <v>Lake Balboa Care Center</v>
      </c>
      <c r="C149" s="19" t="str">
        <f t="shared" si="5"/>
        <v>S04635 - Lake Balboa Care Center</v>
      </c>
      <c r="D149" s="3"/>
      <c r="E149" s="2" t="str">
        <f xml:space="preserve"> _xll.EPMOlapMemberO("[ACCOUNT].[H1].[A_BEDS_TOTAL]","","A_BEDS_TOTAL - Total Available Beds","","000")</f>
        <v>A_BEDS_TOTAL - Total Available Beds</v>
      </c>
      <c r="F149">
        <v>50</v>
      </c>
      <c r="G149">
        <v>50</v>
      </c>
      <c r="H149">
        <v>50</v>
      </c>
      <c r="I149">
        <v>50</v>
      </c>
      <c r="J149">
        <v>50</v>
      </c>
      <c r="K149">
        <v>50</v>
      </c>
      <c r="L149">
        <v>50</v>
      </c>
      <c r="M149">
        <v>50</v>
      </c>
    </row>
    <row r="150" spans="1:13" x14ac:dyDescent="0.55000000000000004">
      <c r="A150" s="19" t="str">
        <f>_xll.EVPRO("Finance",$C150,"Inv_Type")</f>
        <v>Inv_Equity</v>
      </c>
      <c r="B150" s="19" t="str">
        <f t="shared" si="4"/>
        <v>Lake Balboa Care Center</v>
      </c>
      <c r="C150" s="19" t="str">
        <f t="shared" si="5"/>
        <v>S04635 - Lake Balboa Care Center</v>
      </c>
      <c r="D150" s="3"/>
      <c r="E150" s="9" t="str">
        <f xml:space="preserve"> _xll.EPMOlapMemberO("[ACCOUNT].[H1].[T_REVENUES]","","T_REVENUES - Total Tenant Revenues","","000")</f>
        <v>T_REVENUES - Total Tenant Revenues</v>
      </c>
      <c r="F150">
        <v>495778.92</v>
      </c>
      <c r="G150">
        <v>547447.52</v>
      </c>
      <c r="H150">
        <v>581917.97</v>
      </c>
      <c r="I150">
        <v>746750.28</v>
      </c>
      <c r="J150">
        <v>937684.97</v>
      </c>
      <c r="K150">
        <v>801397.64</v>
      </c>
      <c r="L150">
        <v>918537.66</v>
      </c>
      <c r="M150">
        <v>873302.1</v>
      </c>
    </row>
    <row r="151" spans="1:13" x14ac:dyDescent="0.55000000000000004">
      <c r="A151" s="19" t="str">
        <f>_xll.EVPRO("Finance",$C151,"Inv_Type")</f>
        <v>Inv_Equity</v>
      </c>
      <c r="B151" s="19" t="str">
        <f t="shared" si="4"/>
        <v>Lake Balboa Care Center</v>
      </c>
      <c r="C151" s="19" t="str">
        <f t="shared" si="5"/>
        <v>S04635 - Lake Balboa Care Center</v>
      </c>
      <c r="D151" s="3"/>
      <c r="E151" s="9" t="str">
        <f xml:space="preserve"> _xll.EPMOlapMemberO("[ACCOUNT].[H1].[T_OPEX]","","T_OPEX - Tenant Operating Expenses","","000")</f>
        <v>T_OPEX - Tenant Operating Expenses</v>
      </c>
      <c r="F151">
        <v>498523.19</v>
      </c>
      <c r="G151">
        <v>514113.36</v>
      </c>
      <c r="H151">
        <v>601405.62</v>
      </c>
      <c r="I151">
        <v>647082.47</v>
      </c>
      <c r="J151">
        <v>692008.82</v>
      </c>
      <c r="K151">
        <v>683967.03</v>
      </c>
      <c r="L151">
        <v>699243.21</v>
      </c>
      <c r="M151">
        <v>717789.97</v>
      </c>
    </row>
    <row r="152" spans="1:13" x14ac:dyDescent="0.55000000000000004">
      <c r="A152" s="19" t="str">
        <f>_xll.EVPRO("Finance",$C152,"Inv_Type")</f>
        <v>Inv_Equity</v>
      </c>
      <c r="B152" s="19" t="str">
        <f t="shared" si="4"/>
        <v>Lake Balboa Care Center</v>
      </c>
      <c r="C152" s="19" t="str">
        <f t="shared" si="5"/>
        <v>S04635 - Lake Balboa Care Center</v>
      </c>
      <c r="D152" s="3"/>
      <c r="E152" s="2" t="str">
        <f xml:space="preserve"> _xll.EPMOlapMemberO("[ACCOUNT].[H1].[T_NON_OP_EXP]","","T_NON_OP_EXP - Tenant Non-Operating Expense","","000")</f>
        <v>T_NON_OP_EXP - Tenant Non-Operating Expense</v>
      </c>
      <c r="F152">
        <v>11876.18</v>
      </c>
      <c r="G152">
        <v>62906.62</v>
      </c>
      <c r="H152">
        <v>11753.77</v>
      </c>
      <c r="I152">
        <v>21899.05</v>
      </c>
      <c r="J152">
        <v>106132.43</v>
      </c>
      <c r="K152">
        <v>112035.91</v>
      </c>
      <c r="L152">
        <v>143228.92000000001</v>
      </c>
      <c r="M152">
        <v>156925.66</v>
      </c>
    </row>
    <row r="153" spans="1:13" x14ac:dyDescent="0.55000000000000004">
      <c r="A153" s="19" t="str">
        <f>_xll.EVPRO("Finance",$C153,"Inv_Type")</f>
        <v>Inv_Equity</v>
      </c>
      <c r="B153" s="19" t="str">
        <f t="shared" si="4"/>
        <v>Lake Balboa Care Center</v>
      </c>
      <c r="C153" s="19" t="str">
        <f t="shared" si="5"/>
        <v>S04635 - Lake Balboa Care Center</v>
      </c>
      <c r="D153" s="3"/>
      <c r="E153" s="10" t="str">
        <f xml:space="preserve"> _xll.EPMOlapMemberO("[ACCOUNT].[H1].[T_BAD_DEBT]","","T_BAD_DEBT - Tenant Bad Debt Expense","","000")</f>
        <v>T_BAD_DEBT - Tenant Bad Debt Expense</v>
      </c>
      <c r="F153">
        <v>-4487.7700000000004</v>
      </c>
      <c r="G153">
        <v>-3763.06</v>
      </c>
      <c r="H153">
        <v>-8866.1299999999992</v>
      </c>
      <c r="I153">
        <v>18370.669999999998</v>
      </c>
      <c r="J153">
        <v>-3942.1</v>
      </c>
      <c r="K153">
        <v>-5296.98</v>
      </c>
      <c r="L153">
        <v>-33253.760000000002</v>
      </c>
      <c r="M153">
        <v>4451.99</v>
      </c>
    </row>
    <row r="154" spans="1:13" x14ac:dyDescent="0.55000000000000004">
      <c r="A154" s="19" t="str">
        <f>_xll.EVPRO("Finance",$C154,"Inv_Type")</f>
        <v>Inv_Equity</v>
      </c>
      <c r="B154" s="19" t="str">
        <f t="shared" si="4"/>
        <v>Lake Balboa Care Center</v>
      </c>
      <c r="C154" s="19" t="str">
        <f t="shared" si="5"/>
        <v>S04635 - Lake Balboa Care Center</v>
      </c>
      <c r="D154" s="3"/>
      <c r="E154" s="3" t="str">
        <f xml:space="preserve"> _xll.EPMOlapMemberO("[ACCOUNT].[H1].[T_EBITDARM]","","T_EBITDARM - EBITDARM","","000")</f>
        <v>T_EBITDARM - EBITDARM</v>
      </c>
      <c r="F154">
        <v>-2744.27000000002</v>
      </c>
      <c r="G154">
        <v>33334.160000000003</v>
      </c>
      <c r="H154">
        <v>-19487.650000000001</v>
      </c>
      <c r="I154">
        <v>99667.8100000001</v>
      </c>
      <c r="J154">
        <v>245676.15</v>
      </c>
      <c r="K154">
        <v>117430.61</v>
      </c>
      <c r="L154">
        <v>219294.45</v>
      </c>
      <c r="M154">
        <v>155512.13</v>
      </c>
    </row>
    <row r="155" spans="1:13" x14ac:dyDescent="0.55000000000000004">
      <c r="A155" s="19" t="str">
        <f>_xll.EVPRO("Finance",$C155,"Inv_Type")</f>
        <v>Inv_Equity</v>
      </c>
      <c r="B155" s="19" t="str">
        <f t="shared" si="4"/>
        <v>Lake Balboa Care Center</v>
      </c>
      <c r="C155" s="19" t="str">
        <f t="shared" si="5"/>
        <v>S04635 - Lake Balboa Care Center</v>
      </c>
      <c r="D155" s="3"/>
      <c r="E155" s="3" t="str">
        <f xml:space="preserve"> _xll.EPMOlapMemberO("[ACCOUNT].[H1].[T_MGMT_FEE]","","T_MGMT_FEE - Tenant Management Fee - Actual","","000")</f>
        <v>T_MGMT_FEE - Tenant Management Fee - Actual</v>
      </c>
      <c r="F155">
        <v>20197</v>
      </c>
      <c r="G155">
        <v>24788</v>
      </c>
      <c r="H155">
        <v>27372</v>
      </c>
      <c r="I155">
        <v>29095</v>
      </c>
      <c r="J155">
        <v>37337</v>
      </c>
      <c r="K155">
        <v>46884</v>
      </c>
      <c r="L155">
        <v>40069</v>
      </c>
      <c r="M155">
        <v>45926</v>
      </c>
    </row>
    <row r="156" spans="1:13" x14ac:dyDescent="0.55000000000000004">
      <c r="A156" s="19" t="str">
        <f>_xll.EVPRO("Finance",$C156,"Inv_Type")</f>
        <v>Inv_Equity</v>
      </c>
      <c r="B156" s="19" t="str">
        <f t="shared" si="4"/>
        <v>Lake Balboa Care Center</v>
      </c>
      <c r="C156" s="19" t="str">
        <f t="shared" si="5"/>
        <v>S04635 - Lake Balboa Care Center</v>
      </c>
      <c r="D156" s="3"/>
      <c r="E156" s="2" t="str">
        <f xml:space="preserve"> _xll.EPMOlapMemberO("[ACCOUNT].[H1].[T_EBITDAR]","","T_EBITDAR - EBITDAR","","000")</f>
        <v>T_EBITDAR - EBITDAR</v>
      </c>
      <c r="F156">
        <v>-22941.27</v>
      </c>
      <c r="G156">
        <v>8546.1599999999708</v>
      </c>
      <c r="H156">
        <v>-46859.65</v>
      </c>
      <c r="I156">
        <v>70572.8100000001</v>
      </c>
      <c r="J156">
        <v>208339.15</v>
      </c>
      <c r="K156">
        <v>70546.610000000102</v>
      </c>
      <c r="L156">
        <v>179225.45</v>
      </c>
      <c r="M156">
        <v>109586.13</v>
      </c>
    </row>
    <row r="157" spans="1:13" x14ac:dyDescent="0.55000000000000004">
      <c r="A157" s="19" t="str">
        <f>_xll.EVPRO("Finance",$C157,"Inv_Type")</f>
        <v>Inv_Equity</v>
      </c>
      <c r="B157" s="19" t="str">
        <f t="shared" si="4"/>
        <v>Lake Balboa Care Center</v>
      </c>
      <c r="C157" s="19" t="str">
        <f t="shared" si="5"/>
        <v>S04635 - Lake Balboa Care Center</v>
      </c>
      <c r="D157" s="3"/>
      <c r="E157" s="2" t="str">
        <f xml:space="preserve"> _xll.EPMOlapMemberO("[ACCOUNT].[H1].[T_COVERAGE_RENT]","","T_COVERAGE_RENT - Coverage Rent","","000")</f>
        <v>T_COVERAGE_RENT - Coverage Rent</v>
      </c>
      <c r="F157">
        <v>137142.66</v>
      </c>
      <c r="G157">
        <v>137142.66</v>
      </c>
      <c r="H157">
        <v>137142.66</v>
      </c>
      <c r="I157">
        <v>137142.66</v>
      </c>
      <c r="J157">
        <v>137142.66</v>
      </c>
      <c r="K157">
        <v>137142.66</v>
      </c>
      <c r="L157">
        <v>137142.66</v>
      </c>
      <c r="M157">
        <v>137142.66</v>
      </c>
    </row>
    <row r="158" spans="1:13" x14ac:dyDescent="0.55000000000000004">
      <c r="A158" s="19" t="str">
        <f>_xll.EVPRO("Finance",$C158,"Inv_Type")</f>
        <v>Inv_Equity</v>
      </c>
      <c r="B158" s="19" t="str">
        <f t="shared" si="4"/>
        <v>Lake Balboa Care Center</v>
      </c>
      <c r="C158" s="19" t="str">
        <f t="shared" si="5"/>
        <v>S04635 - Lake Balboa Care Center</v>
      </c>
      <c r="D158" s="3"/>
      <c r="E158" s="2" t="str">
        <f xml:space="preserve"> _xll.EPMOlapMemberO("[ACCOUNT].[H1].[T_RENT_EXP]","","T_RENT_EXP - Tenant Rent Expense","","000")</f>
        <v>T_RENT_EXP - Tenant Rent Expense</v>
      </c>
      <c r="F158">
        <v>139281.13</v>
      </c>
      <c r="G158">
        <v>139281.13</v>
      </c>
      <c r="H158">
        <v>139281.13</v>
      </c>
      <c r="I158">
        <v>139281.13</v>
      </c>
      <c r="J158">
        <v>139281.13</v>
      </c>
      <c r="K158">
        <v>139281.13</v>
      </c>
      <c r="L158">
        <v>139345.28</v>
      </c>
      <c r="M158">
        <v>139345.28</v>
      </c>
    </row>
    <row r="159" spans="1:13" x14ac:dyDescent="0.55000000000000004">
      <c r="A159" s="19" t="str">
        <f>_xll.EVPRO("Finance",$C159,"Inv_Type")</f>
        <v>Inv_Equity</v>
      </c>
      <c r="B159" s="19" t="str">
        <f t="shared" si="4"/>
        <v>Lomita Post-Acute Care Center</v>
      </c>
      <c r="C159" s="19" t="str">
        <f t="shared" si="5"/>
        <v>S04637 - Lomita Post-Acute Care Center</v>
      </c>
      <c r="D159" s="3" t="str">
        <f xml:space="preserve"> _xll.EPMOlapMemberO("[ENTITY].[H1].[S04637]","","S04637 - Lomita Post-Acute Care Center","","000")</f>
        <v>S04637 - Lomita Post-Acute Care Center</v>
      </c>
      <c r="E159" s="45" t="str">
        <f xml:space="preserve"> _xll.EPMOlapMemberO("[ACCOUNT].[H1].[PAY_PAT_DAYS]","","PAY_PAT_DAYS - Total Payor Patient Days","","000")</f>
        <v>PAY_PAT_DAYS - Total Payor Patient Days</v>
      </c>
      <c r="F159">
        <v>1199</v>
      </c>
      <c r="G159">
        <v>1117</v>
      </c>
      <c r="H159">
        <v>1278</v>
      </c>
      <c r="I159">
        <v>1460</v>
      </c>
      <c r="J159">
        <v>1415</v>
      </c>
      <c r="K159">
        <v>1522</v>
      </c>
      <c r="L159">
        <v>1569</v>
      </c>
      <c r="M159">
        <v>1700</v>
      </c>
    </row>
    <row r="160" spans="1:13" x14ac:dyDescent="0.55000000000000004">
      <c r="A160" s="19" t="str">
        <f>_xll.EVPRO("Finance",$C160,"Inv_Type")</f>
        <v>Inv_Equity</v>
      </c>
      <c r="B160" s="19" t="str">
        <f t="shared" si="4"/>
        <v>Lomita Post-Acute Care Center</v>
      </c>
      <c r="C160" s="19" t="str">
        <f t="shared" si="5"/>
        <v>S04637 - Lomita Post-Acute Care Center</v>
      </c>
      <c r="D160" s="3"/>
      <c r="E160" s="2" t="str">
        <f xml:space="preserve"> _xll.EPMOlapMemberO("[ACCOUNT].[H1].[A_BEDS_TOTAL]","","A_BEDS_TOTAL - Total Available Beds","","000")</f>
        <v>A_BEDS_TOTAL - Total Available Beds</v>
      </c>
      <c r="F160">
        <v>68</v>
      </c>
      <c r="G160">
        <v>68</v>
      </c>
      <c r="H160">
        <v>68</v>
      </c>
      <c r="I160">
        <v>68</v>
      </c>
      <c r="J160">
        <v>68</v>
      </c>
      <c r="K160">
        <v>68</v>
      </c>
      <c r="L160">
        <v>68</v>
      </c>
      <c r="M160">
        <v>68</v>
      </c>
    </row>
    <row r="161" spans="1:13" x14ac:dyDescent="0.55000000000000004">
      <c r="A161" s="19" t="str">
        <f>_xll.EVPRO("Finance",$C161,"Inv_Type")</f>
        <v>Inv_Equity</v>
      </c>
      <c r="B161" s="19" t="str">
        <f t="shared" si="4"/>
        <v>Lomita Post-Acute Care Center</v>
      </c>
      <c r="C161" s="19" t="str">
        <f t="shared" si="5"/>
        <v>S04637 - Lomita Post-Acute Care Center</v>
      </c>
      <c r="D161" s="3"/>
      <c r="E161" s="9" t="str">
        <f xml:space="preserve"> _xll.EPMOlapMemberO("[ACCOUNT].[H1].[T_REVENUES]","","T_REVENUES - Total Tenant Revenues","","000")</f>
        <v>T_REVENUES - Total Tenant Revenues</v>
      </c>
      <c r="F161">
        <v>573047.67000000004</v>
      </c>
      <c r="G161">
        <v>505669.36</v>
      </c>
      <c r="H161">
        <v>592078.06000000006</v>
      </c>
      <c r="I161">
        <v>714701.76</v>
      </c>
      <c r="J161">
        <v>682964.52</v>
      </c>
      <c r="K161">
        <v>754450.66</v>
      </c>
      <c r="L161">
        <v>832068.76</v>
      </c>
      <c r="M161">
        <v>872684.5</v>
      </c>
    </row>
    <row r="162" spans="1:13" x14ac:dyDescent="0.55000000000000004">
      <c r="A162" s="19" t="str">
        <f>_xll.EVPRO("Finance",$C162,"Inv_Type")</f>
        <v>Inv_Equity</v>
      </c>
      <c r="B162" s="19" t="str">
        <f t="shared" si="4"/>
        <v>Lomita Post-Acute Care Center</v>
      </c>
      <c r="C162" s="19" t="str">
        <f t="shared" si="5"/>
        <v>S04637 - Lomita Post-Acute Care Center</v>
      </c>
      <c r="D162" s="3"/>
      <c r="E162" s="9" t="str">
        <f xml:space="preserve"> _xll.EPMOlapMemberO("[ACCOUNT].[H1].[T_OPEX]","","T_OPEX - Tenant Operating Expenses","","000")</f>
        <v>T_OPEX - Tenant Operating Expenses</v>
      </c>
      <c r="F162">
        <v>582036.9</v>
      </c>
      <c r="G162">
        <v>567851.03</v>
      </c>
      <c r="H162">
        <v>598750.41</v>
      </c>
      <c r="I162">
        <v>629476.04</v>
      </c>
      <c r="J162">
        <v>657532.07999999996</v>
      </c>
      <c r="K162">
        <v>703810.18</v>
      </c>
      <c r="L162">
        <v>686831.52</v>
      </c>
      <c r="M162">
        <v>650229.73</v>
      </c>
    </row>
    <row r="163" spans="1:13" x14ac:dyDescent="0.55000000000000004">
      <c r="A163" s="19" t="str">
        <f>_xll.EVPRO("Finance",$C163,"Inv_Type")</f>
        <v>Inv_Equity</v>
      </c>
      <c r="B163" s="19" t="str">
        <f t="shared" si="4"/>
        <v>Lomita Post-Acute Care Center</v>
      </c>
      <c r="C163" s="19" t="str">
        <f t="shared" si="5"/>
        <v>S04637 - Lomita Post-Acute Care Center</v>
      </c>
      <c r="D163" s="3"/>
      <c r="E163" s="2" t="str">
        <f xml:space="preserve"> _xll.EPMOlapMemberO("[ACCOUNT].[H1].[T_NON_OP_EXP]","","T_NON_OP_EXP - Tenant Non-Operating Expense","","000")</f>
        <v>T_NON_OP_EXP - Tenant Non-Operating Expense</v>
      </c>
      <c r="F163">
        <v>10277.86</v>
      </c>
      <c r="G163">
        <v>13990.96</v>
      </c>
      <c r="H163">
        <v>23435.27</v>
      </c>
      <c r="I163">
        <v>-3937.53</v>
      </c>
      <c r="J163">
        <v>9719.77</v>
      </c>
      <c r="K163">
        <v>10309.6</v>
      </c>
      <c r="L163">
        <v>10387.92</v>
      </c>
      <c r="M163">
        <v>10931</v>
      </c>
    </row>
    <row r="164" spans="1:13" x14ac:dyDescent="0.55000000000000004">
      <c r="A164" s="19" t="str">
        <f>_xll.EVPRO("Finance",$C164,"Inv_Type")</f>
        <v>Inv_Equity</v>
      </c>
      <c r="B164" s="19" t="str">
        <f t="shared" si="4"/>
        <v>Lomita Post-Acute Care Center</v>
      </c>
      <c r="C164" s="19" t="str">
        <f t="shared" si="5"/>
        <v>S04637 - Lomita Post-Acute Care Center</v>
      </c>
      <c r="D164" s="3"/>
      <c r="E164" s="10" t="str">
        <f xml:space="preserve"> _xll.EPMOlapMemberO("[ACCOUNT].[H1].[T_BAD_DEBT]","","T_BAD_DEBT - Tenant Bad Debt Expense","","000")</f>
        <v>T_BAD_DEBT - Tenant Bad Debt Expense</v>
      </c>
      <c r="F164">
        <v>1578.2</v>
      </c>
      <c r="G164">
        <v>-4351.22</v>
      </c>
      <c r="H164">
        <v>13122.84</v>
      </c>
      <c r="I164">
        <v>730.64</v>
      </c>
      <c r="J164">
        <v>10955.94</v>
      </c>
      <c r="K164">
        <v>23032</v>
      </c>
      <c r="L164">
        <v>-4618.05</v>
      </c>
      <c r="M164">
        <v>627.77</v>
      </c>
    </row>
    <row r="165" spans="1:13" x14ac:dyDescent="0.55000000000000004">
      <c r="A165" s="19" t="str">
        <f>_xll.EVPRO("Finance",$C165,"Inv_Type")</f>
        <v>Inv_Equity</v>
      </c>
      <c r="B165" s="19" t="str">
        <f t="shared" si="4"/>
        <v>Lomita Post-Acute Care Center</v>
      </c>
      <c r="C165" s="19" t="str">
        <f t="shared" si="5"/>
        <v>S04637 - Lomita Post-Acute Care Center</v>
      </c>
      <c r="D165" s="3"/>
      <c r="E165" s="3" t="str">
        <f xml:space="preserve"> _xll.EPMOlapMemberO("[ACCOUNT].[H1].[T_EBITDARM]","","T_EBITDARM - EBITDARM","","000")</f>
        <v>T_EBITDARM - EBITDARM</v>
      </c>
      <c r="F165">
        <v>-8989.2299999999796</v>
      </c>
      <c r="G165">
        <v>-62181.669999999896</v>
      </c>
      <c r="H165">
        <v>-6672.3499999999804</v>
      </c>
      <c r="I165">
        <v>85225.720000000103</v>
      </c>
      <c r="J165">
        <v>25432.439999999799</v>
      </c>
      <c r="K165">
        <v>50640.480000000098</v>
      </c>
      <c r="L165">
        <v>145237.24</v>
      </c>
      <c r="M165">
        <v>222454.77</v>
      </c>
    </row>
    <row r="166" spans="1:13" x14ac:dyDescent="0.55000000000000004">
      <c r="A166" s="19" t="str">
        <f>_xll.EVPRO("Finance",$C166,"Inv_Type")</f>
        <v>Inv_Equity</v>
      </c>
      <c r="B166" s="19" t="str">
        <f t="shared" si="4"/>
        <v>Lomita Post-Acute Care Center</v>
      </c>
      <c r="C166" s="19" t="str">
        <f t="shared" si="5"/>
        <v>S04637 - Lomita Post-Acute Care Center</v>
      </c>
      <c r="D166" s="3"/>
      <c r="E166" s="3" t="str">
        <f xml:space="preserve"> _xll.EPMOlapMemberO("[ACCOUNT].[H1].[T_MGMT_FEE]","","T_MGMT_FEE - Tenant Management Fee - Actual","","000")</f>
        <v>T_MGMT_FEE - Tenant Management Fee - Actual</v>
      </c>
      <c r="F166">
        <v>26773</v>
      </c>
      <c r="G166">
        <v>28652</v>
      </c>
      <c r="H166">
        <v>25283</v>
      </c>
      <c r="I166">
        <v>29603</v>
      </c>
      <c r="J166">
        <v>35735</v>
      </c>
      <c r="K166">
        <v>34148</v>
      </c>
      <c r="L166">
        <v>37722</v>
      </c>
      <c r="M166">
        <v>41603</v>
      </c>
    </row>
    <row r="167" spans="1:13" x14ac:dyDescent="0.55000000000000004">
      <c r="A167" s="19" t="str">
        <f>_xll.EVPRO("Finance",$C167,"Inv_Type")</f>
        <v>Inv_Equity</v>
      </c>
      <c r="B167" s="19" t="str">
        <f t="shared" si="4"/>
        <v>Lomita Post-Acute Care Center</v>
      </c>
      <c r="C167" s="19" t="str">
        <f t="shared" si="5"/>
        <v>S04637 - Lomita Post-Acute Care Center</v>
      </c>
      <c r="D167" s="3"/>
      <c r="E167" s="2" t="str">
        <f xml:space="preserve"> _xll.EPMOlapMemberO("[ACCOUNT].[H1].[T_EBITDAR]","","T_EBITDAR - EBITDAR","","000")</f>
        <v>T_EBITDAR - EBITDAR</v>
      </c>
      <c r="F167">
        <v>-35762.230000000003</v>
      </c>
      <c r="G167">
        <v>-90833.669999999896</v>
      </c>
      <c r="H167">
        <v>-31955.35</v>
      </c>
      <c r="I167">
        <v>55622.720000000103</v>
      </c>
      <c r="J167">
        <v>-10302.5600000002</v>
      </c>
      <c r="K167">
        <v>16492.480000000101</v>
      </c>
      <c r="L167">
        <v>107515.24</v>
      </c>
      <c r="M167">
        <v>180851.77</v>
      </c>
    </row>
    <row r="168" spans="1:13" x14ac:dyDescent="0.55000000000000004">
      <c r="A168" s="19" t="str">
        <f>_xll.EVPRO("Finance",$C168,"Inv_Type")</f>
        <v>Inv_Equity</v>
      </c>
      <c r="B168" s="19" t="str">
        <f t="shared" si="4"/>
        <v>Lomita Post-Acute Care Center</v>
      </c>
      <c r="C168" s="19" t="str">
        <f t="shared" si="5"/>
        <v>S04637 - Lomita Post-Acute Care Center</v>
      </c>
      <c r="D168" s="3"/>
      <c r="E168" s="2" t="str">
        <f xml:space="preserve"> _xll.EPMOlapMemberO("[ACCOUNT].[H1].[T_COVERAGE_RENT]","","T_COVERAGE_RENT - Coverage Rent","","000")</f>
        <v>T_COVERAGE_RENT - Coverage Rent</v>
      </c>
      <c r="F168">
        <v>126768.5</v>
      </c>
      <c r="G168">
        <v>126768.5</v>
      </c>
      <c r="H168">
        <v>126768.5</v>
      </c>
      <c r="I168">
        <v>126768.5</v>
      </c>
      <c r="J168">
        <v>126768.5</v>
      </c>
      <c r="K168">
        <v>126768.5</v>
      </c>
      <c r="L168">
        <v>126768.5</v>
      </c>
      <c r="M168">
        <v>126768.5</v>
      </c>
    </row>
    <row r="169" spans="1:13" x14ac:dyDescent="0.55000000000000004">
      <c r="A169" s="19" t="str">
        <f>_xll.EVPRO("Finance",$C169,"Inv_Type")</f>
        <v>Inv_Equity</v>
      </c>
      <c r="B169" s="19" t="str">
        <f t="shared" si="4"/>
        <v>Lomita Post-Acute Care Center</v>
      </c>
      <c r="C169" s="19" t="str">
        <f t="shared" si="5"/>
        <v>S04637 - Lomita Post-Acute Care Center</v>
      </c>
      <c r="D169" s="3"/>
      <c r="E169" s="2" t="str">
        <f xml:space="preserve"> _xll.EPMOlapMemberO("[ACCOUNT].[H1].[T_RENT_EXP]","","T_RENT_EXP - Tenant Rent Expense","","000")</f>
        <v>T_RENT_EXP - Tenant Rent Expense</v>
      </c>
      <c r="F169">
        <v>126768.49</v>
      </c>
      <c r="G169">
        <v>126768.49</v>
      </c>
      <c r="H169">
        <v>126768.49</v>
      </c>
      <c r="I169">
        <v>126768.49</v>
      </c>
      <c r="J169">
        <v>126768.49</v>
      </c>
      <c r="K169">
        <v>126768.49</v>
      </c>
      <c r="L169">
        <v>126768.49</v>
      </c>
      <c r="M169">
        <v>126768.49</v>
      </c>
    </row>
    <row r="170" spans="1:13" x14ac:dyDescent="0.55000000000000004">
      <c r="A170" s="19" t="str">
        <f>_xll.EVPRO("Finance",$C170,"Inv_Type")</f>
        <v>Inv_Equity</v>
      </c>
      <c r="B170" s="19" t="str">
        <f t="shared" si="4"/>
        <v>University Post-Acute Rehab</v>
      </c>
      <c r="C170" s="19" t="str">
        <f t="shared" si="5"/>
        <v>S04639 - University Post-Acute Rehab</v>
      </c>
      <c r="D170" s="3" t="str">
        <f xml:space="preserve"> _xll.EPMOlapMemberO("[ENTITY].[H1].[S04639]","","S04639 - University Post-Acute Rehab","","000")</f>
        <v>S04639 - University Post-Acute Rehab</v>
      </c>
      <c r="E170" s="45" t="str">
        <f xml:space="preserve"> _xll.EPMOlapMemberO("[ACCOUNT].[H1].[PAY_PAT_DAYS]","","PAY_PAT_DAYS - Total Payor Patient Days","","000")</f>
        <v>PAY_PAT_DAYS - Total Payor Patient Days</v>
      </c>
      <c r="F170">
        <v>746</v>
      </c>
      <c r="G170">
        <v>1130</v>
      </c>
      <c r="H170">
        <v>1363</v>
      </c>
      <c r="I170">
        <v>1414</v>
      </c>
      <c r="J170">
        <v>1260</v>
      </c>
      <c r="K170">
        <v>1319</v>
      </c>
      <c r="L170">
        <v>1464</v>
      </c>
      <c r="M170">
        <v>1475</v>
      </c>
    </row>
    <row r="171" spans="1:13" x14ac:dyDescent="0.55000000000000004">
      <c r="A171" s="19" t="str">
        <f>_xll.EVPRO("Finance",$C171,"Inv_Type")</f>
        <v>Inv_Equity</v>
      </c>
      <c r="B171" s="19" t="str">
        <f t="shared" si="4"/>
        <v>University Post-Acute Rehab</v>
      </c>
      <c r="C171" s="19" t="str">
        <f t="shared" si="5"/>
        <v>S04639 - University Post-Acute Rehab</v>
      </c>
      <c r="D171" s="3"/>
      <c r="E171" s="2" t="str">
        <f xml:space="preserve"> _xll.EPMOlapMemberO("[ACCOUNT].[H1].[A_BEDS_TOTAL]","","A_BEDS_TOTAL - Total Available Beds","","000")</f>
        <v>A_BEDS_TOTAL - Total Available Beds</v>
      </c>
      <c r="F171">
        <v>56</v>
      </c>
      <c r="G171">
        <v>56</v>
      </c>
      <c r="H171">
        <v>56</v>
      </c>
      <c r="I171">
        <v>56</v>
      </c>
      <c r="J171">
        <v>56</v>
      </c>
      <c r="K171">
        <v>56</v>
      </c>
      <c r="L171">
        <v>56</v>
      </c>
      <c r="M171">
        <v>56</v>
      </c>
    </row>
    <row r="172" spans="1:13" x14ac:dyDescent="0.55000000000000004">
      <c r="A172" s="19" t="str">
        <f>_xll.EVPRO("Finance",$C172,"Inv_Type")</f>
        <v>Inv_Equity</v>
      </c>
      <c r="B172" s="19" t="str">
        <f t="shared" si="4"/>
        <v>University Post-Acute Rehab</v>
      </c>
      <c r="C172" s="19" t="str">
        <f t="shared" si="5"/>
        <v>S04639 - University Post-Acute Rehab</v>
      </c>
      <c r="D172" s="3"/>
      <c r="E172" s="9" t="str">
        <f xml:space="preserve"> _xll.EPMOlapMemberO("[ACCOUNT].[H1].[T_REVENUES]","","T_REVENUES - Total Tenant Revenues","","000")</f>
        <v>T_REVENUES - Total Tenant Revenues</v>
      </c>
      <c r="F172">
        <v>399200.74</v>
      </c>
      <c r="G172">
        <v>678625.3</v>
      </c>
      <c r="H172">
        <v>869317.02</v>
      </c>
      <c r="I172">
        <v>867112.78</v>
      </c>
      <c r="J172">
        <v>767873.92</v>
      </c>
      <c r="K172">
        <v>790915.24</v>
      </c>
      <c r="L172">
        <v>936183.05</v>
      </c>
      <c r="M172">
        <v>980673.89</v>
      </c>
    </row>
    <row r="173" spans="1:13" x14ac:dyDescent="0.55000000000000004">
      <c r="A173" s="19" t="str">
        <f>_xll.EVPRO("Finance",$C173,"Inv_Type")</f>
        <v>Inv_Equity</v>
      </c>
      <c r="B173" s="19" t="str">
        <f t="shared" si="4"/>
        <v>University Post-Acute Rehab</v>
      </c>
      <c r="C173" s="19" t="str">
        <f t="shared" si="5"/>
        <v>S04639 - University Post-Acute Rehab</v>
      </c>
      <c r="D173" s="3"/>
      <c r="E173" s="9" t="str">
        <f xml:space="preserve"> _xll.EPMOlapMemberO("[ACCOUNT].[H1].[T_OPEX]","","T_OPEX - Tenant Operating Expenses","","000")</f>
        <v>T_OPEX - Tenant Operating Expenses</v>
      </c>
      <c r="F173">
        <v>501081.73</v>
      </c>
      <c r="G173">
        <v>524812</v>
      </c>
      <c r="H173">
        <v>559428.34</v>
      </c>
      <c r="I173">
        <v>652037.63</v>
      </c>
      <c r="J173">
        <v>610603.84</v>
      </c>
      <c r="K173">
        <v>541342.31999999995</v>
      </c>
      <c r="L173">
        <v>681738.33</v>
      </c>
      <c r="M173">
        <v>567518.67000000004</v>
      </c>
    </row>
    <row r="174" spans="1:13" x14ac:dyDescent="0.55000000000000004">
      <c r="A174" s="19" t="str">
        <f>_xll.EVPRO("Finance",$C174,"Inv_Type")</f>
        <v>Inv_Equity</v>
      </c>
      <c r="B174" s="19" t="str">
        <f t="shared" si="4"/>
        <v>University Post-Acute Rehab</v>
      </c>
      <c r="C174" s="19" t="str">
        <f t="shared" si="5"/>
        <v>S04639 - University Post-Acute Rehab</v>
      </c>
      <c r="D174" s="3"/>
      <c r="E174" s="2" t="str">
        <f xml:space="preserve"> _xll.EPMOlapMemberO("[ACCOUNT].[H1].[T_NON_OP_EXP]","","T_NON_OP_EXP - Tenant Non-Operating Expense","","000")</f>
        <v>T_NON_OP_EXP - Tenant Non-Operating Expense</v>
      </c>
      <c r="F174">
        <v>12779.51</v>
      </c>
      <c r="G174">
        <v>9943.85</v>
      </c>
      <c r="H174">
        <v>9943.85</v>
      </c>
      <c r="I174">
        <v>10496.99</v>
      </c>
      <c r="J174">
        <v>10496.99</v>
      </c>
      <c r="K174">
        <v>10496.99</v>
      </c>
      <c r="L174">
        <v>10584.69</v>
      </c>
      <c r="M174">
        <v>11437.27</v>
      </c>
    </row>
    <row r="175" spans="1:13" x14ac:dyDescent="0.55000000000000004">
      <c r="A175" s="19" t="str">
        <f>_xll.EVPRO("Finance",$C175,"Inv_Type")</f>
        <v>Inv_Equity</v>
      </c>
      <c r="B175" s="19" t="str">
        <f t="shared" si="4"/>
        <v>University Post-Acute Rehab</v>
      </c>
      <c r="C175" s="19" t="str">
        <f t="shared" si="5"/>
        <v>S04639 - University Post-Acute Rehab</v>
      </c>
      <c r="D175" s="3"/>
      <c r="E175" s="10" t="str">
        <f xml:space="preserve"> _xll.EPMOlapMemberO("[ACCOUNT].[H1].[T_BAD_DEBT]","","T_BAD_DEBT - Tenant Bad Debt Expense","","000")</f>
        <v>T_BAD_DEBT - Tenant Bad Debt Expense</v>
      </c>
      <c r="F175">
        <v>10205.870000000001</v>
      </c>
      <c r="G175">
        <v>14055.45</v>
      </c>
      <c r="H175">
        <v>10827.29</v>
      </c>
      <c r="I175">
        <v>48598.66</v>
      </c>
      <c r="J175">
        <v>3616.88</v>
      </c>
      <c r="K175">
        <v>-7707.11</v>
      </c>
      <c r="L175">
        <v>76803.570000000007</v>
      </c>
      <c r="M175">
        <v>-18196.73</v>
      </c>
    </row>
    <row r="176" spans="1:13" x14ac:dyDescent="0.55000000000000004">
      <c r="A176" s="19" t="str">
        <f>_xll.EVPRO("Finance",$C176,"Inv_Type")</f>
        <v>Inv_Equity</v>
      </c>
      <c r="B176" s="19" t="str">
        <f t="shared" si="4"/>
        <v>University Post-Acute Rehab</v>
      </c>
      <c r="C176" s="19" t="str">
        <f t="shared" si="5"/>
        <v>S04639 - University Post-Acute Rehab</v>
      </c>
      <c r="D176" s="3"/>
      <c r="E176" s="3" t="str">
        <f xml:space="preserve"> _xll.EPMOlapMemberO("[ACCOUNT].[H1].[T_EBITDARM]","","T_EBITDARM - EBITDARM","","000")</f>
        <v>T_EBITDARM - EBITDARM</v>
      </c>
      <c r="F176">
        <v>-101880.99</v>
      </c>
      <c r="G176">
        <v>153813.29999999999</v>
      </c>
      <c r="H176">
        <v>309888.68</v>
      </c>
      <c r="I176">
        <v>215075.15</v>
      </c>
      <c r="J176">
        <v>157270.07999999999</v>
      </c>
      <c r="K176">
        <v>249572.92</v>
      </c>
      <c r="L176">
        <v>254444.72</v>
      </c>
      <c r="M176">
        <v>413155.22</v>
      </c>
    </row>
    <row r="177" spans="1:13" x14ac:dyDescent="0.55000000000000004">
      <c r="A177" s="19" t="str">
        <f>_xll.EVPRO("Finance",$C177,"Inv_Type")</f>
        <v>Inv_Equity</v>
      </c>
      <c r="B177" s="19" t="str">
        <f t="shared" si="4"/>
        <v>University Post-Acute Rehab</v>
      </c>
      <c r="C177" s="19" t="str">
        <f t="shared" si="5"/>
        <v>S04639 - University Post-Acute Rehab</v>
      </c>
      <c r="D177" s="3"/>
      <c r="E177" s="3" t="str">
        <f xml:space="preserve"> _xll.EPMOlapMemberO("[ACCOUNT].[H1].[T_MGMT_FEE]","","T_MGMT_FEE - Tenant Management Fee - Actual","","000")</f>
        <v>T_MGMT_FEE - Tenant Management Fee - Actual</v>
      </c>
      <c r="F177">
        <v>30142</v>
      </c>
      <c r="G177">
        <v>19960</v>
      </c>
      <c r="H177">
        <v>33931</v>
      </c>
      <c r="I177">
        <v>43465</v>
      </c>
      <c r="J177">
        <v>43355</v>
      </c>
      <c r="K177">
        <v>38393</v>
      </c>
      <c r="L177">
        <v>39545</v>
      </c>
      <c r="M177">
        <v>46809</v>
      </c>
    </row>
    <row r="178" spans="1:13" x14ac:dyDescent="0.55000000000000004">
      <c r="A178" s="19" t="str">
        <f>_xll.EVPRO("Finance",$C178,"Inv_Type")</f>
        <v>Inv_Equity</v>
      </c>
      <c r="B178" s="19" t="str">
        <f t="shared" si="4"/>
        <v>University Post-Acute Rehab</v>
      </c>
      <c r="C178" s="19" t="str">
        <f t="shared" si="5"/>
        <v>S04639 - University Post-Acute Rehab</v>
      </c>
      <c r="D178" s="3"/>
      <c r="E178" s="2" t="str">
        <f xml:space="preserve"> _xll.EPMOlapMemberO("[ACCOUNT].[H1].[T_EBITDAR]","","T_EBITDAR - EBITDAR","","000")</f>
        <v>T_EBITDAR - EBITDAR</v>
      </c>
      <c r="F178">
        <v>-132022.99</v>
      </c>
      <c r="G178">
        <v>133853.29999999999</v>
      </c>
      <c r="H178">
        <v>275957.68</v>
      </c>
      <c r="I178">
        <v>171610.15</v>
      </c>
      <c r="J178">
        <v>113915.08</v>
      </c>
      <c r="K178">
        <v>211179.92</v>
      </c>
      <c r="L178">
        <v>214899.72</v>
      </c>
      <c r="M178">
        <v>366346.22</v>
      </c>
    </row>
    <row r="179" spans="1:13" x14ac:dyDescent="0.55000000000000004">
      <c r="A179" s="19" t="str">
        <f>_xll.EVPRO("Finance",$C179,"Inv_Type")</f>
        <v>Inv_Equity</v>
      </c>
      <c r="B179" s="19" t="str">
        <f t="shared" si="4"/>
        <v>University Post-Acute Rehab</v>
      </c>
      <c r="C179" s="19" t="str">
        <f t="shared" si="5"/>
        <v>S04639 - University Post-Acute Rehab</v>
      </c>
      <c r="D179" s="3"/>
      <c r="E179" s="2" t="str">
        <f xml:space="preserve"> _xll.EPMOlapMemberO("[ACCOUNT].[H1].[T_COVERAGE_RENT]","","T_COVERAGE_RENT - Coverage Rent","","000")</f>
        <v>T_COVERAGE_RENT - Coverage Rent</v>
      </c>
      <c r="F179">
        <v>150852.34</v>
      </c>
      <c r="G179">
        <v>150852.34</v>
      </c>
      <c r="H179">
        <v>150852.34</v>
      </c>
      <c r="I179">
        <v>150852.34</v>
      </c>
      <c r="J179">
        <v>150852.34</v>
      </c>
      <c r="K179">
        <v>150852.34</v>
      </c>
      <c r="L179">
        <v>150852.34</v>
      </c>
      <c r="M179">
        <v>150852.34</v>
      </c>
    </row>
    <row r="180" spans="1:13" x14ac:dyDescent="0.55000000000000004">
      <c r="A180" s="19" t="str">
        <f>_xll.EVPRO("Finance",$C180,"Inv_Type")</f>
        <v>Inv_Equity</v>
      </c>
      <c r="B180" s="19" t="str">
        <f t="shared" si="4"/>
        <v>University Post-Acute Rehab</v>
      </c>
      <c r="C180" s="19" t="str">
        <f t="shared" si="5"/>
        <v>S04639 - University Post-Acute Rehab</v>
      </c>
      <c r="D180" s="3"/>
      <c r="E180" s="2" t="str">
        <f xml:space="preserve"> _xll.EPMOlapMemberO("[ACCOUNT].[H1].[T_RENT_EXP]","","T_RENT_EXP - Tenant Rent Expense","","000")</f>
        <v>T_RENT_EXP - Tenant Rent Expense</v>
      </c>
      <c r="F180">
        <v>150852.34</v>
      </c>
      <c r="G180">
        <v>150852.34</v>
      </c>
      <c r="H180">
        <v>150852.34</v>
      </c>
      <c r="I180">
        <v>150852.34</v>
      </c>
      <c r="J180">
        <v>150852.34</v>
      </c>
      <c r="K180">
        <v>150852.34</v>
      </c>
      <c r="L180">
        <v>150852.34</v>
      </c>
      <c r="M180">
        <v>150852.34</v>
      </c>
    </row>
    <row r="181" spans="1:13" x14ac:dyDescent="0.55000000000000004">
      <c r="A181" s="19" t="str">
        <f>_xll.EVPRO("Finance",$C181,"Inv_Type")</f>
        <v>Inv_Equity</v>
      </c>
      <c r="B181" s="19" t="str">
        <f t="shared" si="4"/>
        <v>Issaquah Nursing &amp; Rehab Ctr</v>
      </c>
      <c r="C181" s="19" t="str">
        <f t="shared" si="5"/>
        <v>S04641 - Issaquah Nursing &amp; Rehab Ctr</v>
      </c>
      <c r="D181" s="3" t="str">
        <f xml:space="preserve"> _xll.EPMOlapMemberO("[ENTITY].[H1].[S04641]","","S04641 - Issaquah Nursing &amp; Rehab Ctr","","000")</f>
        <v>S04641 - Issaquah Nursing &amp; Rehab Ctr</v>
      </c>
      <c r="E181" s="45" t="str">
        <f xml:space="preserve"> _xll.EPMOlapMemberO("[ACCOUNT].[H1].[PAY_PAT_DAYS]","","PAY_PAT_DAYS - Total Payor Patient Days","","000")</f>
        <v>PAY_PAT_DAYS - Total Payor Patient Days</v>
      </c>
      <c r="F181">
        <v>2090</v>
      </c>
      <c r="G181">
        <v>1995</v>
      </c>
      <c r="H181">
        <v>2185</v>
      </c>
      <c r="I181">
        <v>2154</v>
      </c>
      <c r="J181">
        <v>2185</v>
      </c>
      <c r="K181">
        <v>2193</v>
      </c>
      <c r="L181">
        <v>2313</v>
      </c>
      <c r="M181">
        <v>2416</v>
      </c>
    </row>
    <row r="182" spans="1:13" x14ac:dyDescent="0.55000000000000004">
      <c r="A182" s="19" t="str">
        <f>_xll.EVPRO("Finance",$C182,"Inv_Type")</f>
        <v>Inv_Equity</v>
      </c>
      <c r="B182" s="19" t="str">
        <f t="shared" si="4"/>
        <v>Issaquah Nursing &amp; Rehab Ctr</v>
      </c>
      <c r="C182" s="19" t="str">
        <f t="shared" si="5"/>
        <v>S04641 - Issaquah Nursing &amp; Rehab Ctr</v>
      </c>
      <c r="D182" s="3"/>
      <c r="E182" s="2" t="str">
        <f xml:space="preserve"> _xll.EPMOlapMemberO("[ACCOUNT].[H1].[A_BEDS_TOTAL]","","A_BEDS_TOTAL - Total Available Beds","","000")</f>
        <v>A_BEDS_TOTAL - Total Available Beds</v>
      </c>
      <c r="F182">
        <v>116</v>
      </c>
      <c r="G182">
        <v>116</v>
      </c>
      <c r="H182">
        <v>116</v>
      </c>
      <c r="I182">
        <v>116</v>
      </c>
      <c r="J182">
        <v>116</v>
      </c>
      <c r="K182">
        <v>116</v>
      </c>
      <c r="L182">
        <v>116</v>
      </c>
      <c r="M182">
        <v>116</v>
      </c>
    </row>
    <row r="183" spans="1:13" x14ac:dyDescent="0.55000000000000004">
      <c r="A183" s="19" t="str">
        <f>_xll.EVPRO("Finance",$C183,"Inv_Type")</f>
        <v>Inv_Equity</v>
      </c>
      <c r="B183" s="19" t="str">
        <f t="shared" si="4"/>
        <v>Issaquah Nursing &amp; Rehab Ctr</v>
      </c>
      <c r="C183" s="19" t="str">
        <f t="shared" si="5"/>
        <v>S04641 - Issaquah Nursing &amp; Rehab Ctr</v>
      </c>
      <c r="D183" s="3"/>
      <c r="E183" s="9" t="str">
        <f xml:space="preserve"> _xll.EPMOlapMemberO("[ACCOUNT].[H1].[T_REVENUES]","","T_REVENUES - Total Tenant Revenues","","000")</f>
        <v>T_REVENUES - Total Tenant Revenues</v>
      </c>
      <c r="F183">
        <v>814301.11</v>
      </c>
      <c r="G183">
        <v>779114.12</v>
      </c>
      <c r="H183">
        <v>823348.18</v>
      </c>
      <c r="I183">
        <v>855795.21</v>
      </c>
      <c r="J183">
        <v>818207.91</v>
      </c>
      <c r="K183">
        <v>857678.09</v>
      </c>
      <c r="L183">
        <v>872787</v>
      </c>
      <c r="M183">
        <v>939749.51</v>
      </c>
    </row>
    <row r="184" spans="1:13" x14ac:dyDescent="0.55000000000000004">
      <c r="A184" s="19" t="str">
        <f>_xll.EVPRO("Finance",$C184,"Inv_Type")</f>
        <v>Inv_Equity</v>
      </c>
      <c r="B184" s="19" t="str">
        <f t="shared" si="4"/>
        <v>Issaquah Nursing &amp; Rehab Ctr</v>
      </c>
      <c r="C184" s="19" t="str">
        <f t="shared" si="5"/>
        <v>S04641 - Issaquah Nursing &amp; Rehab Ctr</v>
      </c>
      <c r="D184" s="3"/>
      <c r="E184" s="9" t="str">
        <f xml:space="preserve"> _xll.EPMOlapMemberO("[ACCOUNT].[H1].[T_OPEX]","","T_OPEX - Tenant Operating Expenses","","000")</f>
        <v>T_OPEX - Tenant Operating Expenses</v>
      </c>
      <c r="F184">
        <v>751255.23</v>
      </c>
      <c r="G184">
        <v>709868.25</v>
      </c>
      <c r="H184">
        <v>808458.99</v>
      </c>
      <c r="I184">
        <v>829821.14</v>
      </c>
      <c r="J184">
        <v>776774.67</v>
      </c>
      <c r="K184">
        <v>853591.95</v>
      </c>
      <c r="L184">
        <v>893189.2</v>
      </c>
      <c r="M184">
        <v>890401.94</v>
      </c>
    </row>
    <row r="185" spans="1:13" x14ac:dyDescent="0.55000000000000004">
      <c r="A185" s="19" t="str">
        <f>_xll.EVPRO("Finance",$C185,"Inv_Type")</f>
        <v>Inv_Equity</v>
      </c>
      <c r="B185" s="19" t="str">
        <f t="shared" si="4"/>
        <v>Issaquah Nursing &amp; Rehab Ctr</v>
      </c>
      <c r="C185" s="19" t="str">
        <f t="shared" si="5"/>
        <v>S04641 - Issaquah Nursing &amp; Rehab Ctr</v>
      </c>
      <c r="D185" s="3"/>
      <c r="E185" s="2" t="str">
        <f xml:space="preserve"> _xll.EPMOlapMemberO("[ACCOUNT].[H1].[T_NON_OP_EXP]","","T_NON_OP_EXP - Tenant Non-Operating Expense","","000")</f>
        <v>T_NON_OP_EXP - Tenant Non-Operating Expense</v>
      </c>
      <c r="F185">
        <v>37098.47</v>
      </c>
      <c r="G185">
        <v>-6201.09</v>
      </c>
      <c r="H185">
        <v>37856.21</v>
      </c>
      <c r="I185">
        <v>15663.71</v>
      </c>
      <c r="J185">
        <v>15988.71</v>
      </c>
      <c r="K185">
        <v>15711.21</v>
      </c>
      <c r="L185">
        <v>15943.42</v>
      </c>
      <c r="M185">
        <v>16072.65</v>
      </c>
    </row>
    <row r="186" spans="1:13" x14ac:dyDescent="0.55000000000000004">
      <c r="A186" s="19" t="str">
        <f>_xll.EVPRO("Finance",$C186,"Inv_Type")</f>
        <v>Inv_Equity</v>
      </c>
      <c r="B186" s="19" t="str">
        <f t="shared" si="4"/>
        <v>Issaquah Nursing &amp; Rehab Ctr</v>
      </c>
      <c r="C186" s="19" t="str">
        <f t="shared" si="5"/>
        <v>S04641 - Issaquah Nursing &amp; Rehab Ctr</v>
      </c>
      <c r="D186" s="3"/>
      <c r="E186" s="10" t="str">
        <f xml:space="preserve"> _xll.EPMOlapMemberO("[ACCOUNT].[H1].[T_BAD_DEBT]","","T_BAD_DEBT - Tenant Bad Debt Expense","","000")</f>
        <v>T_BAD_DEBT - Tenant Bad Debt Expense</v>
      </c>
      <c r="F186">
        <v>-33739.61</v>
      </c>
      <c r="G186">
        <v>-15293.2</v>
      </c>
      <c r="H186">
        <v>2081.04</v>
      </c>
      <c r="I186">
        <v>-1420.79</v>
      </c>
      <c r="J186">
        <v>-13605.33</v>
      </c>
      <c r="K186">
        <v>59777.8</v>
      </c>
      <c r="L186">
        <v>36261.870000000003</v>
      </c>
      <c r="M186">
        <v>30610.2</v>
      </c>
    </row>
    <row r="187" spans="1:13" x14ac:dyDescent="0.55000000000000004">
      <c r="A187" s="19" t="str">
        <f>_xll.EVPRO("Finance",$C187,"Inv_Type")</f>
        <v>Inv_Equity</v>
      </c>
      <c r="B187" s="19" t="str">
        <f t="shared" si="4"/>
        <v>Issaquah Nursing &amp; Rehab Ctr</v>
      </c>
      <c r="C187" s="19" t="str">
        <f t="shared" si="5"/>
        <v>S04641 - Issaquah Nursing &amp; Rehab Ctr</v>
      </c>
      <c r="D187" s="3"/>
      <c r="E187" s="3" t="str">
        <f xml:space="preserve"> _xll.EPMOlapMemberO("[ACCOUNT].[H1].[T_EBITDARM]","","T_EBITDARM - EBITDARM","","000")</f>
        <v>T_EBITDARM - EBITDARM</v>
      </c>
      <c r="F187">
        <v>63045.88</v>
      </c>
      <c r="G187">
        <v>69245.87</v>
      </c>
      <c r="H187">
        <v>14889.1899999999</v>
      </c>
      <c r="I187">
        <v>25974.070000000102</v>
      </c>
      <c r="J187">
        <v>41433.24</v>
      </c>
      <c r="K187">
        <v>4086.1400000001299</v>
      </c>
      <c r="L187">
        <v>-20402.200000000099</v>
      </c>
      <c r="M187">
        <v>49347.570000000102</v>
      </c>
    </row>
    <row r="188" spans="1:13" x14ac:dyDescent="0.55000000000000004">
      <c r="A188" s="19" t="str">
        <f>_xll.EVPRO("Finance",$C188,"Inv_Type")</f>
        <v>Inv_Equity</v>
      </c>
      <c r="B188" s="19" t="str">
        <f t="shared" si="4"/>
        <v>Issaquah Nursing &amp; Rehab Ctr</v>
      </c>
      <c r="C188" s="19" t="str">
        <f t="shared" si="5"/>
        <v>S04641 - Issaquah Nursing &amp; Rehab Ctr</v>
      </c>
      <c r="D188" s="3"/>
      <c r="E188" s="3" t="str">
        <f xml:space="preserve"> _xll.EPMOlapMemberO("[ACCOUNT].[H1].[T_MGMT_FEE]","","T_MGMT_FEE - Tenant Management Fee - Actual","","000")</f>
        <v>T_MGMT_FEE - Tenant Management Fee - Actual</v>
      </c>
      <c r="F188">
        <v>47304</v>
      </c>
      <c r="G188">
        <v>40715</v>
      </c>
      <c r="H188">
        <v>38954</v>
      </c>
      <c r="I188">
        <v>41178</v>
      </c>
      <c r="J188">
        <v>42789</v>
      </c>
      <c r="K188">
        <v>40910</v>
      </c>
      <c r="L188">
        <v>42883</v>
      </c>
      <c r="M188">
        <v>43639</v>
      </c>
    </row>
    <row r="189" spans="1:13" x14ac:dyDescent="0.55000000000000004">
      <c r="A189" s="19" t="str">
        <f>_xll.EVPRO("Finance",$C189,"Inv_Type")</f>
        <v>Inv_Equity</v>
      </c>
      <c r="B189" s="19" t="str">
        <f t="shared" si="4"/>
        <v>Issaquah Nursing &amp; Rehab Ctr</v>
      </c>
      <c r="C189" s="19" t="str">
        <f t="shared" si="5"/>
        <v>S04641 - Issaquah Nursing &amp; Rehab Ctr</v>
      </c>
      <c r="D189" s="3"/>
      <c r="E189" s="2" t="str">
        <f xml:space="preserve"> _xll.EPMOlapMemberO("[ACCOUNT].[H1].[T_EBITDAR]","","T_EBITDAR - EBITDAR","","000")</f>
        <v>T_EBITDAR - EBITDAR</v>
      </c>
      <c r="F189">
        <v>15741.88</v>
      </c>
      <c r="G189">
        <v>28530.87</v>
      </c>
      <c r="H189">
        <v>-24064.8100000001</v>
      </c>
      <c r="I189">
        <v>-15203.9299999999</v>
      </c>
      <c r="J189">
        <v>-1355.76000000001</v>
      </c>
      <c r="K189">
        <v>-36823.859999999899</v>
      </c>
      <c r="L189">
        <v>-63285.200000000099</v>
      </c>
      <c r="M189">
        <v>5708.5700000000697</v>
      </c>
    </row>
    <row r="190" spans="1:13" x14ac:dyDescent="0.55000000000000004">
      <c r="A190" s="19" t="str">
        <f>_xll.EVPRO("Finance",$C190,"Inv_Type")</f>
        <v>Inv_Equity</v>
      </c>
      <c r="B190" s="19" t="str">
        <f t="shared" si="4"/>
        <v>Issaquah Nursing &amp; Rehab Ctr</v>
      </c>
      <c r="C190" s="19" t="str">
        <f t="shared" si="5"/>
        <v>S04641 - Issaquah Nursing &amp; Rehab Ctr</v>
      </c>
      <c r="D190" s="3"/>
      <c r="E190" s="2" t="str">
        <f xml:space="preserve"> _xll.EPMOlapMemberO("[ACCOUNT].[H1].[T_COVERAGE_RENT]","","T_COVERAGE_RENT - Coverage Rent","","000")</f>
        <v>T_COVERAGE_RENT - Coverage Rent</v>
      </c>
      <c r="F190">
        <v>129517.92</v>
      </c>
      <c r="G190">
        <v>129517.92</v>
      </c>
      <c r="H190">
        <v>129517.92</v>
      </c>
      <c r="I190">
        <v>129517.92</v>
      </c>
      <c r="J190">
        <v>129517.92</v>
      </c>
      <c r="K190">
        <v>129517.92</v>
      </c>
      <c r="L190">
        <v>129517.92</v>
      </c>
      <c r="M190">
        <v>129517.92</v>
      </c>
    </row>
    <row r="191" spans="1:13" x14ac:dyDescent="0.55000000000000004">
      <c r="A191" s="19" t="str">
        <f>_xll.EVPRO("Finance",$C191,"Inv_Type")</f>
        <v>Inv_Equity</v>
      </c>
      <c r="B191" s="19" t="str">
        <f t="shared" si="4"/>
        <v>Issaquah Nursing &amp; Rehab Ctr</v>
      </c>
      <c r="C191" s="19" t="str">
        <f t="shared" si="5"/>
        <v>S04641 - Issaquah Nursing &amp; Rehab Ctr</v>
      </c>
      <c r="D191" s="3"/>
      <c r="E191" s="2" t="str">
        <f xml:space="preserve"> _xll.EPMOlapMemberO("[ACCOUNT].[H1].[T_RENT_EXP]","","T_RENT_EXP - Tenant Rent Expense","","000")</f>
        <v>T_RENT_EXP - Tenant Rent Expense</v>
      </c>
      <c r="F191">
        <v>129517.92</v>
      </c>
      <c r="G191">
        <v>129517.92</v>
      </c>
      <c r="H191">
        <v>129517.92</v>
      </c>
      <c r="I191">
        <v>129517.92</v>
      </c>
      <c r="J191">
        <v>129517.92</v>
      </c>
      <c r="K191">
        <v>129517.92</v>
      </c>
      <c r="L191">
        <v>129517.92</v>
      </c>
      <c r="M191">
        <v>129517.92</v>
      </c>
    </row>
    <row r="192" spans="1:13" x14ac:dyDescent="0.55000000000000004">
      <c r="A192" s="19" t="str">
        <f>_xll.EVPRO("Finance",$C192,"Inv_Type")</f>
        <v>Inv_Equity</v>
      </c>
      <c r="B192" s="19" t="str">
        <f t="shared" si="4"/>
        <v>Alamitos-Belmont Rehab Hosp</v>
      </c>
      <c r="C192" s="19" t="str">
        <f t="shared" si="5"/>
        <v>S04643 - Alamitos-Belmont Rehab Hosp</v>
      </c>
      <c r="D192" s="3" t="str">
        <f xml:space="preserve"> _xll.EPMOlapMemberO("[ENTITY].[H1].[S04643]","","S04643 - Alamitos-Belmont Rehab Hosp","","000")</f>
        <v>S04643 - Alamitos-Belmont Rehab Hosp</v>
      </c>
      <c r="E192" s="45" t="str">
        <f xml:space="preserve"> _xll.EPMOlapMemberO("[ACCOUNT].[H1].[PAY_PAT_DAYS]","","PAY_PAT_DAYS - Total Payor Patient Days","","000")</f>
        <v>PAY_PAT_DAYS - Total Payor Patient Days</v>
      </c>
      <c r="F192">
        <v>1243</v>
      </c>
      <c r="G192">
        <v>1524</v>
      </c>
      <c r="H192">
        <v>1887</v>
      </c>
      <c r="I192">
        <v>2042</v>
      </c>
      <c r="J192">
        <v>2113</v>
      </c>
      <c r="K192">
        <v>2151</v>
      </c>
      <c r="L192">
        <v>2261</v>
      </c>
      <c r="M192">
        <v>2118</v>
      </c>
    </row>
    <row r="193" spans="1:13" x14ac:dyDescent="0.55000000000000004">
      <c r="A193" s="19" t="str">
        <f>_xll.EVPRO("Finance",$C193,"Inv_Type")</f>
        <v>Inv_Equity</v>
      </c>
      <c r="B193" s="19" t="str">
        <f t="shared" si="4"/>
        <v>Alamitos-Belmont Rehab Hosp</v>
      </c>
      <c r="C193" s="19" t="str">
        <f t="shared" si="5"/>
        <v>S04643 - Alamitos-Belmont Rehab Hosp</v>
      </c>
      <c r="D193" s="3"/>
      <c r="E193" s="2" t="str">
        <f xml:space="preserve"> _xll.EPMOlapMemberO("[ACCOUNT].[H1].[A_BEDS_TOTAL]","","A_BEDS_TOTAL - Total Available Beds","","000")</f>
        <v>A_BEDS_TOTAL - Total Available Beds</v>
      </c>
      <c r="F193">
        <v>94</v>
      </c>
      <c r="G193">
        <v>94</v>
      </c>
      <c r="H193">
        <v>94</v>
      </c>
      <c r="I193">
        <v>94</v>
      </c>
      <c r="J193">
        <v>94</v>
      </c>
      <c r="K193">
        <v>94</v>
      </c>
      <c r="L193">
        <v>94</v>
      </c>
      <c r="M193">
        <v>94</v>
      </c>
    </row>
    <row r="194" spans="1:13" x14ac:dyDescent="0.55000000000000004">
      <c r="A194" s="19" t="str">
        <f>_xll.EVPRO("Finance",$C194,"Inv_Type")</f>
        <v>Inv_Equity</v>
      </c>
      <c r="B194" s="19" t="str">
        <f t="shared" si="4"/>
        <v>Alamitos-Belmont Rehab Hosp</v>
      </c>
      <c r="C194" s="19" t="str">
        <f t="shared" si="5"/>
        <v>S04643 - Alamitos-Belmont Rehab Hosp</v>
      </c>
      <c r="D194" s="3"/>
      <c r="E194" s="9" t="str">
        <f xml:space="preserve"> _xll.EPMOlapMemberO("[ACCOUNT].[H1].[T_REVENUES]","","T_REVENUES - Total Tenant Revenues","","000")</f>
        <v>T_REVENUES - Total Tenant Revenues</v>
      </c>
      <c r="F194">
        <v>608358.6</v>
      </c>
      <c r="G194">
        <v>806396.44</v>
      </c>
      <c r="H194">
        <v>989495.21</v>
      </c>
      <c r="I194">
        <v>1077007.57</v>
      </c>
      <c r="J194">
        <v>1119768.02</v>
      </c>
      <c r="K194">
        <v>1181215.46</v>
      </c>
      <c r="L194">
        <v>1178306.6100000001</v>
      </c>
      <c r="M194">
        <v>1043496.84</v>
      </c>
    </row>
    <row r="195" spans="1:13" x14ac:dyDescent="0.55000000000000004">
      <c r="A195" s="19" t="str">
        <f>_xll.EVPRO("Finance",$C195,"Inv_Type")</f>
        <v>Inv_Equity</v>
      </c>
      <c r="B195" s="19" t="str">
        <f t="shared" si="4"/>
        <v>Alamitos-Belmont Rehab Hosp</v>
      </c>
      <c r="C195" s="19" t="str">
        <f t="shared" si="5"/>
        <v>S04643 - Alamitos-Belmont Rehab Hosp</v>
      </c>
      <c r="D195" s="3"/>
      <c r="E195" s="9" t="str">
        <f xml:space="preserve"> _xll.EPMOlapMemberO("[ACCOUNT].[H1].[T_OPEX]","","T_OPEX - Tenant Operating Expenses","","000")</f>
        <v>T_OPEX - Tenant Operating Expenses</v>
      </c>
      <c r="F195">
        <v>553392.22</v>
      </c>
      <c r="G195">
        <v>726963.28</v>
      </c>
      <c r="H195">
        <v>820596.39</v>
      </c>
      <c r="I195">
        <v>789039.07</v>
      </c>
      <c r="J195">
        <v>758895.81</v>
      </c>
      <c r="K195">
        <v>849369.03</v>
      </c>
      <c r="L195">
        <v>871187.3</v>
      </c>
      <c r="M195">
        <v>850362.56</v>
      </c>
    </row>
    <row r="196" spans="1:13" x14ac:dyDescent="0.55000000000000004">
      <c r="A196" s="19" t="str">
        <f>_xll.EVPRO("Finance",$C196,"Inv_Type")</f>
        <v>Inv_Equity</v>
      </c>
      <c r="B196" s="19" t="str">
        <f t="shared" si="4"/>
        <v>Alamitos-Belmont Rehab Hosp</v>
      </c>
      <c r="C196" s="19" t="str">
        <f t="shared" si="5"/>
        <v>S04643 - Alamitos-Belmont Rehab Hosp</v>
      </c>
      <c r="D196" s="3"/>
      <c r="E196" s="2" t="str">
        <f xml:space="preserve"> _xll.EPMOlapMemberO("[ACCOUNT].[H1].[T_NON_OP_EXP]","","T_NON_OP_EXP - Tenant Non-Operating Expense","","000")</f>
        <v>T_NON_OP_EXP - Tenant Non-Operating Expense</v>
      </c>
      <c r="F196">
        <v>17414.77</v>
      </c>
      <c r="G196">
        <v>18011.759999999998</v>
      </c>
      <c r="H196">
        <v>16851.009999999998</v>
      </c>
      <c r="I196">
        <v>17353.009999999998</v>
      </c>
      <c r="J196">
        <v>25151.78</v>
      </c>
      <c r="K196">
        <v>21452.3</v>
      </c>
      <c r="L196">
        <v>13333.66</v>
      </c>
      <c r="M196">
        <v>27787.29</v>
      </c>
    </row>
    <row r="197" spans="1:13" x14ac:dyDescent="0.55000000000000004">
      <c r="A197" s="19" t="str">
        <f>_xll.EVPRO("Finance",$C197,"Inv_Type")</f>
        <v>Inv_Equity</v>
      </c>
      <c r="B197" s="19" t="str">
        <f t="shared" si="4"/>
        <v>Alamitos-Belmont Rehab Hosp</v>
      </c>
      <c r="C197" s="19" t="str">
        <f t="shared" si="5"/>
        <v>S04643 - Alamitos-Belmont Rehab Hosp</v>
      </c>
      <c r="D197" s="3"/>
      <c r="E197" s="10" t="str">
        <f xml:space="preserve"> _xll.EPMOlapMemberO("[ACCOUNT].[H1].[T_BAD_DEBT]","","T_BAD_DEBT - Tenant Bad Debt Expense","","000")</f>
        <v>T_BAD_DEBT - Tenant Bad Debt Expense</v>
      </c>
      <c r="F197">
        <v>-11879.73</v>
      </c>
      <c r="G197">
        <v>-5421.02</v>
      </c>
      <c r="H197">
        <v>41044.980000000003</v>
      </c>
      <c r="I197">
        <v>-29186.34</v>
      </c>
      <c r="J197">
        <v>-89618.27</v>
      </c>
      <c r="K197">
        <v>-16201.58</v>
      </c>
      <c r="L197">
        <v>-29632.57</v>
      </c>
      <c r="M197">
        <v>12267.61</v>
      </c>
    </row>
    <row r="198" spans="1:13" x14ac:dyDescent="0.55000000000000004">
      <c r="A198" s="19" t="str">
        <f>_xll.EVPRO("Finance",$C198,"Inv_Type")</f>
        <v>Inv_Equity</v>
      </c>
      <c r="B198" s="19" t="str">
        <f t="shared" ref="B198:B261" si="6">MID($C198,FIND("- ",$C198)+2,10000)</f>
        <v>Alamitos-Belmont Rehab Hosp</v>
      </c>
      <c r="C198" s="19" t="str">
        <f t="shared" ref="C198:C261" si="7">IF(D198&lt;&gt;"",D198,C197)</f>
        <v>S04643 - Alamitos-Belmont Rehab Hosp</v>
      </c>
      <c r="D198" s="3"/>
      <c r="E198" s="3" t="str">
        <f xml:space="preserve"> _xll.EPMOlapMemberO("[ACCOUNT].[H1].[T_EBITDARM]","","T_EBITDARM - EBITDARM","","000")</f>
        <v>T_EBITDARM - EBITDARM</v>
      </c>
      <c r="F198">
        <v>54966.380000000099</v>
      </c>
      <c r="G198">
        <v>79433.16</v>
      </c>
      <c r="H198">
        <v>168898.82</v>
      </c>
      <c r="I198">
        <v>287968.5</v>
      </c>
      <c r="J198">
        <v>360872.21</v>
      </c>
      <c r="K198">
        <v>331846.43</v>
      </c>
      <c r="L198">
        <v>307119.31</v>
      </c>
      <c r="M198">
        <v>193134.28</v>
      </c>
    </row>
    <row r="199" spans="1:13" x14ac:dyDescent="0.55000000000000004">
      <c r="A199" s="19" t="str">
        <f>_xll.EVPRO("Finance",$C199,"Inv_Type")</f>
        <v>Inv_Equity</v>
      </c>
      <c r="B199" s="19" t="str">
        <f t="shared" si="6"/>
        <v>Alamitos-Belmont Rehab Hosp</v>
      </c>
      <c r="C199" s="19" t="str">
        <f t="shared" si="7"/>
        <v>S04643 - Alamitos-Belmont Rehab Hosp</v>
      </c>
      <c r="D199" s="3"/>
      <c r="E199" s="3" t="str">
        <f xml:space="preserve"> _xll.EPMOlapMemberO("[ACCOUNT].[H1].[T_MGMT_FEE]","","T_MGMT_FEE - Tenant Management Fee - Actual","","000")</f>
        <v>T_MGMT_FEE - Tenant Management Fee - Actual</v>
      </c>
      <c r="F199">
        <v>31985</v>
      </c>
      <c r="G199">
        <v>30417</v>
      </c>
      <c r="H199">
        <v>40319</v>
      </c>
      <c r="I199">
        <v>49474</v>
      </c>
      <c r="J199">
        <v>53850</v>
      </c>
      <c r="K199">
        <v>55988</v>
      </c>
      <c r="L199">
        <v>59060</v>
      </c>
      <c r="M199">
        <v>58915</v>
      </c>
    </row>
    <row r="200" spans="1:13" x14ac:dyDescent="0.55000000000000004">
      <c r="A200" s="19" t="str">
        <f>_xll.EVPRO("Finance",$C200,"Inv_Type")</f>
        <v>Inv_Equity</v>
      </c>
      <c r="B200" s="19" t="str">
        <f t="shared" si="6"/>
        <v>Alamitos-Belmont Rehab Hosp</v>
      </c>
      <c r="C200" s="19" t="str">
        <f t="shared" si="7"/>
        <v>S04643 - Alamitos-Belmont Rehab Hosp</v>
      </c>
      <c r="D200" s="3"/>
      <c r="E200" s="2" t="str">
        <f xml:space="preserve"> _xll.EPMOlapMemberO("[ACCOUNT].[H1].[T_EBITDAR]","","T_EBITDAR - EBITDAR","","000")</f>
        <v>T_EBITDAR - EBITDAR</v>
      </c>
      <c r="F200">
        <v>22981.380000000099</v>
      </c>
      <c r="G200">
        <v>49016.160000000003</v>
      </c>
      <c r="H200">
        <v>128579.82</v>
      </c>
      <c r="I200">
        <v>238494.5</v>
      </c>
      <c r="J200">
        <v>307022.21000000002</v>
      </c>
      <c r="K200">
        <v>275858.43</v>
      </c>
      <c r="L200">
        <v>248059.31</v>
      </c>
      <c r="M200">
        <v>134219.28</v>
      </c>
    </row>
    <row r="201" spans="1:13" x14ac:dyDescent="0.55000000000000004">
      <c r="A201" s="19" t="str">
        <f>_xll.EVPRO("Finance",$C201,"Inv_Type")</f>
        <v>Inv_Equity</v>
      </c>
      <c r="B201" s="19" t="str">
        <f t="shared" si="6"/>
        <v>Alamitos-Belmont Rehab Hosp</v>
      </c>
      <c r="C201" s="19" t="str">
        <f t="shared" si="7"/>
        <v>S04643 - Alamitos-Belmont Rehab Hosp</v>
      </c>
      <c r="D201" s="3"/>
      <c r="E201" s="2" t="str">
        <f xml:space="preserve"> _xll.EPMOlapMemberO("[ACCOUNT].[H1].[T_COVERAGE_RENT]","","T_COVERAGE_RENT - Coverage Rent","","000")</f>
        <v>T_COVERAGE_RENT - Coverage Rent</v>
      </c>
      <c r="F201">
        <v>182712.28</v>
      </c>
      <c r="G201">
        <v>182712.28</v>
      </c>
      <c r="H201">
        <v>182712.28</v>
      </c>
      <c r="I201">
        <v>182712.28</v>
      </c>
      <c r="J201">
        <v>182712.28</v>
      </c>
      <c r="K201">
        <v>182712.28</v>
      </c>
      <c r="L201">
        <v>182712.28</v>
      </c>
      <c r="M201">
        <v>182712.28</v>
      </c>
    </row>
    <row r="202" spans="1:13" x14ac:dyDescent="0.55000000000000004">
      <c r="A202" s="19" t="str">
        <f>_xll.EVPRO("Finance",$C202,"Inv_Type")</f>
        <v>Inv_Equity</v>
      </c>
      <c r="B202" s="19" t="str">
        <f t="shared" si="6"/>
        <v>Alamitos-Belmont Rehab Hosp</v>
      </c>
      <c r="C202" s="19" t="str">
        <f t="shared" si="7"/>
        <v>S04643 - Alamitos-Belmont Rehab Hosp</v>
      </c>
      <c r="D202" s="3"/>
      <c r="E202" s="2" t="str">
        <f xml:space="preserve"> _xll.EPMOlapMemberO("[ACCOUNT].[H1].[T_RENT_EXP]","","T_RENT_EXP - Tenant Rent Expense","","000")</f>
        <v>T_RENT_EXP - Tenant Rent Expense</v>
      </c>
      <c r="F202">
        <v>182712.27</v>
      </c>
      <c r="G202">
        <v>182712.27</v>
      </c>
      <c r="H202">
        <v>182712.27</v>
      </c>
      <c r="I202">
        <v>182712.27</v>
      </c>
      <c r="J202">
        <v>182712.27</v>
      </c>
      <c r="K202">
        <v>182712.27</v>
      </c>
      <c r="L202">
        <v>182712.27</v>
      </c>
      <c r="M202">
        <v>182712.27</v>
      </c>
    </row>
    <row r="203" spans="1:13" x14ac:dyDescent="0.55000000000000004">
      <c r="A203" s="19" t="str">
        <f>_xll.EVPRO("Finance",$C203,"Inv_Type")</f>
        <v>Inv_Equity</v>
      </c>
      <c r="B203" s="19" t="str">
        <f t="shared" si="6"/>
        <v>Edgewater Skilled Nursing Ctr</v>
      </c>
      <c r="C203" s="19" t="str">
        <f t="shared" si="7"/>
        <v>S04645 - Edgewater Skilled Nursing Ctr</v>
      </c>
      <c r="D203" s="3" t="str">
        <f xml:space="preserve"> _xll.EPMOlapMemberO("[ENTITY].[H1].[S04645]","","S04645 - Edgewater Skilled Nursing Ctr","","000")</f>
        <v>S04645 - Edgewater Skilled Nursing Ctr</v>
      </c>
      <c r="E203" s="45" t="str">
        <f xml:space="preserve"> _xll.EPMOlapMemberO("[ACCOUNT].[H1].[PAY_PAT_DAYS]","","PAY_PAT_DAYS - Total Payor Patient Days","","000")</f>
        <v>PAY_PAT_DAYS - Total Payor Patient Days</v>
      </c>
      <c r="F203">
        <v>1963</v>
      </c>
      <c r="G203">
        <v>1576</v>
      </c>
      <c r="H203">
        <v>1877</v>
      </c>
      <c r="I203">
        <v>1882</v>
      </c>
      <c r="J203">
        <v>1942</v>
      </c>
      <c r="K203">
        <v>1950</v>
      </c>
      <c r="L203">
        <v>2060</v>
      </c>
      <c r="M203">
        <v>2099</v>
      </c>
    </row>
    <row r="204" spans="1:13" x14ac:dyDescent="0.55000000000000004">
      <c r="A204" s="19" t="str">
        <f>_xll.EVPRO("Finance",$C204,"Inv_Type")</f>
        <v>Inv_Equity</v>
      </c>
      <c r="B204" s="19" t="str">
        <f t="shared" si="6"/>
        <v>Edgewater Skilled Nursing Ctr</v>
      </c>
      <c r="C204" s="19" t="str">
        <f t="shared" si="7"/>
        <v>S04645 - Edgewater Skilled Nursing Ctr</v>
      </c>
      <c r="D204" s="3"/>
      <c r="E204" s="2" t="str">
        <f xml:space="preserve"> _xll.EPMOlapMemberO("[ACCOUNT].[H1].[A_BEDS_TOTAL]","","A_BEDS_TOTAL - Total Available Beds","","000")</f>
        <v>A_BEDS_TOTAL - Total Available Beds</v>
      </c>
      <c r="F204">
        <v>81</v>
      </c>
      <c r="G204">
        <v>81</v>
      </c>
      <c r="H204">
        <v>81</v>
      </c>
      <c r="I204">
        <v>81</v>
      </c>
      <c r="J204">
        <v>81</v>
      </c>
      <c r="K204">
        <v>81</v>
      </c>
      <c r="L204">
        <v>81</v>
      </c>
      <c r="M204">
        <v>81</v>
      </c>
    </row>
    <row r="205" spans="1:13" x14ac:dyDescent="0.55000000000000004">
      <c r="A205" s="19" t="str">
        <f>_xll.EVPRO("Finance",$C205,"Inv_Type")</f>
        <v>Inv_Equity</v>
      </c>
      <c r="B205" s="19" t="str">
        <f t="shared" si="6"/>
        <v>Edgewater Skilled Nursing Ctr</v>
      </c>
      <c r="C205" s="19" t="str">
        <f t="shared" si="7"/>
        <v>S04645 - Edgewater Skilled Nursing Ctr</v>
      </c>
      <c r="D205" s="3"/>
      <c r="E205" s="9" t="str">
        <f xml:space="preserve"> _xll.EPMOlapMemberO("[ACCOUNT].[H1].[T_REVENUES]","","T_REVENUES - Total Tenant Revenues","","000")</f>
        <v>T_REVENUES - Total Tenant Revenues</v>
      </c>
      <c r="F205">
        <v>1167839.74</v>
      </c>
      <c r="G205">
        <v>1146439.52</v>
      </c>
      <c r="H205">
        <v>897446.58</v>
      </c>
      <c r="I205">
        <v>832065.67</v>
      </c>
      <c r="J205">
        <v>910392.75</v>
      </c>
      <c r="K205">
        <v>916296.65</v>
      </c>
      <c r="L205">
        <v>944566.15</v>
      </c>
      <c r="M205">
        <v>980681.84</v>
      </c>
    </row>
    <row r="206" spans="1:13" x14ac:dyDescent="0.55000000000000004">
      <c r="A206" s="19" t="str">
        <f>_xll.EVPRO("Finance",$C206,"Inv_Type")</f>
        <v>Inv_Equity</v>
      </c>
      <c r="B206" s="19" t="str">
        <f t="shared" si="6"/>
        <v>Edgewater Skilled Nursing Ctr</v>
      </c>
      <c r="C206" s="19" t="str">
        <f t="shared" si="7"/>
        <v>S04645 - Edgewater Skilled Nursing Ctr</v>
      </c>
      <c r="D206" s="3"/>
      <c r="E206" s="9" t="str">
        <f xml:space="preserve"> _xll.EPMOlapMemberO("[ACCOUNT].[H1].[T_OPEX]","","T_OPEX - Tenant Operating Expenses","","000")</f>
        <v>T_OPEX - Tenant Operating Expenses</v>
      </c>
      <c r="F206">
        <v>722790.22</v>
      </c>
      <c r="G206">
        <v>623262.04</v>
      </c>
      <c r="H206">
        <v>696212.78</v>
      </c>
      <c r="I206">
        <v>662835.47</v>
      </c>
      <c r="J206">
        <v>674422.28</v>
      </c>
      <c r="K206">
        <v>640123.36</v>
      </c>
      <c r="L206">
        <v>758133.94</v>
      </c>
      <c r="M206">
        <v>656908.6</v>
      </c>
    </row>
    <row r="207" spans="1:13" x14ac:dyDescent="0.55000000000000004">
      <c r="A207" s="19" t="str">
        <f>_xll.EVPRO("Finance",$C207,"Inv_Type")</f>
        <v>Inv_Equity</v>
      </c>
      <c r="B207" s="19" t="str">
        <f t="shared" si="6"/>
        <v>Edgewater Skilled Nursing Ctr</v>
      </c>
      <c r="C207" s="19" t="str">
        <f t="shared" si="7"/>
        <v>S04645 - Edgewater Skilled Nursing Ctr</v>
      </c>
      <c r="D207" s="3"/>
      <c r="E207" s="2" t="str">
        <f xml:space="preserve"> _xll.EPMOlapMemberO("[ACCOUNT].[H1].[T_NON_OP_EXP]","","T_NON_OP_EXP - Tenant Non-Operating Expense","","000")</f>
        <v>T_NON_OP_EXP - Tenant Non-Operating Expense</v>
      </c>
      <c r="F207">
        <v>8143.42</v>
      </c>
      <c r="G207">
        <v>28143.42</v>
      </c>
      <c r="H207">
        <v>56648.24</v>
      </c>
      <c r="I207">
        <v>8441.74</v>
      </c>
      <c r="J207">
        <v>8471.32</v>
      </c>
      <c r="K207">
        <v>9358.32</v>
      </c>
      <c r="L207">
        <v>8471.32</v>
      </c>
      <c r="M207">
        <v>28471.32</v>
      </c>
    </row>
    <row r="208" spans="1:13" x14ac:dyDescent="0.55000000000000004">
      <c r="A208" s="19" t="str">
        <f>_xll.EVPRO("Finance",$C208,"Inv_Type")</f>
        <v>Inv_Equity</v>
      </c>
      <c r="B208" s="19" t="str">
        <f t="shared" si="6"/>
        <v>Edgewater Skilled Nursing Ctr</v>
      </c>
      <c r="C208" s="19" t="str">
        <f t="shared" si="7"/>
        <v>S04645 - Edgewater Skilled Nursing Ctr</v>
      </c>
      <c r="D208" s="3"/>
      <c r="E208" s="10" t="str">
        <f xml:space="preserve"> _xll.EPMOlapMemberO("[ACCOUNT].[H1].[T_BAD_DEBT]","","T_BAD_DEBT - Tenant Bad Debt Expense","","000")</f>
        <v>T_BAD_DEBT - Tenant Bad Debt Expense</v>
      </c>
      <c r="F208">
        <v>12839.6</v>
      </c>
      <c r="G208">
        <v>-65522.14</v>
      </c>
      <c r="H208">
        <v>-19980.759999999998</v>
      </c>
      <c r="I208">
        <v>31906.43</v>
      </c>
      <c r="J208">
        <v>21335.8</v>
      </c>
      <c r="K208">
        <v>-29215.49</v>
      </c>
      <c r="L208">
        <v>82977.789999999994</v>
      </c>
      <c r="M208">
        <v>-29986.62</v>
      </c>
    </row>
    <row r="209" spans="1:13" x14ac:dyDescent="0.55000000000000004">
      <c r="A209" s="19" t="str">
        <f>_xll.EVPRO("Finance",$C209,"Inv_Type")</f>
        <v>Inv_Equity</v>
      </c>
      <c r="B209" s="19" t="str">
        <f t="shared" si="6"/>
        <v>Edgewater Skilled Nursing Ctr</v>
      </c>
      <c r="C209" s="19" t="str">
        <f t="shared" si="7"/>
        <v>S04645 - Edgewater Skilled Nursing Ctr</v>
      </c>
      <c r="D209" s="3"/>
      <c r="E209" s="3" t="str">
        <f xml:space="preserve"> _xll.EPMOlapMemberO("[ACCOUNT].[H1].[T_EBITDARM]","","T_EBITDARM - EBITDARM","","000")</f>
        <v>T_EBITDARM - EBITDARM</v>
      </c>
      <c r="F209">
        <v>445049.52</v>
      </c>
      <c r="G209">
        <v>523177.48</v>
      </c>
      <c r="H209">
        <v>201233.8</v>
      </c>
      <c r="I209">
        <v>169230.2</v>
      </c>
      <c r="J209">
        <v>235970.47</v>
      </c>
      <c r="K209">
        <v>276173.28999999998</v>
      </c>
      <c r="L209">
        <v>186432.21</v>
      </c>
      <c r="M209">
        <v>323773.24</v>
      </c>
    </row>
    <row r="210" spans="1:13" x14ac:dyDescent="0.55000000000000004">
      <c r="A210" s="19" t="str">
        <f>_xll.EVPRO("Finance",$C210,"Inv_Type")</f>
        <v>Inv_Equity</v>
      </c>
      <c r="B210" s="19" t="str">
        <f t="shared" si="6"/>
        <v>Edgewater Skilled Nursing Ctr</v>
      </c>
      <c r="C210" s="19" t="str">
        <f t="shared" si="7"/>
        <v>S04645 - Edgewater Skilled Nursing Ctr</v>
      </c>
      <c r="D210" s="3"/>
      <c r="E210" s="3" t="str">
        <f xml:space="preserve"> _xll.EPMOlapMemberO("[ACCOUNT].[H1].[T_MGMT_FEE]","","T_MGMT_FEE - Tenant Management Fee - Actual","","000")</f>
        <v>T_MGMT_FEE - Tenant Management Fee - Actual</v>
      </c>
      <c r="F210">
        <v>60098</v>
      </c>
      <c r="G210">
        <v>58391</v>
      </c>
      <c r="H210">
        <v>43761</v>
      </c>
      <c r="I210">
        <v>44872</v>
      </c>
      <c r="J210">
        <v>41603</v>
      </c>
      <c r="K210">
        <v>45519</v>
      </c>
      <c r="L210">
        <v>45814</v>
      </c>
      <c r="M210">
        <v>47228</v>
      </c>
    </row>
    <row r="211" spans="1:13" x14ac:dyDescent="0.55000000000000004">
      <c r="A211" s="19" t="str">
        <f>_xll.EVPRO("Finance",$C211,"Inv_Type")</f>
        <v>Inv_Equity</v>
      </c>
      <c r="B211" s="19" t="str">
        <f t="shared" si="6"/>
        <v>Edgewater Skilled Nursing Ctr</v>
      </c>
      <c r="C211" s="19" t="str">
        <f t="shared" si="7"/>
        <v>S04645 - Edgewater Skilled Nursing Ctr</v>
      </c>
      <c r="D211" s="3"/>
      <c r="E211" s="2" t="str">
        <f xml:space="preserve"> _xll.EPMOlapMemberO("[ACCOUNT].[H1].[T_EBITDAR]","","T_EBITDAR - EBITDAR","","000")</f>
        <v>T_EBITDAR - EBITDAR</v>
      </c>
      <c r="F211">
        <v>384951.52</v>
      </c>
      <c r="G211">
        <v>464786.48</v>
      </c>
      <c r="H211">
        <v>157472.79999999999</v>
      </c>
      <c r="I211">
        <v>124358.2</v>
      </c>
      <c r="J211">
        <v>194367.47</v>
      </c>
      <c r="K211">
        <v>230654.29</v>
      </c>
      <c r="L211">
        <v>140618.21</v>
      </c>
      <c r="M211">
        <v>276545.24</v>
      </c>
    </row>
    <row r="212" spans="1:13" x14ac:dyDescent="0.55000000000000004">
      <c r="A212" s="19" t="str">
        <f>_xll.EVPRO("Finance",$C212,"Inv_Type")</f>
        <v>Inv_Equity</v>
      </c>
      <c r="B212" s="19" t="str">
        <f t="shared" si="6"/>
        <v>Edgewater Skilled Nursing Ctr</v>
      </c>
      <c r="C212" s="19" t="str">
        <f t="shared" si="7"/>
        <v>S04645 - Edgewater Skilled Nursing Ctr</v>
      </c>
      <c r="D212" s="3"/>
      <c r="E212" s="2" t="str">
        <f xml:space="preserve"> _xll.EPMOlapMemberO("[ACCOUNT].[H1].[T_COVERAGE_RENT]","","T_COVERAGE_RENT - Coverage Rent","","000")</f>
        <v>T_COVERAGE_RENT - Coverage Rent</v>
      </c>
      <c r="F212">
        <v>63317.81</v>
      </c>
      <c r="G212">
        <v>63317.81</v>
      </c>
      <c r="H212">
        <v>63317.81</v>
      </c>
      <c r="I212">
        <v>63317.81</v>
      </c>
      <c r="J212">
        <v>63317.81</v>
      </c>
      <c r="K212">
        <v>63317.81</v>
      </c>
      <c r="L212">
        <v>63317.81</v>
      </c>
      <c r="M212">
        <v>63317.81</v>
      </c>
    </row>
    <row r="213" spans="1:13" x14ac:dyDescent="0.55000000000000004">
      <c r="A213" s="19" t="str">
        <f>_xll.EVPRO("Finance",$C213,"Inv_Type")</f>
        <v>Inv_Equity</v>
      </c>
      <c r="B213" s="19" t="str">
        <f t="shared" si="6"/>
        <v>Edgewater Skilled Nursing Ctr</v>
      </c>
      <c r="C213" s="19" t="str">
        <f t="shared" si="7"/>
        <v>S04645 - Edgewater Skilled Nursing Ctr</v>
      </c>
      <c r="D213" s="3"/>
      <c r="E213" s="2" t="str">
        <f xml:space="preserve"> _xll.EPMOlapMemberO("[ACCOUNT].[H1].[T_RENT_EXP]","","T_RENT_EXP - Tenant Rent Expense","","000")</f>
        <v>T_RENT_EXP - Tenant Rent Expense</v>
      </c>
      <c r="F213">
        <v>63317.81</v>
      </c>
      <c r="G213">
        <v>63317.81</v>
      </c>
      <c r="H213">
        <v>63317.81</v>
      </c>
      <c r="I213">
        <v>63317.81</v>
      </c>
      <c r="J213">
        <v>63317.81</v>
      </c>
      <c r="K213">
        <v>63317.81</v>
      </c>
      <c r="L213">
        <v>63317.81</v>
      </c>
      <c r="M213">
        <v>63317.81</v>
      </c>
    </row>
    <row r="214" spans="1:13" x14ac:dyDescent="0.55000000000000004">
      <c r="A214" s="19" t="str">
        <f>_xll.EVPRO("Finance",$C214,"Inv_Type")</f>
        <v>Inv_Equity</v>
      </c>
      <c r="B214" s="19" t="str">
        <f t="shared" si="6"/>
        <v>Fairmont Rehabilitation Hosp</v>
      </c>
      <c r="C214" s="19" t="str">
        <f t="shared" si="7"/>
        <v>S04647 - Fairmont Rehabilitation Hosp</v>
      </c>
      <c r="D214" s="3" t="str">
        <f xml:space="preserve"> _xll.EPMOlapMemberO("[ENTITY].[H1].[S04647]","","S04647 - Fairmont Rehabilitation Hosp","","000")</f>
        <v>S04647 - Fairmont Rehabilitation Hosp</v>
      </c>
      <c r="E214" s="45" t="str">
        <f xml:space="preserve"> _xll.EPMOlapMemberO("[ACCOUNT].[H1].[PAY_PAT_DAYS]","","PAY_PAT_DAYS - Total Payor Patient Days","","000")</f>
        <v>PAY_PAT_DAYS - Total Payor Patient Days</v>
      </c>
      <c r="F214">
        <v>972</v>
      </c>
      <c r="G214">
        <v>1113</v>
      </c>
      <c r="H214">
        <v>1252</v>
      </c>
      <c r="I214">
        <v>1272</v>
      </c>
      <c r="J214">
        <v>1486</v>
      </c>
      <c r="K214">
        <v>1461</v>
      </c>
      <c r="L214">
        <v>1524</v>
      </c>
      <c r="M214">
        <v>1537</v>
      </c>
    </row>
    <row r="215" spans="1:13" x14ac:dyDescent="0.55000000000000004">
      <c r="A215" s="19" t="str">
        <f>_xll.EVPRO("Finance",$C215,"Inv_Type")</f>
        <v>Inv_Equity</v>
      </c>
      <c r="B215" s="19" t="str">
        <f t="shared" si="6"/>
        <v>Fairmont Rehabilitation Hosp</v>
      </c>
      <c r="C215" s="19" t="str">
        <f t="shared" si="7"/>
        <v>S04647 - Fairmont Rehabilitation Hosp</v>
      </c>
      <c r="D215" s="3"/>
      <c r="E215" s="2" t="str">
        <f xml:space="preserve"> _xll.EPMOlapMemberO("[ACCOUNT].[H1].[A_BEDS_TOTAL]","","A_BEDS_TOTAL - Total Available Beds","","000")</f>
        <v>A_BEDS_TOTAL - Total Available Beds</v>
      </c>
      <c r="F215">
        <v>59</v>
      </c>
      <c r="G215">
        <v>59</v>
      </c>
      <c r="H215">
        <v>59</v>
      </c>
      <c r="I215">
        <v>59</v>
      </c>
      <c r="J215">
        <v>59</v>
      </c>
      <c r="K215">
        <v>59</v>
      </c>
      <c r="L215">
        <v>59</v>
      </c>
      <c r="M215">
        <v>59</v>
      </c>
    </row>
    <row r="216" spans="1:13" x14ac:dyDescent="0.55000000000000004">
      <c r="A216" s="19" t="str">
        <f>_xll.EVPRO("Finance",$C216,"Inv_Type")</f>
        <v>Inv_Equity</v>
      </c>
      <c r="B216" s="19" t="str">
        <f t="shared" si="6"/>
        <v>Fairmont Rehabilitation Hosp</v>
      </c>
      <c r="C216" s="19" t="str">
        <f t="shared" si="7"/>
        <v>S04647 - Fairmont Rehabilitation Hosp</v>
      </c>
      <c r="D216" s="3"/>
      <c r="E216" s="9" t="str">
        <f xml:space="preserve"> _xll.EPMOlapMemberO("[ACCOUNT].[H1].[T_REVENUES]","","T_REVENUES - Total Tenant Revenues","","000")</f>
        <v>T_REVENUES - Total Tenant Revenues</v>
      </c>
      <c r="F216">
        <v>554556.06000000006</v>
      </c>
      <c r="G216">
        <v>633075.94999999995</v>
      </c>
      <c r="H216">
        <v>638241.65</v>
      </c>
      <c r="I216">
        <v>649932.44999999995</v>
      </c>
      <c r="J216">
        <v>793941.22</v>
      </c>
      <c r="K216">
        <v>801573.63</v>
      </c>
      <c r="L216">
        <v>801501.01</v>
      </c>
      <c r="M216">
        <v>845860.39</v>
      </c>
    </row>
    <row r="217" spans="1:13" x14ac:dyDescent="0.55000000000000004">
      <c r="A217" s="19" t="str">
        <f>_xll.EVPRO("Finance",$C217,"Inv_Type")</f>
        <v>Inv_Equity</v>
      </c>
      <c r="B217" s="19" t="str">
        <f t="shared" si="6"/>
        <v>Fairmont Rehabilitation Hosp</v>
      </c>
      <c r="C217" s="19" t="str">
        <f t="shared" si="7"/>
        <v>S04647 - Fairmont Rehabilitation Hosp</v>
      </c>
      <c r="D217" s="3"/>
      <c r="E217" s="9" t="str">
        <f xml:space="preserve"> _xll.EPMOlapMemberO("[ACCOUNT].[H1].[T_OPEX]","","T_OPEX - Tenant Operating Expenses","","000")</f>
        <v>T_OPEX - Tenant Operating Expenses</v>
      </c>
      <c r="F217">
        <v>511191.35</v>
      </c>
      <c r="G217">
        <v>503866.75</v>
      </c>
      <c r="H217">
        <v>577696.12</v>
      </c>
      <c r="I217">
        <v>541833.76</v>
      </c>
      <c r="J217">
        <v>582726.56000000006</v>
      </c>
      <c r="K217">
        <v>598944</v>
      </c>
      <c r="L217">
        <v>571764.52</v>
      </c>
      <c r="M217">
        <v>615478.88</v>
      </c>
    </row>
    <row r="218" spans="1:13" x14ac:dyDescent="0.55000000000000004">
      <c r="A218" s="19" t="str">
        <f>_xll.EVPRO("Finance",$C218,"Inv_Type")</f>
        <v>Inv_Equity</v>
      </c>
      <c r="B218" s="19" t="str">
        <f t="shared" si="6"/>
        <v>Fairmont Rehabilitation Hosp</v>
      </c>
      <c r="C218" s="19" t="str">
        <f t="shared" si="7"/>
        <v>S04647 - Fairmont Rehabilitation Hosp</v>
      </c>
      <c r="D218" s="3"/>
      <c r="E218" s="2" t="str">
        <f xml:space="preserve"> _xll.EPMOlapMemberO("[ACCOUNT].[H1].[T_NON_OP_EXP]","","T_NON_OP_EXP - Tenant Non-Operating Expense","","000")</f>
        <v>T_NON_OP_EXP - Tenant Non-Operating Expense</v>
      </c>
      <c r="F218">
        <v>13995.88</v>
      </c>
      <c r="G218">
        <v>13995.88</v>
      </c>
      <c r="H218">
        <v>13995.88</v>
      </c>
      <c r="I218">
        <v>13995.88</v>
      </c>
      <c r="J218">
        <v>13995.88</v>
      </c>
      <c r="K218">
        <v>13995.88</v>
      </c>
      <c r="L218">
        <v>14339.27</v>
      </c>
      <c r="M218">
        <v>15091.62</v>
      </c>
    </row>
    <row r="219" spans="1:13" x14ac:dyDescent="0.55000000000000004">
      <c r="A219" s="19" t="str">
        <f>_xll.EVPRO("Finance",$C219,"Inv_Type")</f>
        <v>Inv_Equity</v>
      </c>
      <c r="B219" s="19" t="str">
        <f t="shared" si="6"/>
        <v>Fairmont Rehabilitation Hosp</v>
      </c>
      <c r="C219" s="19" t="str">
        <f t="shared" si="7"/>
        <v>S04647 - Fairmont Rehabilitation Hosp</v>
      </c>
      <c r="D219" s="3"/>
      <c r="E219" s="10" t="str">
        <f xml:space="preserve"> _xll.EPMOlapMemberO("[ACCOUNT].[H1].[T_BAD_DEBT]","","T_BAD_DEBT - Tenant Bad Debt Expense","","000")</f>
        <v>T_BAD_DEBT - Tenant Bad Debt Expense</v>
      </c>
      <c r="F219">
        <v>-2209.39</v>
      </c>
      <c r="G219">
        <v>6397.1</v>
      </c>
      <c r="H219">
        <v>3860.17</v>
      </c>
      <c r="I219">
        <v>21429.07</v>
      </c>
      <c r="J219">
        <v>17323.89</v>
      </c>
      <c r="K219">
        <v>3109.35</v>
      </c>
      <c r="L219">
        <v>-13457.33</v>
      </c>
      <c r="M219">
        <v>-7452.37</v>
      </c>
    </row>
    <row r="220" spans="1:13" x14ac:dyDescent="0.55000000000000004">
      <c r="A220" s="19" t="str">
        <f>_xll.EVPRO("Finance",$C220,"Inv_Type")</f>
        <v>Inv_Equity</v>
      </c>
      <c r="B220" s="19" t="str">
        <f t="shared" si="6"/>
        <v>Fairmont Rehabilitation Hosp</v>
      </c>
      <c r="C220" s="19" t="str">
        <f t="shared" si="7"/>
        <v>S04647 - Fairmont Rehabilitation Hosp</v>
      </c>
      <c r="D220" s="3"/>
      <c r="E220" s="3" t="str">
        <f xml:space="preserve"> _xll.EPMOlapMemberO("[ACCOUNT].[H1].[T_EBITDARM]","","T_EBITDARM - EBITDARM","","000")</f>
        <v>T_EBITDARM - EBITDARM</v>
      </c>
      <c r="F220">
        <v>43364.709999999897</v>
      </c>
      <c r="G220">
        <v>129209.2</v>
      </c>
      <c r="H220">
        <v>60545.529999999897</v>
      </c>
      <c r="I220">
        <v>108098.69</v>
      </c>
      <c r="J220">
        <v>211214.66</v>
      </c>
      <c r="K220">
        <v>202629.63</v>
      </c>
      <c r="L220">
        <v>229736.49</v>
      </c>
      <c r="M220">
        <v>230381.51</v>
      </c>
    </row>
    <row r="221" spans="1:13" x14ac:dyDescent="0.55000000000000004">
      <c r="A221" s="19" t="str">
        <f>_xll.EVPRO("Finance",$C221,"Inv_Type")</f>
        <v>Inv_Equity</v>
      </c>
      <c r="B221" s="19" t="str">
        <f t="shared" si="6"/>
        <v>Fairmont Rehabilitation Hosp</v>
      </c>
      <c r="C221" s="19" t="str">
        <f t="shared" si="7"/>
        <v>S04647 - Fairmont Rehabilitation Hosp</v>
      </c>
      <c r="D221" s="3"/>
      <c r="E221" s="3" t="str">
        <f xml:space="preserve"> _xll.EPMOlapMemberO("[ACCOUNT].[H1].[T_MGMT_FEE]","","T_MGMT_FEE - Tenant Management Fee - Actual","","000")</f>
        <v>T_MGMT_FEE - Tenant Management Fee - Actual</v>
      </c>
      <c r="F221">
        <v>31673</v>
      </c>
      <c r="G221">
        <v>27727</v>
      </c>
      <c r="H221">
        <v>31653</v>
      </c>
      <c r="I221">
        <v>31912</v>
      </c>
      <c r="J221">
        <v>32496</v>
      </c>
      <c r="K221">
        <v>39697</v>
      </c>
      <c r="L221">
        <v>40078</v>
      </c>
      <c r="M221">
        <v>40075</v>
      </c>
    </row>
    <row r="222" spans="1:13" x14ac:dyDescent="0.55000000000000004">
      <c r="A222" s="19" t="str">
        <f>_xll.EVPRO("Finance",$C222,"Inv_Type")</f>
        <v>Inv_Equity</v>
      </c>
      <c r="B222" s="19" t="str">
        <f t="shared" si="6"/>
        <v>Fairmont Rehabilitation Hosp</v>
      </c>
      <c r="C222" s="19" t="str">
        <f t="shared" si="7"/>
        <v>S04647 - Fairmont Rehabilitation Hosp</v>
      </c>
      <c r="D222" s="3"/>
      <c r="E222" s="2" t="str">
        <f xml:space="preserve"> _xll.EPMOlapMemberO("[ACCOUNT].[H1].[T_EBITDAR]","","T_EBITDAR - EBITDAR","","000")</f>
        <v>T_EBITDAR - EBITDAR</v>
      </c>
      <c r="F222">
        <v>11691.709999999901</v>
      </c>
      <c r="G222">
        <v>101482.2</v>
      </c>
      <c r="H222">
        <v>28892.529999999901</v>
      </c>
      <c r="I222">
        <v>76186.690000000104</v>
      </c>
      <c r="J222">
        <v>178718.66</v>
      </c>
      <c r="K222">
        <v>162932.63</v>
      </c>
      <c r="L222">
        <v>189658.49</v>
      </c>
      <c r="M222">
        <v>190306.51</v>
      </c>
    </row>
    <row r="223" spans="1:13" x14ac:dyDescent="0.55000000000000004">
      <c r="A223" s="19" t="str">
        <f>_xll.EVPRO("Finance",$C223,"Inv_Type")</f>
        <v>Inv_Equity</v>
      </c>
      <c r="B223" s="19" t="str">
        <f t="shared" si="6"/>
        <v>Fairmont Rehabilitation Hosp</v>
      </c>
      <c r="C223" s="19" t="str">
        <f t="shared" si="7"/>
        <v>S04647 - Fairmont Rehabilitation Hosp</v>
      </c>
      <c r="D223" s="3"/>
      <c r="E223" s="2" t="str">
        <f xml:space="preserve"> _xll.EPMOlapMemberO("[ACCOUNT].[H1].[T_COVERAGE_RENT]","","T_COVERAGE_RENT - Coverage Rent","","000")</f>
        <v>T_COVERAGE_RENT - Coverage Rent</v>
      </c>
      <c r="F223">
        <v>158401.62</v>
      </c>
      <c r="G223">
        <v>158401.62</v>
      </c>
      <c r="H223">
        <v>158401.62</v>
      </c>
      <c r="I223">
        <v>158401.62</v>
      </c>
      <c r="J223">
        <v>158401.62</v>
      </c>
      <c r="K223">
        <v>158401.62</v>
      </c>
      <c r="L223">
        <v>158401.62</v>
      </c>
      <c r="M223">
        <v>158401.62</v>
      </c>
    </row>
    <row r="224" spans="1:13" x14ac:dyDescent="0.55000000000000004">
      <c r="A224" s="19" t="str">
        <f>_xll.EVPRO("Finance",$C224,"Inv_Type")</f>
        <v>Inv_Equity</v>
      </c>
      <c r="B224" s="19" t="str">
        <f t="shared" si="6"/>
        <v>Fairmont Rehabilitation Hosp</v>
      </c>
      <c r="C224" s="19" t="str">
        <f t="shared" si="7"/>
        <v>S04647 - Fairmont Rehabilitation Hosp</v>
      </c>
      <c r="D224" s="3"/>
      <c r="E224" s="2" t="str">
        <f xml:space="preserve"> _xll.EPMOlapMemberO("[ACCOUNT].[H1].[T_RENT_EXP]","","T_RENT_EXP - Tenant Rent Expense","","000")</f>
        <v>T_RENT_EXP - Tenant Rent Expense</v>
      </c>
      <c r="F224">
        <v>161151.62</v>
      </c>
      <c r="G224">
        <v>161151.62</v>
      </c>
      <c r="H224">
        <v>161151.67999999999</v>
      </c>
      <c r="I224">
        <v>161151.62</v>
      </c>
      <c r="J224">
        <v>161151.62</v>
      </c>
      <c r="K224">
        <v>161151.62</v>
      </c>
      <c r="L224">
        <v>161151.62</v>
      </c>
      <c r="M224">
        <v>161151.62</v>
      </c>
    </row>
    <row r="225" spans="1:13" x14ac:dyDescent="0.55000000000000004">
      <c r="A225" s="19" t="str">
        <f>_xll.EVPRO("Finance",$C225,"Inv_Type")</f>
        <v>Inv_Equity</v>
      </c>
      <c r="B225" s="19" t="str">
        <f t="shared" si="6"/>
        <v>Palm Terrace Care Center</v>
      </c>
      <c r="C225" s="19" t="str">
        <f t="shared" si="7"/>
        <v>S04649 - Palm Terrace Care Center</v>
      </c>
      <c r="D225" s="3" t="str">
        <f xml:space="preserve"> _xll.EPMOlapMemberO("[ENTITY].[H1].[S04649]","","S04649 - Palm Terrace Care Center","","000")</f>
        <v>S04649 - Palm Terrace Care Center</v>
      </c>
      <c r="E225" s="45" t="str">
        <f xml:space="preserve"> _xll.EPMOlapMemberO("[ACCOUNT].[H1].[PAY_PAT_DAYS]","","PAY_PAT_DAYS - Total Payor Patient Days","","000")</f>
        <v>PAY_PAT_DAYS - Total Payor Patient Days</v>
      </c>
      <c r="F225">
        <v>2031</v>
      </c>
      <c r="G225">
        <v>1808</v>
      </c>
      <c r="H225">
        <v>1898</v>
      </c>
      <c r="I225">
        <v>1924</v>
      </c>
      <c r="J225">
        <v>2017</v>
      </c>
      <c r="K225">
        <v>1963</v>
      </c>
      <c r="L225">
        <v>2024</v>
      </c>
      <c r="M225">
        <v>1979</v>
      </c>
    </row>
    <row r="226" spans="1:13" x14ac:dyDescent="0.55000000000000004">
      <c r="A226" s="19" t="str">
        <f>_xll.EVPRO("Finance",$C226,"Inv_Type")</f>
        <v>Inv_Equity</v>
      </c>
      <c r="B226" s="19" t="str">
        <f t="shared" si="6"/>
        <v>Palm Terrace Care Center</v>
      </c>
      <c r="C226" s="19" t="str">
        <f t="shared" si="7"/>
        <v>S04649 - Palm Terrace Care Center</v>
      </c>
      <c r="D226" s="3"/>
      <c r="E226" s="2" t="str">
        <f xml:space="preserve"> _xll.EPMOlapMemberO("[ACCOUNT].[H1].[A_BEDS_TOTAL]","","A_BEDS_TOTAL - Total Available Beds","","000")</f>
        <v>A_BEDS_TOTAL - Total Available Beds</v>
      </c>
      <c r="F226">
        <v>70</v>
      </c>
      <c r="G226">
        <v>70</v>
      </c>
      <c r="H226">
        <v>70</v>
      </c>
      <c r="I226">
        <v>70</v>
      </c>
      <c r="J226">
        <v>70</v>
      </c>
      <c r="K226">
        <v>70</v>
      </c>
      <c r="L226">
        <v>70</v>
      </c>
      <c r="M226">
        <v>70</v>
      </c>
    </row>
    <row r="227" spans="1:13" x14ac:dyDescent="0.55000000000000004">
      <c r="A227" s="19" t="str">
        <f>_xll.EVPRO("Finance",$C227,"Inv_Type")</f>
        <v>Inv_Equity</v>
      </c>
      <c r="B227" s="19" t="str">
        <f t="shared" si="6"/>
        <v>Palm Terrace Care Center</v>
      </c>
      <c r="C227" s="19" t="str">
        <f t="shared" si="7"/>
        <v>S04649 - Palm Terrace Care Center</v>
      </c>
      <c r="D227" s="3"/>
      <c r="E227" s="9" t="str">
        <f xml:space="preserve"> _xll.EPMOlapMemberO("[ACCOUNT].[H1].[T_REVENUES]","","T_REVENUES - Total Tenant Revenues","","000")</f>
        <v>T_REVENUES - Total Tenant Revenues</v>
      </c>
      <c r="F227">
        <v>1173397.7</v>
      </c>
      <c r="G227">
        <v>1048046.01</v>
      </c>
      <c r="H227">
        <v>1221624.23</v>
      </c>
      <c r="I227">
        <v>1305664.6100000001</v>
      </c>
      <c r="J227">
        <v>1358695.18</v>
      </c>
      <c r="K227">
        <v>1293757.4399999999</v>
      </c>
      <c r="L227">
        <v>1228551.2</v>
      </c>
      <c r="M227">
        <v>1262908.4099999999</v>
      </c>
    </row>
    <row r="228" spans="1:13" x14ac:dyDescent="0.55000000000000004">
      <c r="A228" s="19" t="str">
        <f>_xll.EVPRO("Finance",$C228,"Inv_Type")</f>
        <v>Inv_Equity</v>
      </c>
      <c r="B228" s="19" t="str">
        <f t="shared" si="6"/>
        <v>Palm Terrace Care Center</v>
      </c>
      <c r="C228" s="19" t="str">
        <f t="shared" si="7"/>
        <v>S04649 - Palm Terrace Care Center</v>
      </c>
      <c r="D228" s="3"/>
      <c r="E228" s="9" t="str">
        <f xml:space="preserve"> _xll.EPMOlapMemberO("[ACCOUNT].[H1].[T_OPEX]","","T_OPEX - Tenant Operating Expenses","","000")</f>
        <v>T_OPEX - Tenant Operating Expenses</v>
      </c>
      <c r="F228">
        <v>1143157.57</v>
      </c>
      <c r="G228">
        <v>782290.18</v>
      </c>
      <c r="H228">
        <v>884334.01</v>
      </c>
      <c r="I228">
        <v>878745.13</v>
      </c>
      <c r="J228">
        <v>933353.79</v>
      </c>
      <c r="K228">
        <v>955122.18</v>
      </c>
      <c r="L228">
        <v>826865.29</v>
      </c>
      <c r="M228">
        <v>895813.05</v>
      </c>
    </row>
    <row r="229" spans="1:13" x14ac:dyDescent="0.55000000000000004">
      <c r="A229" s="19" t="str">
        <f>_xll.EVPRO("Finance",$C229,"Inv_Type")</f>
        <v>Inv_Equity</v>
      </c>
      <c r="B229" s="19" t="str">
        <f t="shared" si="6"/>
        <v>Palm Terrace Care Center</v>
      </c>
      <c r="C229" s="19" t="str">
        <f t="shared" si="7"/>
        <v>S04649 - Palm Terrace Care Center</v>
      </c>
      <c r="D229" s="3"/>
      <c r="E229" s="2" t="str">
        <f xml:space="preserve"> _xll.EPMOlapMemberO("[ACCOUNT].[H1].[T_NON_OP_EXP]","","T_NON_OP_EXP - Tenant Non-Operating Expense","","000")</f>
        <v>T_NON_OP_EXP - Tenant Non-Operating Expense</v>
      </c>
      <c r="F229">
        <v>-3477.21</v>
      </c>
      <c r="G229">
        <v>10691.98</v>
      </c>
      <c r="H229">
        <v>11018.98</v>
      </c>
      <c r="I229">
        <v>10364.98</v>
      </c>
      <c r="J229">
        <v>38628.89</v>
      </c>
      <c r="K229">
        <v>38628.89</v>
      </c>
      <c r="L229">
        <v>38628.89</v>
      </c>
      <c r="M229">
        <v>53446.03</v>
      </c>
    </row>
    <row r="230" spans="1:13" x14ac:dyDescent="0.55000000000000004">
      <c r="A230" s="19" t="str">
        <f>_xll.EVPRO("Finance",$C230,"Inv_Type")</f>
        <v>Inv_Equity</v>
      </c>
      <c r="B230" s="19" t="str">
        <f t="shared" si="6"/>
        <v>Palm Terrace Care Center</v>
      </c>
      <c r="C230" s="19" t="str">
        <f t="shared" si="7"/>
        <v>S04649 - Palm Terrace Care Center</v>
      </c>
      <c r="D230" s="3"/>
      <c r="E230" s="10" t="str">
        <f xml:space="preserve"> _xll.EPMOlapMemberO("[ACCOUNT].[H1].[T_BAD_DEBT]","","T_BAD_DEBT - Tenant Bad Debt Expense","","000")</f>
        <v>T_BAD_DEBT - Tenant Bad Debt Expense</v>
      </c>
      <c r="F230">
        <v>65674.06</v>
      </c>
      <c r="G230">
        <v>-32998.82</v>
      </c>
      <c r="H230">
        <v>1060.5</v>
      </c>
      <c r="I230">
        <v>10528.79</v>
      </c>
      <c r="J230">
        <v>-3251.36</v>
      </c>
      <c r="K230">
        <v>4021.4</v>
      </c>
      <c r="L230">
        <v>9711.33</v>
      </c>
      <c r="M230">
        <v>40398.07</v>
      </c>
    </row>
    <row r="231" spans="1:13" x14ac:dyDescent="0.55000000000000004">
      <c r="A231" s="19" t="str">
        <f>_xll.EVPRO("Finance",$C231,"Inv_Type")</f>
        <v>Inv_Equity</v>
      </c>
      <c r="B231" s="19" t="str">
        <f t="shared" si="6"/>
        <v>Palm Terrace Care Center</v>
      </c>
      <c r="C231" s="19" t="str">
        <f t="shared" si="7"/>
        <v>S04649 - Palm Terrace Care Center</v>
      </c>
      <c r="D231" s="3"/>
      <c r="E231" s="3" t="str">
        <f xml:space="preserve"> _xll.EPMOlapMemberO("[ACCOUNT].[H1].[T_EBITDARM]","","T_EBITDARM - EBITDARM","","000")</f>
        <v>T_EBITDARM - EBITDARM</v>
      </c>
      <c r="F231">
        <v>30240.130000000099</v>
      </c>
      <c r="G231">
        <v>265755.83</v>
      </c>
      <c r="H231">
        <v>337290.22</v>
      </c>
      <c r="I231">
        <v>426919.48</v>
      </c>
      <c r="J231">
        <v>425341.39</v>
      </c>
      <c r="K231">
        <v>338635.26</v>
      </c>
      <c r="L231">
        <v>401685.91</v>
      </c>
      <c r="M231">
        <v>367095.36</v>
      </c>
    </row>
    <row r="232" spans="1:13" x14ac:dyDescent="0.55000000000000004">
      <c r="A232" s="19" t="str">
        <f>_xll.EVPRO("Finance",$C232,"Inv_Type")</f>
        <v>Inv_Equity</v>
      </c>
      <c r="B232" s="19" t="str">
        <f t="shared" si="6"/>
        <v>Palm Terrace Care Center</v>
      </c>
      <c r="C232" s="19" t="str">
        <f t="shared" si="7"/>
        <v>S04649 - Palm Terrace Care Center</v>
      </c>
      <c r="D232" s="3"/>
      <c r="E232" s="3" t="str">
        <f xml:space="preserve"> _xll.EPMOlapMemberO("[ACCOUNT].[H1].[T_MGMT_FEE]","","T_MGMT_FEE - Tenant Management Fee - Actual","","000")</f>
        <v>T_MGMT_FEE - Tenant Management Fee - Actual</v>
      </c>
      <c r="F232">
        <v>54221</v>
      </c>
      <c r="G232">
        <v>58669</v>
      </c>
      <c r="H232">
        <v>52402</v>
      </c>
      <c r="I232">
        <v>61081</v>
      </c>
      <c r="J232">
        <v>65283</v>
      </c>
      <c r="K232">
        <v>67934</v>
      </c>
      <c r="L232">
        <v>64687</v>
      </c>
      <c r="M232">
        <v>61427</v>
      </c>
    </row>
    <row r="233" spans="1:13" x14ac:dyDescent="0.55000000000000004">
      <c r="A233" s="19" t="str">
        <f>_xll.EVPRO("Finance",$C233,"Inv_Type")</f>
        <v>Inv_Equity</v>
      </c>
      <c r="B233" s="19" t="str">
        <f t="shared" si="6"/>
        <v>Palm Terrace Care Center</v>
      </c>
      <c r="C233" s="19" t="str">
        <f t="shared" si="7"/>
        <v>S04649 - Palm Terrace Care Center</v>
      </c>
      <c r="D233" s="3"/>
      <c r="E233" s="2" t="str">
        <f xml:space="preserve"> _xll.EPMOlapMemberO("[ACCOUNT].[H1].[T_EBITDAR]","","T_EBITDAR - EBITDAR","","000")</f>
        <v>T_EBITDAR - EBITDAR</v>
      </c>
      <c r="F233">
        <v>-23980.869999999901</v>
      </c>
      <c r="G233">
        <v>207086.83</v>
      </c>
      <c r="H233">
        <v>284888.21999999997</v>
      </c>
      <c r="I233">
        <v>365838.48</v>
      </c>
      <c r="J233">
        <v>360058.39</v>
      </c>
      <c r="K233">
        <v>270701.26</v>
      </c>
      <c r="L233">
        <v>336998.91</v>
      </c>
      <c r="M233">
        <v>305668.36</v>
      </c>
    </row>
    <row r="234" spans="1:13" x14ac:dyDescent="0.55000000000000004">
      <c r="A234" s="19" t="str">
        <f>_xll.EVPRO("Finance",$C234,"Inv_Type")</f>
        <v>Inv_Equity</v>
      </c>
      <c r="B234" s="19" t="str">
        <f t="shared" si="6"/>
        <v>Palm Terrace Care Center</v>
      </c>
      <c r="C234" s="19" t="str">
        <f t="shared" si="7"/>
        <v>S04649 - Palm Terrace Care Center</v>
      </c>
      <c r="D234" s="3"/>
      <c r="E234" s="2" t="str">
        <f xml:space="preserve"> _xll.EPMOlapMemberO("[ACCOUNT].[H1].[T_COVERAGE_RENT]","","T_COVERAGE_RENT - Coverage Rent","","000")</f>
        <v>T_COVERAGE_RENT - Coverage Rent</v>
      </c>
      <c r="F234">
        <v>112458.22</v>
      </c>
      <c r="G234">
        <v>112458.22</v>
      </c>
      <c r="H234">
        <v>112458.22</v>
      </c>
      <c r="I234">
        <v>112458.22</v>
      </c>
      <c r="J234">
        <v>112458.22</v>
      </c>
      <c r="K234">
        <v>112458.22</v>
      </c>
      <c r="L234">
        <v>112458.22</v>
      </c>
      <c r="M234">
        <v>112458.22</v>
      </c>
    </row>
    <row r="235" spans="1:13" x14ac:dyDescent="0.55000000000000004">
      <c r="A235" s="19" t="str">
        <f>_xll.EVPRO("Finance",$C235,"Inv_Type")</f>
        <v>Inv_Equity</v>
      </c>
      <c r="B235" s="19" t="str">
        <f t="shared" si="6"/>
        <v>Palm Terrace Care Center</v>
      </c>
      <c r="C235" s="19" t="str">
        <f t="shared" si="7"/>
        <v>S04649 - Palm Terrace Care Center</v>
      </c>
      <c r="D235" s="3"/>
      <c r="E235" s="2" t="str">
        <f xml:space="preserve"> _xll.EPMOlapMemberO("[ACCOUNT].[H1].[T_RENT_EXP]","","T_RENT_EXP - Tenant Rent Expense","","000")</f>
        <v>T_RENT_EXP - Tenant Rent Expense</v>
      </c>
      <c r="F235">
        <v>112458.21</v>
      </c>
      <c r="G235">
        <v>112458.21</v>
      </c>
      <c r="H235">
        <v>112458.21</v>
      </c>
      <c r="I235">
        <v>112458.21</v>
      </c>
      <c r="J235">
        <v>112458.21</v>
      </c>
      <c r="K235">
        <v>112458.21</v>
      </c>
      <c r="L235">
        <v>112458.21</v>
      </c>
      <c r="M235">
        <v>112458.21</v>
      </c>
    </row>
    <row r="236" spans="1:13" x14ac:dyDescent="0.55000000000000004">
      <c r="A236" s="19" t="str">
        <f>_xll.EVPRO("Finance",$C236,"Inv_Type")</f>
        <v>Inv_Equity</v>
      </c>
      <c r="B236" s="19" t="str">
        <f t="shared" si="6"/>
        <v>Woodland Nursing &amp; Rehab</v>
      </c>
      <c r="C236" s="19" t="str">
        <f t="shared" si="7"/>
        <v>S04651 - Woodland Nursing &amp; Rehab</v>
      </c>
      <c r="D236" s="3" t="str">
        <f xml:space="preserve"> _xll.EPMOlapMemberO("[ENTITY].[H1].[S04651]","","S04651 - Woodland Nursing &amp; Rehab","","000")</f>
        <v>S04651 - Woodland Nursing &amp; Rehab</v>
      </c>
      <c r="E236" s="45" t="str">
        <f xml:space="preserve"> _xll.EPMOlapMemberO("[ACCOUNT].[H1].[PAY_PAT_DAYS]","","PAY_PAT_DAYS - Total Payor Patient Days","","000")</f>
        <v>PAY_PAT_DAYS - Total Payor Patient Days</v>
      </c>
      <c r="F236">
        <v>1953</v>
      </c>
      <c r="G236">
        <v>1977</v>
      </c>
      <c r="H236">
        <v>2316</v>
      </c>
      <c r="I236">
        <v>2197</v>
      </c>
      <c r="J236">
        <v>2373</v>
      </c>
      <c r="K236">
        <v>2311</v>
      </c>
      <c r="L236">
        <v>2516</v>
      </c>
      <c r="M236">
        <v>2473</v>
      </c>
    </row>
    <row r="237" spans="1:13" x14ac:dyDescent="0.55000000000000004">
      <c r="A237" s="19" t="str">
        <f>_xll.EVPRO("Finance",$C237,"Inv_Type")</f>
        <v>Inv_Equity</v>
      </c>
      <c r="B237" s="19" t="str">
        <f t="shared" si="6"/>
        <v>Woodland Nursing &amp; Rehab</v>
      </c>
      <c r="C237" s="19" t="str">
        <f t="shared" si="7"/>
        <v>S04651 - Woodland Nursing &amp; Rehab</v>
      </c>
      <c r="D237" s="3"/>
      <c r="E237" s="2" t="str">
        <f xml:space="preserve"> _xll.EPMOlapMemberO("[ACCOUNT].[H1].[A_BEDS_TOTAL]","","A_BEDS_TOTAL - Total Available Beds","","000")</f>
        <v>A_BEDS_TOTAL - Total Available Beds</v>
      </c>
      <c r="F237">
        <v>91</v>
      </c>
      <c r="G237">
        <v>91</v>
      </c>
      <c r="H237">
        <v>91</v>
      </c>
      <c r="I237">
        <v>91</v>
      </c>
      <c r="J237">
        <v>91</v>
      </c>
      <c r="K237">
        <v>91</v>
      </c>
      <c r="L237">
        <v>91</v>
      </c>
      <c r="M237">
        <v>91</v>
      </c>
    </row>
    <row r="238" spans="1:13" x14ac:dyDescent="0.55000000000000004">
      <c r="A238" s="19" t="str">
        <f>_xll.EVPRO("Finance",$C238,"Inv_Type")</f>
        <v>Inv_Equity</v>
      </c>
      <c r="B238" s="19" t="str">
        <f t="shared" si="6"/>
        <v>Woodland Nursing &amp; Rehab</v>
      </c>
      <c r="C238" s="19" t="str">
        <f t="shared" si="7"/>
        <v>S04651 - Woodland Nursing &amp; Rehab</v>
      </c>
      <c r="D238" s="3"/>
      <c r="E238" s="9" t="str">
        <f xml:space="preserve"> _xll.EPMOlapMemberO("[ACCOUNT].[H1].[T_REVENUES]","","T_REVENUES - Total Tenant Revenues","","000")</f>
        <v>T_REVENUES - Total Tenant Revenues</v>
      </c>
      <c r="F238">
        <v>948662.56</v>
      </c>
      <c r="G238">
        <v>913537.79</v>
      </c>
      <c r="H238">
        <v>1027918.77</v>
      </c>
      <c r="I238">
        <v>946295.18</v>
      </c>
      <c r="J238">
        <v>928900.09</v>
      </c>
      <c r="K238">
        <v>880807.68</v>
      </c>
      <c r="L238">
        <v>973360.14</v>
      </c>
      <c r="M238">
        <v>990144.48</v>
      </c>
    </row>
    <row r="239" spans="1:13" x14ac:dyDescent="0.55000000000000004">
      <c r="A239" s="19" t="str">
        <f>_xll.EVPRO("Finance",$C239,"Inv_Type")</f>
        <v>Inv_Equity</v>
      </c>
      <c r="B239" s="19" t="str">
        <f t="shared" si="6"/>
        <v>Woodland Nursing &amp; Rehab</v>
      </c>
      <c r="C239" s="19" t="str">
        <f t="shared" si="7"/>
        <v>S04651 - Woodland Nursing &amp; Rehab</v>
      </c>
      <c r="D239" s="3"/>
      <c r="E239" s="9" t="str">
        <f xml:space="preserve"> _xll.EPMOlapMemberO("[ACCOUNT].[H1].[T_OPEX]","","T_OPEX - Tenant Operating Expenses","","000")</f>
        <v>T_OPEX - Tenant Operating Expenses</v>
      </c>
      <c r="F239">
        <v>712846.86</v>
      </c>
      <c r="G239">
        <v>696540.51</v>
      </c>
      <c r="H239">
        <v>796460.61</v>
      </c>
      <c r="I239">
        <v>764235.75</v>
      </c>
      <c r="J239">
        <v>753818.33</v>
      </c>
      <c r="K239">
        <v>718631.58</v>
      </c>
      <c r="L239">
        <v>829154.67</v>
      </c>
      <c r="M239">
        <v>651922.43999999994</v>
      </c>
    </row>
    <row r="240" spans="1:13" x14ac:dyDescent="0.55000000000000004">
      <c r="A240" s="19" t="str">
        <f>_xll.EVPRO("Finance",$C240,"Inv_Type")</f>
        <v>Inv_Equity</v>
      </c>
      <c r="B240" s="19" t="str">
        <f t="shared" si="6"/>
        <v>Woodland Nursing &amp; Rehab</v>
      </c>
      <c r="C240" s="19" t="str">
        <f t="shared" si="7"/>
        <v>S04651 - Woodland Nursing &amp; Rehab</v>
      </c>
      <c r="D240" s="3"/>
      <c r="E240" s="2" t="str">
        <f xml:space="preserve"> _xll.EPMOlapMemberO("[ACCOUNT].[H1].[T_NON_OP_EXP]","","T_NON_OP_EXP - Tenant Non-Operating Expense","","000")</f>
        <v>T_NON_OP_EXP - Tenant Non-Operating Expense</v>
      </c>
      <c r="F240">
        <v>18237.05</v>
      </c>
      <c r="G240">
        <v>22326.04</v>
      </c>
      <c r="H240">
        <v>21366.09</v>
      </c>
      <c r="I240">
        <v>-14535.64</v>
      </c>
      <c r="J240">
        <v>14121.35</v>
      </c>
      <c r="K240">
        <v>11380.69</v>
      </c>
      <c r="L240">
        <v>11380.69</v>
      </c>
      <c r="M240">
        <v>11735.44</v>
      </c>
    </row>
    <row r="241" spans="1:13" x14ac:dyDescent="0.55000000000000004">
      <c r="A241" s="19" t="str">
        <f>_xll.EVPRO("Finance",$C241,"Inv_Type")</f>
        <v>Inv_Equity</v>
      </c>
      <c r="B241" s="19" t="str">
        <f t="shared" si="6"/>
        <v>Woodland Nursing &amp; Rehab</v>
      </c>
      <c r="C241" s="19" t="str">
        <f t="shared" si="7"/>
        <v>S04651 - Woodland Nursing &amp; Rehab</v>
      </c>
      <c r="D241" s="3"/>
      <c r="E241" s="10" t="str">
        <f xml:space="preserve"> _xll.EPMOlapMemberO("[ACCOUNT].[H1].[T_BAD_DEBT]","","T_BAD_DEBT - Tenant Bad Debt Expense","","000")</f>
        <v>T_BAD_DEBT - Tenant Bad Debt Expense</v>
      </c>
      <c r="F241">
        <v>26217.69</v>
      </c>
      <c r="G241">
        <v>1231.8699999999999</v>
      </c>
      <c r="H241">
        <v>13830.53</v>
      </c>
      <c r="I241">
        <v>24079.58</v>
      </c>
      <c r="J241">
        <v>-35978.47</v>
      </c>
      <c r="K241">
        <v>-19930.400000000001</v>
      </c>
      <c r="L241">
        <v>450.14</v>
      </c>
      <c r="M241">
        <v>7636.24</v>
      </c>
    </row>
    <row r="242" spans="1:13" x14ac:dyDescent="0.55000000000000004">
      <c r="A242" s="19" t="str">
        <f>_xll.EVPRO("Finance",$C242,"Inv_Type")</f>
        <v>Inv_Equity</v>
      </c>
      <c r="B242" s="19" t="str">
        <f t="shared" si="6"/>
        <v>Woodland Nursing &amp; Rehab</v>
      </c>
      <c r="C242" s="19" t="str">
        <f t="shared" si="7"/>
        <v>S04651 - Woodland Nursing &amp; Rehab</v>
      </c>
      <c r="D242" s="3"/>
      <c r="E242" s="3" t="str">
        <f xml:space="preserve"> _xll.EPMOlapMemberO("[ACCOUNT].[H1].[T_EBITDARM]","","T_EBITDARM - EBITDARM","","000")</f>
        <v>T_EBITDARM - EBITDARM</v>
      </c>
      <c r="F242">
        <v>235815.7</v>
      </c>
      <c r="G242">
        <v>216997.28</v>
      </c>
      <c r="H242">
        <v>231458.16</v>
      </c>
      <c r="I242">
        <v>182059.43</v>
      </c>
      <c r="J242">
        <v>175081.76</v>
      </c>
      <c r="K242">
        <v>162176.1</v>
      </c>
      <c r="L242">
        <v>144205.47</v>
      </c>
      <c r="M242">
        <v>338222.04</v>
      </c>
    </row>
    <row r="243" spans="1:13" x14ac:dyDescent="0.55000000000000004">
      <c r="A243" s="19" t="str">
        <f>_xll.EVPRO("Finance",$C243,"Inv_Type")</f>
        <v>Inv_Equity</v>
      </c>
      <c r="B243" s="19" t="str">
        <f t="shared" si="6"/>
        <v>Woodland Nursing &amp; Rehab</v>
      </c>
      <c r="C243" s="19" t="str">
        <f t="shared" si="7"/>
        <v>S04651 - Woodland Nursing &amp; Rehab</v>
      </c>
      <c r="D243" s="3"/>
      <c r="E243" s="3" t="str">
        <f xml:space="preserve"> _xll.EPMOlapMemberO("[ACCOUNT].[H1].[T_MGMT_FEE]","","T_MGMT_FEE - Tenant Management Fee - Actual","","000")</f>
        <v>T_MGMT_FEE - Tenant Management Fee - Actual</v>
      </c>
      <c r="F243">
        <v>53977</v>
      </c>
      <c r="G243">
        <v>47044</v>
      </c>
      <c r="H243">
        <v>44972</v>
      </c>
      <c r="I243">
        <v>49678</v>
      </c>
      <c r="J243">
        <v>44137</v>
      </c>
      <c r="K243">
        <v>46445</v>
      </c>
      <c r="L243">
        <v>44040</v>
      </c>
      <c r="M243">
        <v>48668</v>
      </c>
    </row>
    <row r="244" spans="1:13" x14ac:dyDescent="0.55000000000000004">
      <c r="A244" s="19" t="str">
        <f>_xll.EVPRO("Finance",$C244,"Inv_Type")</f>
        <v>Inv_Equity</v>
      </c>
      <c r="B244" s="19" t="str">
        <f t="shared" si="6"/>
        <v>Woodland Nursing &amp; Rehab</v>
      </c>
      <c r="C244" s="19" t="str">
        <f t="shared" si="7"/>
        <v>S04651 - Woodland Nursing &amp; Rehab</v>
      </c>
      <c r="D244" s="3"/>
      <c r="E244" s="2" t="str">
        <f xml:space="preserve"> _xll.EPMOlapMemberO("[ACCOUNT].[H1].[T_EBITDAR]","","T_EBITDAR - EBITDAR","","000")</f>
        <v>T_EBITDAR - EBITDAR</v>
      </c>
      <c r="F244">
        <v>181838.7</v>
      </c>
      <c r="G244">
        <v>169953.28</v>
      </c>
      <c r="H244">
        <v>186486.16</v>
      </c>
      <c r="I244">
        <v>132381.43</v>
      </c>
      <c r="J244">
        <v>130944.76</v>
      </c>
      <c r="K244">
        <v>115731.1</v>
      </c>
      <c r="L244">
        <v>100165.47</v>
      </c>
      <c r="M244">
        <v>289554.03999999998</v>
      </c>
    </row>
    <row r="245" spans="1:13" x14ac:dyDescent="0.55000000000000004">
      <c r="A245" s="19" t="str">
        <f>_xll.EVPRO("Finance",$C245,"Inv_Type")</f>
        <v>Inv_Equity</v>
      </c>
      <c r="B245" s="19" t="str">
        <f t="shared" si="6"/>
        <v>Woodland Nursing &amp; Rehab</v>
      </c>
      <c r="C245" s="19" t="str">
        <f t="shared" si="7"/>
        <v>S04651 - Woodland Nursing &amp; Rehab</v>
      </c>
      <c r="D245" s="3"/>
      <c r="E245" s="2" t="str">
        <f xml:space="preserve"> _xll.EPMOlapMemberO("[ACCOUNT].[H1].[T_COVERAGE_RENT]","","T_COVERAGE_RENT - Coverage Rent","","000")</f>
        <v>T_COVERAGE_RENT - Coverage Rent</v>
      </c>
      <c r="F245">
        <v>123138.02</v>
      </c>
      <c r="G245">
        <v>123138.02</v>
      </c>
      <c r="H245">
        <v>123138.02</v>
      </c>
      <c r="I245">
        <v>123138.02</v>
      </c>
      <c r="J245">
        <v>123138.02</v>
      </c>
      <c r="K245">
        <v>123138.02</v>
      </c>
      <c r="L245">
        <v>123138.02</v>
      </c>
      <c r="M245">
        <v>123138.02</v>
      </c>
    </row>
    <row r="246" spans="1:13" x14ac:dyDescent="0.55000000000000004">
      <c r="A246" s="19" t="str">
        <f>_xll.EVPRO("Finance",$C246,"Inv_Type")</f>
        <v>Inv_Equity</v>
      </c>
      <c r="B246" s="19" t="str">
        <f t="shared" si="6"/>
        <v>Woodland Nursing &amp; Rehab</v>
      </c>
      <c r="C246" s="19" t="str">
        <f t="shared" si="7"/>
        <v>S04651 - Woodland Nursing &amp; Rehab</v>
      </c>
      <c r="D246" s="3"/>
      <c r="E246" s="2" t="str">
        <f xml:space="preserve"> _xll.EPMOlapMemberO("[ACCOUNT].[H1].[T_RENT_EXP]","","T_RENT_EXP - Tenant Rent Expense","","000")</f>
        <v>T_RENT_EXP - Tenant Rent Expense</v>
      </c>
      <c r="F246">
        <v>123138.01</v>
      </c>
      <c r="G246">
        <v>123138.01</v>
      </c>
      <c r="H246">
        <v>123138.01</v>
      </c>
      <c r="I246">
        <v>123138.01</v>
      </c>
      <c r="J246">
        <v>123138.01</v>
      </c>
      <c r="K246">
        <v>123138.01</v>
      </c>
      <c r="L246">
        <v>123138.01</v>
      </c>
      <c r="M246">
        <v>123138.01</v>
      </c>
    </row>
    <row r="247" spans="1:13" x14ac:dyDescent="0.55000000000000004">
      <c r="A247" s="19" t="str">
        <f>_xll.EVPRO("Finance",$C247,"Inv_Type")</f>
        <v>Inv_Equity</v>
      </c>
      <c r="B247" s="19" t="str">
        <f t="shared" si="6"/>
        <v>Ramona</v>
      </c>
      <c r="C247" s="19" t="str">
        <f t="shared" si="7"/>
        <v>S04653 - Ramona</v>
      </c>
      <c r="D247" s="3" t="str">
        <f xml:space="preserve"> _xll.EPMOlapMemberO("[ENTITY].[H1].[S04653]","","S04653 - Ramona","","000")</f>
        <v>S04653 - Ramona</v>
      </c>
      <c r="E247" s="45" t="str">
        <f xml:space="preserve"> _xll.EPMOlapMemberO("[ACCOUNT].[H1].[PAY_PAT_DAYS]","","PAY_PAT_DAYS - Total Payor Patient Days","","000")</f>
        <v>PAY_PAT_DAYS - Total Payor Patient Days</v>
      </c>
      <c r="F247">
        <v>2913</v>
      </c>
      <c r="G247">
        <v>2797</v>
      </c>
      <c r="H247">
        <v>3258</v>
      </c>
      <c r="I247">
        <v>3368</v>
      </c>
      <c r="J247">
        <v>3806</v>
      </c>
      <c r="K247">
        <v>3696</v>
      </c>
      <c r="L247">
        <v>3744</v>
      </c>
      <c r="M247">
        <v>3672</v>
      </c>
    </row>
    <row r="248" spans="1:13" x14ac:dyDescent="0.55000000000000004">
      <c r="A248" s="19" t="str">
        <f>_xll.EVPRO("Finance",$C248,"Inv_Type")</f>
        <v>Inv_Equity</v>
      </c>
      <c r="B248" s="19" t="str">
        <f t="shared" si="6"/>
        <v>Ramona</v>
      </c>
      <c r="C248" s="19" t="str">
        <f t="shared" si="7"/>
        <v>S04653 - Ramona</v>
      </c>
      <c r="D248" s="3"/>
      <c r="E248" s="2" t="str">
        <f xml:space="preserve"> _xll.EPMOlapMemberO("[ACCOUNT].[H1].[A_BEDS_TOTAL]","","A_BEDS_TOTAL - Total Available Beds","","000")</f>
        <v>A_BEDS_TOTAL - Total Available Beds</v>
      </c>
      <c r="F248">
        <v>148</v>
      </c>
      <c r="G248">
        <v>148</v>
      </c>
      <c r="H248">
        <v>148</v>
      </c>
      <c r="I248">
        <v>148</v>
      </c>
      <c r="J248">
        <v>148</v>
      </c>
      <c r="K248">
        <v>148</v>
      </c>
      <c r="L248">
        <v>148</v>
      </c>
      <c r="M248">
        <v>148</v>
      </c>
    </row>
    <row r="249" spans="1:13" x14ac:dyDescent="0.55000000000000004">
      <c r="A249" s="19" t="str">
        <f>_xll.EVPRO("Finance",$C249,"Inv_Type")</f>
        <v>Inv_Equity</v>
      </c>
      <c r="B249" s="19" t="str">
        <f t="shared" si="6"/>
        <v>Ramona</v>
      </c>
      <c r="C249" s="19" t="str">
        <f t="shared" si="7"/>
        <v>S04653 - Ramona</v>
      </c>
      <c r="D249" s="3"/>
      <c r="E249" s="9" t="str">
        <f xml:space="preserve"> _xll.EPMOlapMemberO("[ACCOUNT].[H1].[T_REVENUES]","","T_REVENUES - Total Tenant Revenues","","000")</f>
        <v>T_REVENUES - Total Tenant Revenues</v>
      </c>
      <c r="F249">
        <v>1394350.78</v>
      </c>
      <c r="G249">
        <v>1083445.06</v>
      </c>
      <c r="H249">
        <v>1188999.28</v>
      </c>
      <c r="I249">
        <v>1197883.51</v>
      </c>
      <c r="J249">
        <v>1386071.84</v>
      </c>
      <c r="K249">
        <v>1313239.82</v>
      </c>
      <c r="L249">
        <v>1341024.79</v>
      </c>
      <c r="M249">
        <v>1364278.42</v>
      </c>
    </row>
    <row r="250" spans="1:13" x14ac:dyDescent="0.55000000000000004">
      <c r="A250" s="19" t="str">
        <f>_xll.EVPRO("Finance",$C250,"Inv_Type")</f>
        <v>Inv_Equity</v>
      </c>
      <c r="B250" s="19" t="str">
        <f t="shared" si="6"/>
        <v>Ramona</v>
      </c>
      <c r="C250" s="19" t="str">
        <f t="shared" si="7"/>
        <v>S04653 - Ramona</v>
      </c>
      <c r="D250" s="3"/>
      <c r="E250" s="9" t="str">
        <f xml:space="preserve"> _xll.EPMOlapMemberO("[ACCOUNT].[H1].[T_OPEX]","","T_OPEX - Tenant Operating Expenses","","000")</f>
        <v>T_OPEX - Tenant Operating Expenses</v>
      </c>
      <c r="F250">
        <v>1077010.67</v>
      </c>
      <c r="G250">
        <v>1135508.1599999999</v>
      </c>
      <c r="H250">
        <v>1180940.1299999999</v>
      </c>
      <c r="I250">
        <v>1088181.8600000001</v>
      </c>
      <c r="J250">
        <v>1172625.79</v>
      </c>
      <c r="K250">
        <v>1174149.48</v>
      </c>
      <c r="L250">
        <v>1242694.75</v>
      </c>
      <c r="M250">
        <v>1148164.8600000001</v>
      </c>
    </row>
    <row r="251" spans="1:13" x14ac:dyDescent="0.55000000000000004">
      <c r="A251" s="19" t="str">
        <f>_xll.EVPRO("Finance",$C251,"Inv_Type")</f>
        <v>Inv_Equity</v>
      </c>
      <c r="B251" s="19" t="str">
        <f t="shared" si="6"/>
        <v>Ramona</v>
      </c>
      <c r="C251" s="19" t="str">
        <f t="shared" si="7"/>
        <v>S04653 - Ramona</v>
      </c>
      <c r="D251" s="3"/>
      <c r="E251" s="2" t="str">
        <f xml:space="preserve"> _xll.EPMOlapMemberO("[ACCOUNT].[H1].[T_NON_OP_EXP]","","T_NON_OP_EXP - Tenant Non-Operating Expense","","000")</f>
        <v>T_NON_OP_EXP - Tenant Non-Operating Expense</v>
      </c>
      <c r="F251">
        <v>26055.19</v>
      </c>
      <c r="G251">
        <v>17263.18</v>
      </c>
      <c r="H251">
        <v>20313.009999999998</v>
      </c>
      <c r="I251">
        <v>18232.990000000002</v>
      </c>
      <c r="J251">
        <v>24953.38</v>
      </c>
      <c r="K251">
        <v>14357.73</v>
      </c>
      <c r="L251">
        <v>25498.65</v>
      </c>
      <c r="M251">
        <v>23387.48</v>
      </c>
    </row>
    <row r="252" spans="1:13" x14ac:dyDescent="0.55000000000000004">
      <c r="A252" s="19" t="str">
        <f>_xll.EVPRO("Finance",$C252,"Inv_Type")</f>
        <v>Inv_Equity</v>
      </c>
      <c r="B252" s="19" t="str">
        <f t="shared" si="6"/>
        <v>Ramona</v>
      </c>
      <c r="C252" s="19" t="str">
        <f t="shared" si="7"/>
        <v>S04653 - Ramona</v>
      </c>
      <c r="D252" s="3"/>
      <c r="E252" s="10" t="str">
        <f xml:space="preserve"> _xll.EPMOlapMemberO("[ACCOUNT].[H1].[T_BAD_DEBT]","","T_BAD_DEBT - Tenant Bad Debt Expense","","000")</f>
        <v>T_BAD_DEBT - Tenant Bad Debt Expense</v>
      </c>
      <c r="F252">
        <v>-8490.15</v>
      </c>
      <c r="G252">
        <v>93245.96</v>
      </c>
      <c r="H252">
        <v>42990.879999999997</v>
      </c>
      <c r="I252">
        <v>-16840.740000000002</v>
      </c>
      <c r="J252">
        <v>15644.57</v>
      </c>
      <c r="K252">
        <v>28826.51</v>
      </c>
      <c r="L252">
        <v>50797.37</v>
      </c>
      <c r="M252">
        <v>34620.720000000001</v>
      </c>
    </row>
    <row r="253" spans="1:13" x14ac:dyDescent="0.55000000000000004">
      <c r="A253" s="19" t="str">
        <f>_xll.EVPRO("Finance",$C253,"Inv_Type")</f>
        <v>Inv_Equity</v>
      </c>
      <c r="B253" s="19" t="str">
        <f t="shared" si="6"/>
        <v>Ramona</v>
      </c>
      <c r="C253" s="19" t="str">
        <f t="shared" si="7"/>
        <v>S04653 - Ramona</v>
      </c>
      <c r="D253" s="3"/>
      <c r="E253" s="3" t="str">
        <f xml:space="preserve"> _xll.EPMOlapMemberO("[ACCOUNT].[H1].[T_EBITDARM]","","T_EBITDARM - EBITDARM","","000")</f>
        <v>T_EBITDARM - EBITDARM</v>
      </c>
      <c r="F253">
        <v>317340.11</v>
      </c>
      <c r="G253">
        <v>-52063.099999999897</v>
      </c>
      <c r="H253">
        <v>8059.1499999996704</v>
      </c>
      <c r="I253">
        <v>109701.65</v>
      </c>
      <c r="J253">
        <v>213446.05</v>
      </c>
      <c r="K253">
        <v>139090.34</v>
      </c>
      <c r="L253">
        <v>98330.04</v>
      </c>
      <c r="M253">
        <v>216113.56</v>
      </c>
    </row>
    <row r="254" spans="1:13" x14ac:dyDescent="0.55000000000000004">
      <c r="A254" s="19" t="str">
        <f>_xll.EVPRO("Finance",$C254,"Inv_Type")</f>
        <v>Inv_Equity</v>
      </c>
      <c r="B254" s="19" t="str">
        <f t="shared" si="6"/>
        <v>Ramona</v>
      </c>
      <c r="C254" s="19" t="str">
        <f t="shared" si="7"/>
        <v>S04653 - Ramona</v>
      </c>
      <c r="D254" s="3"/>
      <c r="E254" s="3" t="str">
        <f xml:space="preserve"> _xll.EPMOlapMemberO("[ACCOUNT].[H1].[T_MGMT_FEE]","","T_MGMT_FEE - Tenant Management Fee - Actual","","000")</f>
        <v>T_MGMT_FEE - Tenant Management Fee - Actual</v>
      </c>
      <c r="F254">
        <v>65684</v>
      </c>
      <c r="G254">
        <v>69717</v>
      </c>
      <c r="H254">
        <v>54172</v>
      </c>
      <c r="I254">
        <v>59449</v>
      </c>
      <c r="J254">
        <v>59894</v>
      </c>
      <c r="K254">
        <v>69303</v>
      </c>
      <c r="L254">
        <v>65661</v>
      </c>
      <c r="M254">
        <v>67051</v>
      </c>
    </row>
    <row r="255" spans="1:13" x14ac:dyDescent="0.55000000000000004">
      <c r="A255" s="19" t="str">
        <f>_xll.EVPRO("Finance",$C255,"Inv_Type")</f>
        <v>Inv_Equity</v>
      </c>
      <c r="B255" s="19" t="str">
        <f t="shared" si="6"/>
        <v>Ramona</v>
      </c>
      <c r="C255" s="19" t="str">
        <f t="shared" si="7"/>
        <v>S04653 - Ramona</v>
      </c>
      <c r="D255" s="3"/>
      <c r="E255" s="2" t="str">
        <f xml:space="preserve"> _xll.EPMOlapMemberO("[ACCOUNT].[H1].[T_EBITDAR]","","T_EBITDAR - EBITDAR","","000")</f>
        <v>T_EBITDAR - EBITDAR</v>
      </c>
      <c r="F255">
        <v>251656.11</v>
      </c>
      <c r="G255">
        <v>-121780.1</v>
      </c>
      <c r="H255">
        <v>-46112.850000000297</v>
      </c>
      <c r="I255">
        <v>50252.6499999999</v>
      </c>
      <c r="J255">
        <v>153552.04999999999</v>
      </c>
      <c r="K255">
        <v>69787.340000000098</v>
      </c>
      <c r="L255">
        <v>32669.040000000001</v>
      </c>
      <c r="M255">
        <v>149062.56</v>
      </c>
    </row>
    <row r="256" spans="1:13" x14ac:dyDescent="0.55000000000000004">
      <c r="A256" s="19" t="str">
        <f>_xll.EVPRO("Finance",$C256,"Inv_Type")</f>
        <v>Inv_Equity</v>
      </c>
      <c r="B256" s="19" t="str">
        <f t="shared" si="6"/>
        <v>Ramona</v>
      </c>
      <c r="C256" s="19" t="str">
        <f t="shared" si="7"/>
        <v>S04653 - Ramona</v>
      </c>
      <c r="D256" s="3"/>
      <c r="E256" s="2" t="str">
        <f xml:space="preserve"> _xll.EPMOlapMemberO("[ACCOUNT].[H1].[T_COVERAGE_RENT]","","T_COVERAGE_RENT - Coverage Rent","","000")</f>
        <v>T_COVERAGE_RENT - Coverage Rent</v>
      </c>
      <c r="F256">
        <v>157304.32000000001</v>
      </c>
      <c r="G256">
        <v>157304.32000000001</v>
      </c>
      <c r="H256">
        <v>157304.32000000001</v>
      </c>
      <c r="I256">
        <v>157304.32000000001</v>
      </c>
      <c r="J256">
        <v>157304.32000000001</v>
      </c>
      <c r="K256">
        <v>157304.32000000001</v>
      </c>
      <c r="L256">
        <v>157304.32000000001</v>
      </c>
      <c r="M256">
        <v>157304.32000000001</v>
      </c>
    </row>
    <row r="257" spans="1:13" x14ac:dyDescent="0.55000000000000004">
      <c r="A257" s="19" t="str">
        <f>_xll.EVPRO("Finance",$C257,"Inv_Type")</f>
        <v>Inv_Equity</v>
      </c>
      <c r="B257" s="19" t="str">
        <f t="shared" si="6"/>
        <v>Ramona</v>
      </c>
      <c r="C257" s="19" t="str">
        <f t="shared" si="7"/>
        <v>S04653 - Ramona</v>
      </c>
      <c r="D257" s="3"/>
      <c r="E257" s="2" t="str">
        <f xml:space="preserve"> _xll.EPMOlapMemberO("[ACCOUNT].[H1].[T_RENT_EXP]","","T_RENT_EXP - Tenant Rent Expense","","000")</f>
        <v>T_RENT_EXP - Tenant Rent Expense</v>
      </c>
      <c r="F257">
        <v>157304.34</v>
      </c>
      <c r="G257">
        <v>157304.34</v>
      </c>
      <c r="H257">
        <v>157304.34</v>
      </c>
      <c r="I257">
        <v>157304.34</v>
      </c>
      <c r="J257">
        <v>157304.34</v>
      </c>
      <c r="K257">
        <v>157304.34</v>
      </c>
      <c r="L257">
        <v>157304.34</v>
      </c>
      <c r="M257">
        <v>157304.34</v>
      </c>
    </row>
    <row r="258" spans="1:13" x14ac:dyDescent="0.55000000000000004">
      <c r="A258" s="19" t="str">
        <f>_xll.EVPRO("Finance",$C258,"Inv_Type")</f>
        <v>Inv_Equity</v>
      </c>
      <c r="B258" s="19" t="str">
        <f t="shared" si="6"/>
        <v>Park Ridge</v>
      </c>
      <c r="C258" s="19" t="str">
        <f t="shared" si="7"/>
        <v>S04655 - Park Ridge</v>
      </c>
      <c r="D258" s="3" t="str">
        <f xml:space="preserve"> _xll.EPMOlapMemberO("[ENTITY].[H1].[S04655]","","S04655 - Park Ridge","","000")</f>
        <v>S04655 - Park Ridge</v>
      </c>
      <c r="E258" s="45" t="str">
        <f xml:space="preserve"> _xll.EPMOlapMemberO("[ACCOUNT].[H1].[PAY_PAT_DAYS]","","PAY_PAT_DAYS - Total Payor Patient Days","","000")</f>
        <v>PAY_PAT_DAYS - Total Payor Patient Days</v>
      </c>
      <c r="F258">
        <v>2220</v>
      </c>
      <c r="G258">
        <v>2125</v>
      </c>
      <c r="H258">
        <v>2217</v>
      </c>
      <c r="I258">
        <v>2112</v>
      </c>
      <c r="J258">
        <v>2226</v>
      </c>
      <c r="K258">
        <v>2424</v>
      </c>
      <c r="L258">
        <v>2607</v>
      </c>
      <c r="M258">
        <v>2631</v>
      </c>
    </row>
    <row r="259" spans="1:13" x14ac:dyDescent="0.55000000000000004">
      <c r="A259" s="19" t="str">
        <f>_xll.EVPRO("Finance",$C259,"Inv_Type")</f>
        <v>Inv_Equity</v>
      </c>
      <c r="B259" s="19" t="str">
        <f t="shared" si="6"/>
        <v>Park Ridge</v>
      </c>
      <c r="C259" s="19" t="str">
        <f t="shared" si="7"/>
        <v>S04655 - Park Ridge</v>
      </c>
      <c r="D259" s="3"/>
      <c r="E259" s="2" t="str">
        <f xml:space="preserve"> _xll.EPMOlapMemberO("[ACCOUNT].[H1].[A_BEDS_TOTAL]","","A_BEDS_TOTAL - Total Available Beds","","000")</f>
        <v>A_BEDS_TOTAL - Total Available Beds</v>
      </c>
      <c r="F259">
        <v>107</v>
      </c>
      <c r="G259">
        <v>107</v>
      </c>
      <c r="H259">
        <v>107</v>
      </c>
      <c r="I259">
        <v>107</v>
      </c>
      <c r="J259">
        <v>107</v>
      </c>
      <c r="K259">
        <v>107</v>
      </c>
      <c r="L259">
        <v>107</v>
      </c>
      <c r="M259">
        <v>107</v>
      </c>
    </row>
    <row r="260" spans="1:13" x14ac:dyDescent="0.55000000000000004">
      <c r="A260" s="19" t="str">
        <f>_xll.EVPRO("Finance",$C260,"Inv_Type")</f>
        <v>Inv_Equity</v>
      </c>
      <c r="B260" s="19" t="str">
        <f t="shared" si="6"/>
        <v>Park Ridge</v>
      </c>
      <c r="C260" s="19" t="str">
        <f t="shared" si="7"/>
        <v>S04655 - Park Ridge</v>
      </c>
      <c r="D260" s="3"/>
      <c r="E260" s="9" t="str">
        <f xml:space="preserve"> _xll.EPMOlapMemberO("[ACCOUNT].[H1].[T_REVENUES]","","T_REVENUES - Total Tenant Revenues","","000")</f>
        <v>T_REVENUES - Total Tenant Revenues</v>
      </c>
      <c r="F260">
        <v>1035078.45</v>
      </c>
      <c r="G260">
        <v>936622.67</v>
      </c>
      <c r="H260">
        <v>974892.92</v>
      </c>
      <c r="I260">
        <v>968193.54</v>
      </c>
      <c r="J260">
        <v>1048504.99</v>
      </c>
      <c r="K260">
        <v>1175539.93</v>
      </c>
      <c r="L260">
        <v>1339098.1399999999</v>
      </c>
      <c r="M260">
        <v>1266435.96</v>
      </c>
    </row>
    <row r="261" spans="1:13" x14ac:dyDescent="0.55000000000000004">
      <c r="A261" s="19" t="str">
        <f>_xll.EVPRO("Finance",$C261,"Inv_Type")</f>
        <v>Inv_Equity</v>
      </c>
      <c r="B261" s="19" t="str">
        <f t="shared" si="6"/>
        <v>Park Ridge</v>
      </c>
      <c r="C261" s="19" t="str">
        <f t="shared" si="7"/>
        <v>S04655 - Park Ridge</v>
      </c>
      <c r="D261" s="3"/>
      <c r="E261" s="9" t="str">
        <f xml:space="preserve"> _xll.EPMOlapMemberO("[ACCOUNT].[H1].[T_OPEX]","","T_OPEX - Tenant Operating Expenses","","000")</f>
        <v>T_OPEX - Tenant Operating Expenses</v>
      </c>
      <c r="F261">
        <v>725033.32</v>
      </c>
      <c r="G261">
        <v>864693.01</v>
      </c>
      <c r="H261">
        <v>902372.29</v>
      </c>
      <c r="I261">
        <v>927471.32</v>
      </c>
      <c r="J261">
        <v>868737.55</v>
      </c>
      <c r="K261">
        <v>901495.83</v>
      </c>
      <c r="L261">
        <v>879261.73</v>
      </c>
      <c r="M261">
        <v>1076093.81</v>
      </c>
    </row>
    <row r="262" spans="1:13" x14ac:dyDescent="0.55000000000000004">
      <c r="A262" s="19" t="str">
        <f>_xll.EVPRO("Finance",$C262,"Inv_Type")</f>
        <v>Inv_Equity</v>
      </c>
      <c r="B262" s="19" t="str">
        <f t="shared" ref="B262:B278" si="8">MID($C262,FIND("- ",$C262)+2,10000)</f>
        <v>Park Ridge</v>
      </c>
      <c r="C262" s="19" t="str">
        <f t="shared" ref="C262:C278" si="9">IF(D262&lt;&gt;"",D262,C261)</f>
        <v>S04655 - Park Ridge</v>
      </c>
      <c r="D262" s="3"/>
      <c r="E262" s="2" t="str">
        <f xml:space="preserve"> _xll.EPMOlapMemberO("[ACCOUNT].[H1].[T_NON_OP_EXP]","","T_NON_OP_EXP - Tenant Non-Operating Expense","","000")</f>
        <v>T_NON_OP_EXP - Tenant Non-Operating Expense</v>
      </c>
      <c r="F262">
        <v>26371.33</v>
      </c>
      <c r="G262">
        <v>19853.84</v>
      </c>
      <c r="H262">
        <v>31555.52</v>
      </c>
      <c r="I262">
        <v>34792.720000000001</v>
      </c>
      <c r="J262">
        <v>17175.38</v>
      </c>
      <c r="K262">
        <v>17175.38</v>
      </c>
      <c r="L262">
        <v>17175.38</v>
      </c>
      <c r="M262">
        <v>17175.38</v>
      </c>
    </row>
    <row r="263" spans="1:13" x14ac:dyDescent="0.55000000000000004">
      <c r="A263" s="19" t="str">
        <f>_xll.EVPRO("Finance",$C263,"Inv_Type")</f>
        <v>Inv_Equity</v>
      </c>
      <c r="B263" s="19" t="str">
        <f t="shared" si="8"/>
        <v>Park Ridge</v>
      </c>
      <c r="C263" s="19" t="str">
        <f t="shared" si="9"/>
        <v>S04655 - Park Ridge</v>
      </c>
      <c r="D263" s="3"/>
      <c r="E263" s="10" t="str">
        <f xml:space="preserve"> _xll.EPMOlapMemberO("[ACCOUNT].[H1].[T_BAD_DEBT]","","T_BAD_DEBT - Tenant Bad Debt Expense","","000")</f>
        <v>T_BAD_DEBT - Tenant Bad Debt Expense</v>
      </c>
      <c r="F263">
        <v>-191778.21</v>
      </c>
      <c r="G263">
        <v>41940.910000000003</v>
      </c>
      <c r="H263">
        <v>15843.38</v>
      </c>
      <c r="I263">
        <v>-2207.04</v>
      </c>
      <c r="J263">
        <v>9241</v>
      </c>
      <c r="K263">
        <v>501.98</v>
      </c>
      <c r="L263">
        <v>11451.72</v>
      </c>
      <c r="M263">
        <v>7665.92</v>
      </c>
    </row>
    <row r="264" spans="1:13" x14ac:dyDescent="0.55000000000000004">
      <c r="A264" s="19" t="str">
        <f>_xll.EVPRO("Finance",$C264,"Inv_Type")</f>
        <v>Inv_Equity</v>
      </c>
      <c r="B264" s="19" t="str">
        <f t="shared" si="8"/>
        <v>Park Ridge</v>
      </c>
      <c r="C264" s="19" t="str">
        <f t="shared" si="9"/>
        <v>S04655 - Park Ridge</v>
      </c>
      <c r="D264" s="3"/>
      <c r="E264" s="3" t="str">
        <f xml:space="preserve"> _xll.EPMOlapMemberO("[ACCOUNT].[H1].[T_EBITDARM]","","T_EBITDARM - EBITDARM","","000")</f>
        <v>T_EBITDARM - EBITDARM</v>
      </c>
      <c r="F264">
        <v>310045.13</v>
      </c>
      <c r="G264">
        <v>71929.66</v>
      </c>
      <c r="H264">
        <v>72520.629999999903</v>
      </c>
      <c r="I264">
        <v>40722.22</v>
      </c>
      <c r="J264">
        <v>179767.44</v>
      </c>
      <c r="K264">
        <v>274044.09999999998</v>
      </c>
      <c r="L264">
        <v>459836.41</v>
      </c>
      <c r="M264">
        <v>190342.15</v>
      </c>
    </row>
    <row r="265" spans="1:13" x14ac:dyDescent="0.55000000000000004">
      <c r="A265" s="19" t="str">
        <f>_xll.EVPRO("Finance",$C265,"Inv_Type")</f>
        <v>Inv_Equity</v>
      </c>
      <c r="B265" s="19" t="str">
        <f t="shared" si="8"/>
        <v>Park Ridge</v>
      </c>
      <c r="C265" s="19" t="str">
        <f t="shared" si="9"/>
        <v>S04655 - Park Ridge</v>
      </c>
      <c r="D265" s="3"/>
      <c r="E265" s="3" t="str">
        <f xml:space="preserve"> _xll.EPMOlapMemberO("[ACCOUNT].[H1].[T_MGMT_FEE]","","T_MGMT_FEE - Tenant Management Fee - Actual","","000")</f>
        <v>T_MGMT_FEE - Tenant Management Fee - Actual</v>
      </c>
      <c r="F265">
        <v>51185</v>
      </c>
      <c r="G265">
        <v>51753</v>
      </c>
      <c r="H265">
        <v>46831</v>
      </c>
      <c r="I265">
        <v>48744</v>
      </c>
      <c r="J265">
        <v>48409</v>
      </c>
      <c r="K265">
        <v>52425</v>
      </c>
      <c r="L265">
        <v>58776</v>
      </c>
      <c r="M265">
        <v>66954</v>
      </c>
    </row>
    <row r="266" spans="1:13" x14ac:dyDescent="0.55000000000000004">
      <c r="A266" s="19" t="str">
        <f>_xll.EVPRO("Finance",$C266,"Inv_Type")</f>
        <v>Inv_Equity</v>
      </c>
      <c r="B266" s="19" t="str">
        <f t="shared" si="8"/>
        <v>Park Ridge</v>
      </c>
      <c r="C266" s="19" t="str">
        <f t="shared" si="9"/>
        <v>S04655 - Park Ridge</v>
      </c>
      <c r="D266" s="3"/>
      <c r="E266" s="2" t="str">
        <f xml:space="preserve"> _xll.EPMOlapMemberO("[ACCOUNT].[H1].[T_EBITDAR]","","T_EBITDAR - EBITDAR","","000")</f>
        <v>T_EBITDAR - EBITDAR</v>
      </c>
      <c r="F266">
        <v>258860.13</v>
      </c>
      <c r="G266">
        <v>20176.66</v>
      </c>
      <c r="H266">
        <v>25689.629999999899</v>
      </c>
      <c r="I266">
        <v>-8021.7800000000298</v>
      </c>
      <c r="J266">
        <v>131358.44</v>
      </c>
      <c r="K266">
        <v>221619.1</v>
      </c>
      <c r="L266">
        <v>401060.41</v>
      </c>
      <c r="M266">
        <v>123388.15</v>
      </c>
    </row>
    <row r="267" spans="1:13" x14ac:dyDescent="0.55000000000000004">
      <c r="A267" s="19" t="str">
        <f>_xll.EVPRO("Finance",$C267,"Inv_Type")</f>
        <v>Inv_Equity</v>
      </c>
      <c r="B267" s="19" t="str">
        <f t="shared" si="8"/>
        <v>Park Ridge</v>
      </c>
      <c r="C267" s="19" t="str">
        <f t="shared" si="9"/>
        <v>S04655 - Park Ridge</v>
      </c>
      <c r="D267" s="3"/>
      <c r="E267" s="2" t="str">
        <f xml:space="preserve"> _xll.EPMOlapMemberO("[ACCOUNT].[H1].[T_COVERAGE_RENT]","","T_COVERAGE_RENT - Coverage Rent","","000")</f>
        <v>T_COVERAGE_RENT - Coverage Rent</v>
      </c>
      <c r="F267">
        <v>146835.85999999999</v>
      </c>
      <c r="G267">
        <v>146835.85999999999</v>
      </c>
      <c r="H267">
        <v>146835.85999999999</v>
      </c>
      <c r="I267">
        <v>146835.85999999999</v>
      </c>
      <c r="J267">
        <v>146835.85999999999</v>
      </c>
      <c r="K267">
        <v>146835.85999999999</v>
      </c>
      <c r="L267">
        <v>146835.85999999999</v>
      </c>
      <c r="M267">
        <v>146835.85999999999</v>
      </c>
    </row>
    <row r="268" spans="1:13" x14ac:dyDescent="0.55000000000000004">
      <c r="A268" s="19" t="str">
        <f>_xll.EVPRO("Finance",$C268,"Inv_Type")</f>
        <v>Inv_Equity</v>
      </c>
      <c r="B268" s="19" t="str">
        <f t="shared" si="8"/>
        <v>Park Ridge</v>
      </c>
      <c r="C268" s="19" t="str">
        <f t="shared" si="9"/>
        <v>S04655 - Park Ridge</v>
      </c>
      <c r="D268" s="3"/>
      <c r="E268" s="2" t="str">
        <f xml:space="preserve"> _xll.EPMOlapMemberO("[ACCOUNT].[H1].[T_RENT_EXP]","","T_RENT_EXP - Tenant Rent Expense","","000")</f>
        <v>T_RENT_EXP - Tenant Rent Expense</v>
      </c>
      <c r="F268">
        <v>146835.85999999999</v>
      </c>
      <c r="G268">
        <v>146835.85999999999</v>
      </c>
      <c r="H268">
        <v>146835.85999999999</v>
      </c>
      <c r="I268">
        <v>146835.85999999999</v>
      </c>
      <c r="J268">
        <v>146835.85999999999</v>
      </c>
      <c r="K268">
        <v>146835.85999999999</v>
      </c>
      <c r="L268">
        <v>146835.85999999999</v>
      </c>
      <c r="M268">
        <v>146835.85999999999</v>
      </c>
    </row>
    <row r="269" spans="1:13" x14ac:dyDescent="0.55000000000000004">
      <c r="A269" s="19" t="str">
        <f>_xll.EVPRO("Finance",$C269,"Inv_Type")</f>
        <v>Inv_Equity</v>
      </c>
      <c r="B269" s="19" t="str">
        <f t="shared" si="8"/>
        <v>Park Ridge</v>
      </c>
      <c r="C269" s="19" t="str">
        <f t="shared" si="9"/>
        <v>S04655 - Park Ridge</v>
      </c>
    </row>
    <row r="270" spans="1:13" x14ac:dyDescent="0.55000000000000004">
      <c r="A270" s="19" t="str">
        <f>_xll.EVPRO("Finance",$C270,"Inv_Type")</f>
        <v>Inv_Equity</v>
      </c>
      <c r="B270" s="19" t="str">
        <f t="shared" si="8"/>
        <v>Park Ridge</v>
      </c>
      <c r="C270" s="19" t="str">
        <f t="shared" si="9"/>
        <v>S04655 - Park Ridge</v>
      </c>
    </row>
    <row r="271" spans="1:13" x14ac:dyDescent="0.55000000000000004">
      <c r="A271" s="19" t="str">
        <f>_xll.EVPRO("Finance",$C271,"Inv_Type")</f>
        <v>Inv_Equity</v>
      </c>
      <c r="B271" s="19" t="str">
        <f t="shared" si="8"/>
        <v>Park Ridge</v>
      </c>
      <c r="C271" s="19" t="str">
        <f t="shared" si="9"/>
        <v>S04655 - Park Ridge</v>
      </c>
    </row>
    <row r="272" spans="1:13" x14ac:dyDescent="0.55000000000000004">
      <c r="A272" s="19" t="str">
        <f>_xll.EVPRO("Finance",$C272,"Inv_Type")</f>
        <v>Inv_Equity</v>
      </c>
      <c r="B272" s="19" t="str">
        <f t="shared" si="8"/>
        <v>Park Ridge</v>
      </c>
      <c r="C272" s="19" t="str">
        <f t="shared" si="9"/>
        <v>S04655 - Park Ridge</v>
      </c>
    </row>
    <row r="273" spans="1:3" x14ac:dyDescent="0.55000000000000004">
      <c r="A273" s="19" t="str">
        <f>_xll.EVPRO("Finance",$C273,"Inv_Type")</f>
        <v>Inv_Equity</v>
      </c>
      <c r="B273" s="19" t="str">
        <f t="shared" si="8"/>
        <v>Park Ridge</v>
      </c>
      <c r="C273" s="19" t="str">
        <f t="shared" si="9"/>
        <v>S04655 - Park Ridge</v>
      </c>
    </row>
    <row r="274" spans="1:3" x14ac:dyDescent="0.55000000000000004">
      <c r="A274" s="19" t="str">
        <f>_xll.EVPRO("Finance",$C274,"Inv_Type")</f>
        <v>Inv_Equity</v>
      </c>
      <c r="B274" s="19" t="str">
        <f t="shared" si="8"/>
        <v>Park Ridge</v>
      </c>
      <c r="C274" s="19" t="str">
        <f t="shared" si="9"/>
        <v>S04655 - Park Ridge</v>
      </c>
    </row>
    <row r="275" spans="1:3" x14ac:dyDescent="0.55000000000000004">
      <c r="A275" s="19" t="str">
        <f>_xll.EVPRO("Finance",$C275,"Inv_Type")</f>
        <v>Inv_Equity</v>
      </c>
      <c r="B275" s="19" t="str">
        <f t="shared" si="8"/>
        <v>Park Ridge</v>
      </c>
      <c r="C275" s="19" t="str">
        <f t="shared" si="9"/>
        <v>S04655 - Park Ridge</v>
      </c>
    </row>
    <row r="276" spans="1:3" x14ac:dyDescent="0.55000000000000004">
      <c r="A276" s="19" t="str">
        <f>_xll.EVPRO("Finance",$C276,"Inv_Type")</f>
        <v>Inv_Equity</v>
      </c>
      <c r="B276" s="19" t="str">
        <f t="shared" si="8"/>
        <v>Park Ridge</v>
      </c>
      <c r="C276" s="19" t="str">
        <f t="shared" si="9"/>
        <v>S04655 - Park Ridge</v>
      </c>
    </row>
    <row r="277" spans="1:3" x14ac:dyDescent="0.55000000000000004">
      <c r="A277" s="19" t="str">
        <f>_xll.EVPRO("Finance",$C277,"Inv_Type")</f>
        <v>Inv_Equity</v>
      </c>
      <c r="B277" s="19" t="str">
        <f t="shared" si="8"/>
        <v>Park Ridge</v>
      </c>
      <c r="C277" s="19" t="str">
        <f t="shared" si="9"/>
        <v>S04655 - Park Ridge</v>
      </c>
    </row>
    <row r="278" spans="1:3" x14ac:dyDescent="0.55000000000000004">
      <c r="A278" s="19" t="str">
        <f>_xll.EVPRO("Finance",$C278,"Inv_Type")</f>
        <v>Inv_Equity</v>
      </c>
      <c r="B278" s="19" t="str">
        <f t="shared" si="8"/>
        <v>Park Ridge</v>
      </c>
      <c r="C278" s="19" t="str">
        <f t="shared" si="9"/>
        <v>S04655 - Park Ridge</v>
      </c>
    </row>
    <row r="279" spans="1:3" x14ac:dyDescent="0.55000000000000004">
      <c r="A279" s="19" t="str">
        <f>_xll.EVPRO("Finance",$C279,"Inv_Type")</f>
        <v/>
      </c>
      <c r="B279" s="19"/>
      <c r="C279" s="19"/>
    </row>
    <row r="280" spans="1:3" x14ac:dyDescent="0.55000000000000004">
      <c r="A280" s="19" t="str">
        <f>_xll.EVPRO("Finance",$C280,"Inv_Type")</f>
        <v/>
      </c>
      <c r="B280" s="19"/>
      <c r="C280" s="19"/>
    </row>
    <row r="281" spans="1:3" x14ac:dyDescent="0.55000000000000004">
      <c r="A281" s="19" t="str">
        <f>_xll.EVPRO("Finance",$C281,"Inv_Type")</f>
        <v/>
      </c>
      <c r="B281" s="19"/>
      <c r="C281" s="19"/>
    </row>
    <row r="282" spans="1:3" x14ac:dyDescent="0.55000000000000004">
      <c r="A282" s="19" t="str">
        <f>_xll.EVPRO("Finance",$C282,"Inv_Type")</f>
        <v/>
      </c>
      <c r="B282" s="19"/>
      <c r="C282" s="19"/>
    </row>
    <row r="283" spans="1:3" x14ac:dyDescent="0.55000000000000004">
      <c r="A283" s="19" t="str">
        <f>_xll.EVPRO("Finance",$C283,"Inv_Type")</f>
        <v/>
      </c>
      <c r="B283" s="19"/>
      <c r="C283" s="19"/>
    </row>
    <row r="284" spans="1:3" x14ac:dyDescent="0.55000000000000004">
      <c r="A284" s="19" t="str">
        <f>_xll.EVPRO("Finance",$C284,"Inv_Type")</f>
        <v/>
      </c>
      <c r="B284" s="19"/>
      <c r="C284" s="19"/>
    </row>
    <row r="285" spans="1:3" x14ac:dyDescent="0.55000000000000004">
      <c r="A285" s="19" t="str">
        <f>_xll.EVPRO("Finance",$C285,"Inv_Type")</f>
        <v/>
      </c>
      <c r="B285" s="19"/>
      <c r="C285" s="19"/>
    </row>
    <row r="286" spans="1:3" x14ac:dyDescent="0.55000000000000004">
      <c r="A286" s="19" t="str">
        <f>_xll.EVPRO("Finance",$C286,"Inv_Type")</f>
        <v/>
      </c>
      <c r="B286" s="19"/>
      <c r="C286" s="19"/>
    </row>
    <row r="287" spans="1:3" x14ac:dyDescent="0.55000000000000004">
      <c r="A287" s="19" t="str">
        <f>_xll.EVPRO("Finance",$C287,"Inv_Type")</f>
        <v/>
      </c>
      <c r="B287" s="19"/>
      <c r="C287" s="19"/>
    </row>
    <row r="288" spans="1:3" x14ac:dyDescent="0.55000000000000004">
      <c r="A288" s="19" t="str">
        <f>_xll.EVPRO("Finance",$C288,"Inv_Type")</f>
        <v/>
      </c>
      <c r="B288" s="19"/>
      <c r="C288" s="19"/>
    </row>
    <row r="289" spans="1:3" x14ac:dyDescent="0.55000000000000004">
      <c r="A289" s="19" t="str">
        <f>_xll.EVPRO("Finance",$C289,"Inv_Type")</f>
        <v/>
      </c>
      <c r="B289" s="19"/>
      <c r="C289" s="19"/>
    </row>
    <row r="290" spans="1:3" x14ac:dyDescent="0.55000000000000004">
      <c r="A290" s="19" t="str">
        <f>_xll.EVPRO("Finance",$C290,"Inv_Type")</f>
        <v/>
      </c>
      <c r="B290" s="19"/>
      <c r="C290" s="19"/>
    </row>
    <row r="291" spans="1:3" x14ac:dyDescent="0.55000000000000004">
      <c r="A291" s="19" t="str">
        <f>_xll.EVPRO("Finance",$C291,"Inv_Type")</f>
        <v/>
      </c>
      <c r="B291" s="19"/>
      <c r="C291" s="19"/>
    </row>
    <row r="292" spans="1:3" x14ac:dyDescent="0.55000000000000004">
      <c r="A292" s="19" t="str">
        <f>_xll.EVPRO("Finance",$C292,"Inv_Type")</f>
        <v/>
      </c>
      <c r="B292" s="19"/>
      <c r="C292" s="19"/>
    </row>
    <row r="293" spans="1:3" x14ac:dyDescent="0.55000000000000004">
      <c r="A293" s="19" t="str">
        <f>_xll.EVPRO("Finance",$C293,"Inv_Type")</f>
        <v/>
      </c>
      <c r="B293" s="19"/>
      <c r="C293" s="19"/>
    </row>
    <row r="294" spans="1:3" x14ac:dyDescent="0.55000000000000004">
      <c r="A294" s="19" t="str">
        <f>_xll.EVPRO("Finance",$C294,"Inv_Type")</f>
        <v/>
      </c>
      <c r="B294" s="19"/>
      <c r="C294" s="19"/>
    </row>
    <row r="295" spans="1:3" x14ac:dyDescent="0.55000000000000004">
      <c r="A295" s="19" t="str">
        <f>_xll.EVPRO("Finance",$C295,"Inv_Type")</f>
        <v/>
      </c>
      <c r="B295" s="19"/>
      <c r="C295" s="19"/>
    </row>
    <row r="296" spans="1:3" x14ac:dyDescent="0.55000000000000004">
      <c r="A296" s="19" t="str">
        <f>_xll.EVPRO("Finance",$C296,"Inv_Type")</f>
        <v/>
      </c>
      <c r="B296" s="19"/>
      <c r="C296" s="19"/>
    </row>
    <row r="297" spans="1:3" x14ac:dyDescent="0.55000000000000004">
      <c r="A297" s="19" t="str">
        <f>_xll.EVPRO("Finance",$C297,"Inv_Type")</f>
        <v/>
      </c>
      <c r="B297" s="19"/>
      <c r="C297" s="19"/>
    </row>
    <row r="298" spans="1:3" x14ac:dyDescent="0.55000000000000004">
      <c r="A298" s="19" t="str">
        <f>_xll.EVPRO("Finance",$C298,"Inv_Type")</f>
        <v/>
      </c>
      <c r="B298" s="19"/>
      <c r="C298" s="19"/>
    </row>
    <row r="299" spans="1:3" x14ac:dyDescent="0.55000000000000004">
      <c r="A299" s="19" t="str">
        <f>_xll.EVPRO("Finance",$C299,"Inv_Type")</f>
        <v/>
      </c>
      <c r="B299" s="19"/>
      <c r="C299" s="19"/>
    </row>
    <row r="300" spans="1:3" x14ac:dyDescent="0.55000000000000004">
      <c r="A300" s="19" t="str">
        <f>_xll.EVPRO("Finance",$C300,"Inv_Type")</f>
        <v/>
      </c>
      <c r="B300" s="19"/>
      <c r="C300" s="19"/>
    </row>
    <row r="301" spans="1:3" x14ac:dyDescent="0.55000000000000004">
      <c r="A301" s="19" t="str">
        <f>_xll.EVPRO("Finance",$C301,"Inv_Type")</f>
        <v/>
      </c>
      <c r="B301" s="19"/>
      <c r="C301" s="19"/>
    </row>
    <row r="302" spans="1:3" x14ac:dyDescent="0.55000000000000004">
      <c r="A302" s="19" t="str">
        <f>_xll.EVPRO("Finance",$C302,"Inv_Type")</f>
        <v/>
      </c>
      <c r="B302" s="19"/>
      <c r="C302" s="19"/>
    </row>
    <row r="303" spans="1:3" x14ac:dyDescent="0.55000000000000004">
      <c r="A303" s="19" t="str">
        <f>_xll.EVPRO("Finance",$C303,"Inv_Type")</f>
        <v/>
      </c>
      <c r="B303" s="19"/>
      <c r="C303" s="19"/>
    </row>
    <row r="304" spans="1:3" x14ac:dyDescent="0.55000000000000004">
      <c r="A304" s="19" t="str">
        <f>_xll.EVPRO("Finance",$C304,"Inv_Type")</f>
        <v/>
      </c>
      <c r="B304" s="19"/>
      <c r="C304" s="19"/>
    </row>
    <row r="305" spans="1:3" x14ac:dyDescent="0.55000000000000004">
      <c r="A305" s="19" t="str">
        <f>_xll.EVPRO("Finance",$C305,"Inv_Type")</f>
        <v/>
      </c>
      <c r="B305" s="19"/>
      <c r="C305" s="19"/>
    </row>
    <row r="306" spans="1:3" x14ac:dyDescent="0.55000000000000004">
      <c r="A306" s="19" t="str">
        <f>_xll.EVPRO("Finance",$C306,"Inv_Type")</f>
        <v/>
      </c>
      <c r="B306" s="19"/>
      <c r="C306" s="19"/>
    </row>
    <row r="307" spans="1:3" x14ac:dyDescent="0.55000000000000004">
      <c r="A307" s="19" t="str">
        <f>_xll.EVPRO("Finance",$C307,"Inv_Type")</f>
        <v/>
      </c>
      <c r="B307" s="19"/>
      <c r="C307" s="19"/>
    </row>
    <row r="308" spans="1:3" x14ac:dyDescent="0.55000000000000004">
      <c r="A308" s="19" t="str">
        <f>_xll.EVPRO("Finance",$C308,"Inv_Type")</f>
        <v/>
      </c>
      <c r="B308" s="19"/>
      <c r="C308" s="19"/>
    </row>
    <row r="309" spans="1:3" x14ac:dyDescent="0.55000000000000004">
      <c r="A309" s="19" t="str">
        <f>_xll.EVPRO("Finance",$C309,"Inv_Type")</f>
        <v/>
      </c>
      <c r="B309" s="19"/>
      <c r="C309" s="19"/>
    </row>
    <row r="310" spans="1:3" x14ac:dyDescent="0.55000000000000004">
      <c r="A310" s="19" t="str">
        <f>_xll.EVPRO("Finance",$C310,"Inv_Type")</f>
        <v/>
      </c>
      <c r="B310" s="19"/>
      <c r="C310" s="19"/>
    </row>
    <row r="311" spans="1:3" x14ac:dyDescent="0.55000000000000004">
      <c r="A311" s="19" t="str">
        <f>_xll.EVPRO("Finance",$C311,"Inv_Type")</f>
        <v/>
      </c>
      <c r="B311" s="19"/>
      <c r="C311" s="19"/>
    </row>
    <row r="312" spans="1:3" x14ac:dyDescent="0.55000000000000004">
      <c r="A312" s="19" t="str">
        <f>_xll.EVPRO("Finance",$C312,"Inv_Type")</f>
        <v/>
      </c>
      <c r="B312" s="19"/>
      <c r="C312" s="19"/>
    </row>
    <row r="313" spans="1:3" x14ac:dyDescent="0.55000000000000004">
      <c r="A313" s="19" t="str">
        <f>_xll.EVPRO("Finance",$C313,"Inv_Type")</f>
        <v/>
      </c>
      <c r="B313" s="19"/>
      <c r="C313" s="19"/>
    </row>
    <row r="314" spans="1:3" x14ac:dyDescent="0.55000000000000004">
      <c r="A314" s="19" t="str">
        <f>_xll.EVPRO("Finance",$C314,"Inv_Type")</f>
        <v/>
      </c>
      <c r="B314" s="19"/>
      <c r="C314" s="19"/>
    </row>
    <row r="315" spans="1:3" x14ac:dyDescent="0.55000000000000004">
      <c r="A315" s="19" t="str">
        <f>_xll.EVPRO("Finance",$C315,"Inv_Type")</f>
        <v/>
      </c>
      <c r="B315" s="19"/>
      <c r="C315" s="19"/>
    </row>
    <row r="316" spans="1:3" x14ac:dyDescent="0.55000000000000004">
      <c r="A316" s="19" t="str">
        <f>_xll.EVPRO("Finance",$C316,"Inv_Type")</f>
        <v/>
      </c>
      <c r="B316" s="19"/>
      <c r="C316" s="19"/>
    </row>
    <row r="317" spans="1:3" x14ac:dyDescent="0.55000000000000004">
      <c r="A317" s="19" t="str">
        <f>_xll.EVPRO("Finance",$C317,"Inv_Type")</f>
        <v/>
      </c>
      <c r="B317" s="19"/>
      <c r="C317" s="19"/>
    </row>
    <row r="318" spans="1:3" x14ac:dyDescent="0.55000000000000004">
      <c r="A318" s="19" t="str">
        <f>_xll.EVPRO("Finance",$C318,"Inv_Type")</f>
        <v/>
      </c>
      <c r="B318" s="19"/>
      <c r="C318" s="19"/>
    </row>
    <row r="319" spans="1:3" x14ac:dyDescent="0.55000000000000004">
      <c r="A319" s="19" t="str">
        <f>_xll.EVPRO("Finance",$C319,"Inv_Type")</f>
        <v/>
      </c>
      <c r="B319" s="19"/>
      <c r="C319" s="19"/>
    </row>
    <row r="320" spans="1:3" x14ac:dyDescent="0.55000000000000004">
      <c r="A320" s="19" t="str">
        <f>_xll.EVPRO("Finance",$C320,"Inv_Type")</f>
        <v/>
      </c>
      <c r="B320" s="19"/>
      <c r="C320" s="19"/>
    </row>
    <row r="321" spans="1:3" x14ac:dyDescent="0.55000000000000004">
      <c r="A321" s="19" t="str">
        <f>_xll.EVPRO("Finance",$C321,"Inv_Type")</f>
        <v/>
      </c>
      <c r="B321" s="19"/>
      <c r="C321" s="19"/>
    </row>
    <row r="322" spans="1:3" x14ac:dyDescent="0.55000000000000004">
      <c r="A322" s="19" t="str">
        <f>_xll.EVPRO("Finance",$C322,"Inv_Type")</f>
        <v/>
      </c>
      <c r="B322" s="19"/>
      <c r="C322" s="19"/>
    </row>
    <row r="323" spans="1:3" x14ac:dyDescent="0.55000000000000004">
      <c r="A323" s="19" t="str">
        <f>_xll.EVPRO("Finance",$C323,"Inv_Type")</f>
        <v/>
      </c>
      <c r="B323" s="19"/>
      <c r="C323" s="19"/>
    </row>
    <row r="324" spans="1:3" x14ac:dyDescent="0.55000000000000004">
      <c r="A324" s="19" t="str">
        <f>_xll.EVPRO("Finance",$C324,"Inv_Type")</f>
        <v/>
      </c>
      <c r="B324" s="19"/>
      <c r="C324" s="19"/>
    </row>
    <row r="325" spans="1:3" x14ac:dyDescent="0.55000000000000004">
      <c r="A325" s="19" t="str">
        <f>_xll.EVPRO("Finance",$C325,"Inv_Type")</f>
        <v/>
      </c>
      <c r="B325" s="19"/>
      <c r="C325" s="19"/>
    </row>
    <row r="326" spans="1:3" x14ac:dyDescent="0.55000000000000004">
      <c r="A326" s="19" t="str">
        <f>_xll.EVPRO("Finance",$C326,"Inv_Type")</f>
        <v/>
      </c>
      <c r="B326" s="19"/>
      <c r="C326" s="19"/>
    </row>
    <row r="327" spans="1:3" x14ac:dyDescent="0.55000000000000004">
      <c r="A327" s="19" t="str">
        <f>_xll.EVPRO("Finance",$C327,"Inv_Type")</f>
        <v/>
      </c>
      <c r="B327" s="19"/>
      <c r="C327" s="19"/>
    </row>
    <row r="328" spans="1:3" x14ac:dyDescent="0.55000000000000004">
      <c r="A328" s="19" t="str">
        <f>_xll.EVPRO("Finance",$C328,"Inv_Type")</f>
        <v/>
      </c>
      <c r="B328" s="19"/>
      <c r="C328" s="19"/>
    </row>
    <row r="329" spans="1:3" x14ac:dyDescent="0.55000000000000004">
      <c r="A329" s="19" t="str">
        <f>_xll.EVPRO("Finance",$C329,"Inv_Type")</f>
        <v/>
      </c>
      <c r="B329" s="19"/>
      <c r="C329" s="19"/>
    </row>
    <row r="330" spans="1:3" x14ac:dyDescent="0.55000000000000004">
      <c r="A330" s="19" t="str">
        <f>_xll.EVPRO("Finance",$C330,"Inv_Type")</f>
        <v/>
      </c>
      <c r="B330" s="19"/>
      <c r="C330" s="19"/>
    </row>
    <row r="331" spans="1:3" x14ac:dyDescent="0.55000000000000004">
      <c r="A331" s="19" t="str">
        <f>_xll.EVPRO("Finance",$C331,"Inv_Type")</f>
        <v/>
      </c>
      <c r="B331" s="19"/>
      <c r="C331" s="19"/>
    </row>
    <row r="332" spans="1:3" x14ac:dyDescent="0.55000000000000004">
      <c r="A332" s="19" t="str">
        <f>_xll.EVPRO("Finance",$C332,"Inv_Type")</f>
        <v/>
      </c>
      <c r="B332" s="19"/>
      <c r="C332" s="19"/>
    </row>
    <row r="333" spans="1:3" x14ac:dyDescent="0.55000000000000004">
      <c r="A333" s="19" t="str">
        <f>_xll.EVPRO("Finance",$C333,"Inv_Type")</f>
        <v/>
      </c>
      <c r="B333" s="19"/>
      <c r="C333" s="19"/>
    </row>
    <row r="334" spans="1:3" x14ac:dyDescent="0.55000000000000004">
      <c r="A334" s="19" t="str">
        <f>_xll.EVPRO("Finance",$C334,"Inv_Type")</f>
        <v/>
      </c>
      <c r="B334" s="19"/>
      <c r="C334" s="19"/>
    </row>
    <row r="335" spans="1:3" x14ac:dyDescent="0.55000000000000004">
      <c r="A335" s="19" t="str">
        <f>_xll.EVPRO("Finance",$C335,"Inv_Type")</f>
        <v/>
      </c>
      <c r="B335" s="19"/>
      <c r="C335" s="19"/>
    </row>
    <row r="336" spans="1:3" x14ac:dyDescent="0.55000000000000004">
      <c r="A336" s="19" t="str">
        <f>_xll.EVPRO("Finance",$C336,"Inv_Type")</f>
        <v/>
      </c>
      <c r="B336" s="19"/>
      <c r="C336" s="19"/>
    </row>
    <row r="337" spans="1:3" x14ac:dyDescent="0.55000000000000004">
      <c r="A337" s="19" t="str">
        <f>_xll.EVPRO("Finance",$C337,"Inv_Type")</f>
        <v/>
      </c>
      <c r="B337" s="19"/>
      <c r="C337" s="19"/>
    </row>
    <row r="338" spans="1:3" x14ac:dyDescent="0.55000000000000004">
      <c r="A338" s="19" t="str">
        <f>_xll.EVPRO("Finance",$C338,"Inv_Type")</f>
        <v/>
      </c>
      <c r="B338" s="19"/>
      <c r="C338" s="19"/>
    </row>
    <row r="339" spans="1:3" x14ac:dyDescent="0.55000000000000004">
      <c r="A339" s="19" t="str">
        <f>_xll.EVPRO("Finance",$C339,"Inv_Type")</f>
        <v/>
      </c>
      <c r="B339" s="19"/>
      <c r="C339" s="19"/>
    </row>
    <row r="340" spans="1:3" x14ac:dyDescent="0.55000000000000004">
      <c r="A340" s="19" t="str">
        <f>_xll.EVPRO("Finance",$C340,"Inv_Type")</f>
        <v/>
      </c>
      <c r="B340" s="19"/>
      <c r="C340" s="19"/>
    </row>
    <row r="341" spans="1:3" x14ac:dyDescent="0.55000000000000004">
      <c r="A341" s="19" t="str">
        <f>_xll.EVPRO("Finance",$C341,"Inv_Type")</f>
        <v/>
      </c>
      <c r="B341" s="19"/>
      <c r="C341" s="19"/>
    </row>
    <row r="342" spans="1:3" x14ac:dyDescent="0.55000000000000004">
      <c r="A342" s="19" t="str">
        <f>_xll.EVPRO("Finance",$C342,"Inv_Type")</f>
        <v/>
      </c>
      <c r="B342" s="19"/>
      <c r="C342" s="19"/>
    </row>
    <row r="343" spans="1:3" x14ac:dyDescent="0.55000000000000004">
      <c r="A343" s="19" t="str">
        <f>_xll.EVPRO("Finance",$C343,"Inv_Type")</f>
        <v/>
      </c>
      <c r="B343" s="19"/>
      <c r="C343" s="19"/>
    </row>
    <row r="344" spans="1:3" x14ac:dyDescent="0.55000000000000004">
      <c r="A344" s="19" t="str">
        <f>_xll.EVPRO("Finance",$C344,"Inv_Type")</f>
        <v/>
      </c>
      <c r="B344" s="19"/>
      <c r="C344" s="19"/>
    </row>
    <row r="345" spans="1:3" x14ac:dyDescent="0.55000000000000004">
      <c r="A345" s="19" t="str">
        <f>_xll.EVPRO("Finance",$C345,"Inv_Type")</f>
        <v/>
      </c>
      <c r="B345" s="19"/>
      <c r="C345" s="19"/>
    </row>
    <row r="346" spans="1:3" x14ac:dyDescent="0.55000000000000004">
      <c r="A346" s="19" t="str">
        <f>_xll.EVPRO("Finance",$C346,"Inv_Type")</f>
        <v/>
      </c>
      <c r="B346" s="19"/>
      <c r="C346" s="19"/>
    </row>
    <row r="347" spans="1:3" x14ac:dyDescent="0.55000000000000004">
      <c r="A347" s="19" t="str">
        <f>_xll.EVPRO("Finance",$C347,"Inv_Type")</f>
        <v/>
      </c>
      <c r="B347" s="19"/>
      <c r="C347" s="19"/>
    </row>
    <row r="348" spans="1:3" x14ac:dyDescent="0.55000000000000004">
      <c r="A348" s="19" t="str">
        <f>_xll.EVPRO("Finance",$C348,"Inv_Type")</f>
        <v/>
      </c>
      <c r="B348" s="19"/>
      <c r="C348" s="19"/>
    </row>
    <row r="349" spans="1:3" x14ac:dyDescent="0.55000000000000004">
      <c r="A349" s="19" t="str">
        <f>_xll.EVPRO("Finance",$C349,"Inv_Type")</f>
        <v/>
      </c>
      <c r="B349" s="19"/>
      <c r="C349" s="19"/>
    </row>
    <row r="350" spans="1:3" x14ac:dyDescent="0.55000000000000004">
      <c r="A350" s="19" t="str">
        <f>_xll.EVPRO("Finance",$C350,"Inv_Type")</f>
        <v/>
      </c>
      <c r="B350" s="19"/>
      <c r="C350" s="19"/>
    </row>
    <row r="351" spans="1:3" x14ac:dyDescent="0.55000000000000004">
      <c r="A351" s="19" t="str">
        <f>_xll.EVPRO("Finance",$C351,"Inv_Type")</f>
        <v/>
      </c>
      <c r="B351" s="19"/>
      <c r="C351" s="19"/>
    </row>
    <row r="352" spans="1:3" x14ac:dyDescent="0.55000000000000004">
      <c r="A352" s="19" t="str">
        <f>_xll.EVPRO("Finance",$C352,"Inv_Type")</f>
        <v/>
      </c>
      <c r="B352" s="19"/>
      <c r="C352" s="19"/>
    </row>
    <row r="353" spans="1:3" x14ac:dyDescent="0.55000000000000004">
      <c r="A353" s="19" t="str">
        <f>_xll.EVPRO("Finance",$C353,"Inv_Type")</f>
        <v/>
      </c>
      <c r="B353" s="19"/>
      <c r="C353" s="19"/>
    </row>
    <row r="354" spans="1:3" x14ac:dyDescent="0.55000000000000004">
      <c r="A354" s="19" t="str">
        <f>_xll.EVPRO("Finance",$C354,"Inv_Type")</f>
        <v/>
      </c>
      <c r="B354" s="19"/>
      <c r="C354" s="19"/>
    </row>
    <row r="355" spans="1:3" x14ac:dyDescent="0.55000000000000004">
      <c r="A355" s="19" t="str">
        <f>_xll.EVPRO("Finance",$C355,"Inv_Type")</f>
        <v/>
      </c>
      <c r="B355" s="19"/>
      <c r="C355" s="19"/>
    </row>
    <row r="356" spans="1:3" x14ac:dyDescent="0.55000000000000004">
      <c r="A356" s="19" t="str">
        <f>_xll.EVPRO("Finance",$C356,"Inv_Type")</f>
        <v/>
      </c>
      <c r="B356" s="19"/>
      <c r="C356" s="19"/>
    </row>
    <row r="357" spans="1:3" x14ac:dyDescent="0.55000000000000004">
      <c r="A357" s="19" t="str">
        <f>_xll.EVPRO("Finance",$C357,"Inv_Type")</f>
        <v/>
      </c>
      <c r="B357" s="19"/>
      <c r="C357" s="19"/>
    </row>
    <row r="358" spans="1:3" x14ac:dyDescent="0.55000000000000004">
      <c r="A358" s="19" t="str">
        <f>_xll.EVPRO("Finance",$C358,"Inv_Type")</f>
        <v/>
      </c>
      <c r="B358" s="19"/>
      <c r="C358" s="19"/>
    </row>
    <row r="359" spans="1:3" x14ac:dyDescent="0.55000000000000004">
      <c r="A359" s="19" t="str">
        <f>_xll.EVPRO("Finance",$C359,"Inv_Type")</f>
        <v/>
      </c>
      <c r="B359" s="19"/>
      <c r="C359" s="19"/>
    </row>
    <row r="360" spans="1:3" x14ac:dyDescent="0.55000000000000004">
      <c r="A360" s="19" t="str">
        <f>_xll.EVPRO("Finance",$C360,"Inv_Type")</f>
        <v/>
      </c>
      <c r="B360" s="19"/>
      <c r="C360" s="19"/>
    </row>
    <row r="361" spans="1:3" x14ac:dyDescent="0.55000000000000004">
      <c r="A361" s="19" t="str">
        <f>_xll.EVPRO("Finance",$C361,"Inv_Type")</f>
        <v/>
      </c>
      <c r="B361" s="19"/>
      <c r="C361" s="19"/>
    </row>
    <row r="362" spans="1:3" x14ac:dyDescent="0.55000000000000004">
      <c r="A362" s="19" t="str">
        <f>_xll.EVPRO("Finance",$C362,"Inv_Type")</f>
        <v/>
      </c>
      <c r="B362" s="19"/>
      <c r="C362" s="19"/>
    </row>
    <row r="363" spans="1:3" x14ac:dyDescent="0.55000000000000004">
      <c r="A363" s="19" t="str">
        <f>_xll.EVPRO("Finance",$C363,"Inv_Type")</f>
        <v/>
      </c>
      <c r="B363" s="19"/>
      <c r="C363" s="19"/>
    </row>
    <row r="364" spans="1:3" x14ac:dyDescent="0.55000000000000004">
      <c r="A364" s="19" t="str">
        <f>_xll.EVPRO("Finance",$C364,"Inv_Type")</f>
        <v/>
      </c>
      <c r="B364" s="19"/>
      <c r="C364" s="19"/>
    </row>
    <row r="365" spans="1:3" x14ac:dyDescent="0.55000000000000004">
      <c r="A365" s="19" t="str">
        <f>_xll.EVPRO("Finance",$C365,"Inv_Type")</f>
        <v/>
      </c>
      <c r="B365" s="19"/>
      <c r="C365" s="19"/>
    </row>
    <row r="366" spans="1:3" x14ac:dyDescent="0.55000000000000004">
      <c r="A366" s="19" t="str">
        <f>_xll.EVPRO("Finance",$C366,"Inv_Type")</f>
        <v/>
      </c>
      <c r="B366" s="19"/>
      <c r="C366" s="19"/>
    </row>
    <row r="367" spans="1:3" x14ac:dyDescent="0.55000000000000004">
      <c r="A367" s="19" t="str">
        <f>_xll.EVPRO("Finance",$C367,"Inv_Type")</f>
        <v/>
      </c>
      <c r="B367" s="19"/>
      <c r="C367" s="19"/>
    </row>
    <row r="368" spans="1:3" x14ac:dyDescent="0.55000000000000004">
      <c r="A368" s="19" t="str">
        <f>_xll.EVPRO("Finance",$C368,"Inv_Type")</f>
        <v/>
      </c>
      <c r="B368" s="19"/>
      <c r="C368" s="19"/>
    </row>
    <row r="369" spans="1:3" x14ac:dyDescent="0.55000000000000004">
      <c r="A369" s="19" t="str">
        <f>_xll.EVPRO("Finance",$C369,"Inv_Type")</f>
        <v/>
      </c>
      <c r="B369" s="19"/>
      <c r="C369" s="19"/>
    </row>
    <row r="370" spans="1:3" x14ac:dyDescent="0.55000000000000004">
      <c r="A370" s="19" t="str">
        <f>_xll.EVPRO("Finance",$C370,"Inv_Type")</f>
        <v/>
      </c>
      <c r="B370" s="19"/>
      <c r="C370" s="19"/>
    </row>
    <row r="371" spans="1:3" x14ac:dyDescent="0.55000000000000004">
      <c r="A371" s="19" t="str">
        <f>_xll.EVPRO("Finance",$C371,"Inv_Type")</f>
        <v/>
      </c>
      <c r="B371" s="19"/>
      <c r="C371" s="19"/>
    </row>
    <row r="372" spans="1:3" x14ac:dyDescent="0.55000000000000004">
      <c r="A372" s="19" t="str">
        <f>_xll.EVPRO("Finance",$C372,"Inv_Type")</f>
        <v/>
      </c>
      <c r="B372" s="19"/>
      <c r="C372" s="19"/>
    </row>
    <row r="373" spans="1:3" x14ac:dyDescent="0.55000000000000004">
      <c r="A373" s="19" t="str">
        <f>_xll.EVPRO("Finance",$C373,"Inv_Type")</f>
        <v/>
      </c>
      <c r="B373" s="19"/>
      <c r="C373" s="19"/>
    </row>
    <row r="374" spans="1:3" x14ac:dyDescent="0.55000000000000004">
      <c r="A374" s="19" t="str">
        <f>_xll.EVPRO("Finance",$C374,"Inv_Type")</f>
        <v/>
      </c>
      <c r="B374" s="19"/>
      <c r="C374" s="19"/>
    </row>
    <row r="375" spans="1:3" x14ac:dyDescent="0.55000000000000004">
      <c r="A375" s="19" t="str">
        <f>_xll.EVPRO("Finance",$C375,"Inv_Type")</f>
        <v/>
      </c>
      <c r="B375" s="19"/>
      <c r="C375" s="19"/>
    </row>
    <row r="376" spans="1:3" x14ac:dyDescent="0.55000000000000004">
      <c r="A376" s="19" t="str">
        <f>_xll.EVPRO("Finance",$C376,"Inv_Type")</f>
        <v/>
      </c>
      <c r="B376" s="19"/>
      <c r="C376" s="19"/>
    </row>
    <row r="377" spans="1:3" x14ac:dyDescent="0.55000000000000004">
      <c r="A377" s="19" t="str">
        <f>_xll.EVPRO("Finance",$C377,"Inv_Type")</f>
        <v/>
      </c>
      <c r="B377" s="19"/>
      <c r="C377" s="19"/>
    </row>
    <row r="378" spans="1:3" x14ac:dyDescent="0.55000000000000004">
      <c r="A378" s="19" t="str">
        <f>_xll.EVPRO("Finance",$C378,"Inv_Type")</f>
        <v/>
      </c>
      <c r="B378" s="19"/>
      <c r="C378" s="19"/>
    </row>
    <row r="379" spans="1:3" x14ac:dyDescent="0.55000000000000004">
      <c r="A379" s="19" t="str">
        <f>_xll.EVPRO("Finance",$C379,"Inv_Type")</f>
        <v/>
      </c>
      <c r="B379" s="19"/>
      <c r="C379" s="19"/>
    </row>
    <row r="380" spans="1:3" x14ac:dyDescent="0.55000000000000004">
      <c r="A380" s="19" t="str">
        <f>_xll.EVPRO("Finance",$C380,"Inv_Type")</f>
        <v/>
      </c>
      <c r="B380" s="19"/>
      <c r="C380" s="19"/>
    </row>
    <row r="381" spans="1:3" x14ac:dyDescent="0.55000000000000004">
      <c r="A381" s="19" t="str">
        <f>_xll.EVPRO("Finance",$C381,"Inv_Type")</f>
        <v/>
      </c>
      <c r="B381" s="19"/>
      <c r="C381" s="19"/>
    </row>
    <row r="382" spans="1:3" x14ac:dyDescent="0.55000000000000004">
      <c r="A382" s="19" t="str">
        <f>_xll.EVPRO("Finance",$C382,"Inv_Type")</f>
        <v/>
      </c>
      <c r="B382" s="19"/>
      <c r="C382" s="19"/>
    </row>
    <row r="383" spans="1:3" x14ac:dyDescent="0.55000000000000004">
      <c r="A383" s="19" t="str">
        <f>_xll.EVPRO("Finance",$C383,"Inv_Type")</f>
        <v/>
      </c>
      <c r="B383" s="19"/>
      <c r="C383" s="19"/>
    </row>
    <row r="384" spans="1:3" x14ac:dyDescent="0.55000000000000004">
      <c r="A384" s="19" t="str">
        <f>_xll.EVPRO("Finance",$C384,"Inv_Type")</f>
        <v/>
      </c>
      <c r="B384" s="19"/>
      <c r="C384" s="19"/>
    </row>
    <row r="385" spans="1:3" x14ac:dyDescent="0.55000000000000004">
      <c r="A385" s="19" t="str">
        <f>_xll.EVPRO("Finance",$C385,"Inv_Type")</f>
        <v/>
      </c>
      <c r="B385" s="19"/>
      <c r="C385" s="19"/>
    </row>
    <row r="386" spans="1:3" x14ac:dyDescent="0.55000000000000004">
      <c r="A386" s="19" t="str">
        <f>_xll.EVPRO("Finance",$C386,"Inv_Type")</f>
        <v/>
      </c>
      <c r="B386" s="19"/>
      <c r="C386" s="19"/>
    </row>
    <row r="387" spans="1:3" x14ac:dyDescent="0.55000000000000004">
      <c r="A387" s="19" t="str">
        <f>_xll.EVPRO("Finance",$C387,"Inv_Type")</f>
        <v/>
      </c>
      <c r="B387" s="19"/>
      <c r="C387" s="19"/>
    </row>
    <row r="388" spans="1:3" x14ac:dyDescent="0.55000000000000004">
      <c r="A388" s="19"/>
      <c r="B388" s="19"/>
      <c r="C388" s="19"/>
    </row>
  </sheetData>
  <pageMargins left="0.7" right="0.7" top="0.75" bottom="0.75" header="0.3" footer="0.3"/>
  <customProperties>
    <customPr name="FPMExcelClientCellBasedFunctionStatus" r:id="rId1"/>
    <customPr name="FPMExcelClientRefreshTime" r:id="rId2"/>
  </customProperties>
  <drawing r:id="rId3"/>
  <legacyDrawing r:id="rId4"/>
  <controls>
    <mc:AlternateContent xmlns:mc="http://schemas.openxmlformats.org/markup-compatibility/2006">
      <mc:Choice Requires="x14">
        <control shapeId="1025" r:id="rId5" name="FPMExcelClientSheetOptionstb1">
          <controlPr defaultSize="0" autoLine="0" autoPict="0" r:id="rId6">
            <anchor moveWithCells="1" sizeWithCells="1">
              <from>
                <xdr:col>0</xdr:col>
                <xdr:colOff>0</xdr:colOff>
                <xdr:row>0</xdr:row>
                <xdr:rowOff>0</xdr:rowOff>
              </from>
              <to>
                <xdr:col>1</xdr:col>
                <xdr:colOff>1192530</xdr:colOff>
                <xdr:row>0</xdr:row>
                <xdr:rowOff>0</xdr:rowOff>
              </to>
            </anchor>
          </controlPr>
        </control>
      </mc:Choice>
      <mc:Fallback>
        <control shapeId="1025" r:id="rId5" name="FPMExcelClientSheetOptionstb1"/>
      </mc:Fallback>
    </mc:AlternateContent>
    <mc:AlternateContent xmlns:mc="http://schemas.openxmlformats.org/markup-compatibility/2006">
      <mc:Choice Requires="x14">
        <control shapeId="1026" r:id="rId7" name="ConnectionDescriptorsInfotb1">
          <controlPr defaultSize="0" autoLine="0" autoPict="0" r:id="rId8">
            <anchor moveWithCells="1" sizeWithCells="1">
              <from>
                <xdr:col>0</xdr:col>
                <xdr:colOff>0</xdr:colOff>
                <xdr:row>0</xdr:row>
                <xdr:rowOff>0</xdr:rowOff>
              </from>
              <to>
                <xdr:col>1</xdr:col>
                <xdr:colOff>1192530</xdr:colOff>
                <xdr:row>0</xdr:row>
                <xdr:rowOff>0</xdr:rowOff>
              </to>
            </anchor>
          </controlPr>
        </control>
      </mc:Choice>
      <mc:Fallback>
        <control shapeId="1026" r:id="rId7" name="ConnectionDescriptorsInfotb1"/>
      </mc:Fallback>
    </mc:AlternateContent>
    <mc:AlternateContent xmlns:mc="http://schemas.openxmlformats.org/markup-compatibility/2006">
      <mc:Choice Requires="x14">
        <control shapeId="1027" r:id="rId9" name="MultipleReportManagerInfotb1">
          <controlPr defaultSize="0" autoLine="0" autoPict="0" r:id="rId10">
            <anchor moveWithCells="1" sizeWithCells="1">
              <from>
                <xdr:col>0</xdr:col>
                <xdr:colOff>0</xdr:colOff>
                <xdr:row>0</xdr:row>
                <xdr:rowOff>0</xdr:rowOff>
              </from>
              <to>
                <xdr:col>1</xdr:col>
                <xdr:colOff>1192530</xdr:colOff>
                <xdr:row>0</xdr:row>
                <xdr:rowOff>0</xdr:rowOff>
              </to>
            </anchor>
          </controlPr>
        </control>
      </mc:Choice>
      <mc:Fallback>
        <control shapeId="1027" r:id="rId9" name="MultipleReportManagerInfotb1"/>
      </mc:Fallback>
    </mc:AlternateContent>
    <mc:AlternateContent xmlns:mc="http://schemas.openxmlformats.org/markup-compatibility/2006">
      <mc:Choice Requires="x14">
        <control shapeId="1028" r:id="rId11" name="AnalyzerDynReport000tb1">
          <controlPr defaultSize="0" autoLine="0" autoPict="0" r:id="rId12">
            <anchor moveWithCells="1" sizeWithCells="1">
              <from>
                <xdr:col>0</xdr:col>
                <xdr:colOff>0</xdr:colOff>
                <xdr:row>0</xdr:row>
                <xdr:rowOff>0</xdr:rowOff>
              </from>
              <to>
                <xdr:col>1</xdr:col>
                <xdr:colOff>1192530</xdr:colOff>
                <xdr:row>0</xdr:row>
                <xdr:rowOff>0</xdr:rowOff>
              </to>
            </anchor>
          </controlPr>
        </control>
      </mc:Choice>
      <mc:Fallback>
        <control shapeId="1028" r:id="rId11" name="AnalyzerDynReport000tb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U559"/>
  <sheetViews>
    <sheetView showGridLines="0" view="pageBreakPreview" topLeftCell="E255" zoomScale="85" zoomScaleNormal="100" zoomScaleSheetLayoutView="85" workbookViewId="0">
      <selection activeCell="N551" sqref="N551"/>
    </sheetView>
  </sheetViews>
  <sheetFormatPr defaultRowHeight="14.4" outlineLevelRow="1" outlineLevelCol="1" x14ac:dyDescent="0.55000000000000004"/>
  <cols>
    <col min="1" max="2" width="9.15625" hidden="1" customWidth="1" outlineLevel="1"/>
    <col min="3" max="3" width="37.41796875" hidden="1" customWidth="1" outlineLevel="1"/>
    <col min="4" max="4" width="45.83984375" hidden="1" customWidth="1" outlineLevel="1"/>
    <col min="5" max="5" width="2.578125" customWidth="1" collapsed="1"/>
    <col min="6" max="6" width="35" bestFit="1" customWidth="1"/>
    <col min="7" max="7" width="15" bestFit="1" customWidth="1"/>
    <col min="8" max="8" width="15" style="21" bestFit="1" customWidth="1"/>
    <col min="9" max="9" width="15" bestFit="1" customWidth="1"/>
    <col min="10" max="10" width="15" style="21" bestFit="1" customWidth="1"/>
    <col min="11" max="11" width="15" bestFit="1" customWidth="1"/>
    <col min="12" max="12" width="15" style="21" bestFit="1" customWidth="1"/>
    <col min="13" max="13" width="15" bestFit="1" customWidth="1"/>
    <col min="14" max="14" width="15" style="21" bestFit="1" customWidth="1"/>
    <col min="15" max="15" width="16" bestFit="1" customWidth="1"/>
    <col min="16" max="16" width="11" bestFit="1" customWidth="1"/>
    <col min="17" max="17" width="11.578125" bestFit="1" customWidth="1"/>
  </cols>
  <sheetData>
    <row r="1" spans="1:17" x14ac:dyDescent="0.55000000000000004">
      <c r="F1" s="17" t="s">
        <v>10</v>
      </c>
      <c r="G1" s="16">
        <f>EDATE(G$3,1)-G$3</f>
        <v>31</v>
      </c>
      <c r="H1" s="16">
        <f t="shared" ref="H1:N1" si="0">EDATE(H$3,1)-H$3</f>
        <v>28</v>
      </c>
      <c r="I1" s="16">
        <f t="shared" si="0"/>
        <v>31</v>
      </c>
      <c r="J1" s="16">
        <f t="shared" si="0"/>
        <v>30</v>
      </c>
      <c r="K1" s="16">
        <f t="shared" si="0"/>
        <v>31</v>
      </c>
      <c r="L1" s="16">
        <f t="shared" si="0"/>
        <v>30</v>
      </c>
      <c r="M1" s="16">
        <f t="shared" si="0"/>
        <v>31</v>
      </c>
      <c r="N1" s="16">
        <f t="shared" si="0"/>
        <v>31</v>
      </c>
    </row>
    <row r="2" spans="1:17" hidden="1" outlineLevel="1" x14ac:dyDescent="0.55000000000000004">
      <c r="G2">
        <v>0</v>
      </c>
      <c r="H2">
        <f t="shared" ref="H2:N2" si="1">G2+1</f>
        <v>1</v>
      </c>
      <c r="I2">
        <f t="shared" si="1"/>
        <v>2</v>
      </c>
      <c r="J2">
        <f t="shared" si="1"/>
        <v>3</v>
      </c>
      <c r="K2">
        <f t="shared" si="1"/>
        <v>4</v>
      </c>
      <c r="L2">
        <f t="shared" si="1"/>
        <v>5</v>
      </c>
      <c r="M2">
        <f t="shared" si="1"/>
        <v>6</v>
      </c>
      <c r="N2">
        <f t="shared" si="1"/>
        <v>7</v>
      </c>
    </row>
    <row r="3" spans="1:17" hidden="1" outlineLevel="1" x14ac:dyDescent="0.55000000000000004">
      <c r="G3" s="5">
        <v>44197</v>
      </c>
      <c r="H3" s="5">
        <f t="shared" ref="H3:N3" si="2">EDATE(G3,1)</f>
        <v>44228</v>
      </c>
      <c r="I3" s="5">
        <f t="shared" si="2"/>
        <v>44256</v>
      </c>
      <c r="J3" s="5">
        <f t="shared" si="2"/>
        <v>44287</v>
      </c>
      <c r="K3" s="5">
        <f t="shared" si="2"/>
        <v>44317</v>
      </c>
      <c r="L3" s="5">
        <f t="shared" si="2"/>
        <v>44348</v>
      </c>
      <c r="M3" s="5">
        <f t="shared" si="2"/>
        <v>44378</v>
      </c>
      <c r="N3" s="5">
        <f t="shared" si="2"/>
        <v>44409</v>
      </c>
    </row>
    <row r="4" spans="1:17" collapsed="1" x14ac:dyDescent="0.55000000000000004">
      <c r="F4" s="6" t="str">
        <f>MID('BPC Data'!$D$1,FIND("-",'BPC Data'!$D$1)+2,1000)</f>
        <v>North American Health Care, Inc</v>
      </c>
      <c r="G4" s="5"/>
      <c r="H4" s="50"/>
      <c r="I4" s="5"/>
      <c r="J4" s="50"/>
      <c r="K4" s="5"/>
      <c r="L4" s="50"/>
      <c r="M4" s="5"/>
      <c r="N4" s="50"/>
    </row>
    <row r="5" spans="1:17" x14ac:dyDescent="0.55000000000000004">
      <c r="F5" s="6" t="str">
        <f>"Trailing "&amp;COUNT(G3:N3)&amp;" Month Financial Summary"</f>
        <v>Trailing 8 Month Financial Summary</v>
      </c>
      <c r="G5" s="5"/>
      <c r="H5" s="50"/>
      <c r="I5" s="5"/>
      <c r="J5" s="50"/>
      <c r="K5" s="5"/>
      <c r="L5" s="50"/>
      <c r="M5" s="5"/>
      <c r="N5" s="50"/>
    </row>
    <row r="6" spans="1:17" x14ac:dyDescent="0.55000000000000004">
      <c r="F6" s="6" t="str">
        <f>"As of "&amp;TEXT(EOMONTH(MAX($G$3:$N$3),0),"MMM DD, YYYY")</f>
        <v>As of Aug 31, 2021</v>
      </c>
      <c r="G6" s="5"/>
      <c r="H6" s="50"/>
      <c r="I6" s="5"/>
      <c r="J6" s="50"/>
      <c r="K6" s="5"/>
      <c r="L6" s="50"/>
      <c r="M6" s="5"/>
      <c r="N6" s="50"/>
    </row>
    <row r="8" spans="1:17" x14ac:dyDescent="0.55000000000000004">
      <c r="F8" s="12"/>
      <c r="G8" s="58" t="str">
        <f t="shared" ref="G8:N8" si="3">TEXT(G$3,"MMM YYYY")</f>
        <v>Jan 2021</v>
      </c>
      <c r="H8" s="51" t="str">
        <f t="shared" si="3"/>
        <v>Feb 2021</v>
      </c>
      <c r="I8" s="58" t="str">
        <f t="shared" si="3"/>
        <v>Mar 2021</v>
      </c>
      <c r="J8" s="51" t="str">
        <f t="shared" si="3"/>
        <v>Apr 2021</v>
      </c>
      <c r="K8" s="58" t="str">
        <f t="shared" si="3"/>
        <v>May 2021</v>
      </c>
      <c r="L8" s="51" t="str">
        <f t="shared" si="3"/>
        <v>Jun 2021</v>
      </c>
      <c r="M8" s="58" t="str">
        <f t="shared" si="3"/>
        <v>Jul 2021</v>
      </c>
      <c r="N8" s="51" t="str">
        <f t="shared" si="3"/>
        <v>Aug 2021</v>
      </c>
      <c r="O8" s="66" t="s">
        <v>21</v>
      </c>
      <c r="P8" s="66"/>
      <c r="Q8" s="66"/>
    </row>
    <row r="9" spans="1:17" s="4" customFormat="1" x14ac:dyDescent="0.55000000000000004">
      <c r="A9" s="4">
        <v>1</v>
      </c>
      <c r="F9" s="13" t="str">
        <f>INDEX(PropertyList!$D:$D,MATCH(Summary!$A9,PropertyList!$C:$C,0))</f>
        <v>Broadway by the Sea</v>
      </c>
      <c r="G9" s="59"/>
      <c r="H9" s="52"/>
      <c r="I9" s="59"/>
      <c r="J9" s="52"/>
      <c r="K9" s="59"/>
      <c r="L9" s="52"/>
      <c r="M9" s="59"/>
      <c r="N9" s="52"/>
    </row>
    <row r="10" spans="1:17" s="11" customFormat="1" x14ac:dyDescent="0.55000000000000004">
      <c r="A10" s="11">
        <f>IF(AND(F10&lt;&gt;"",D10=""),A9+1,A9)</f>
        <v>1</v>
      </c>
      <c r="C10" t="str">
        <f>$F9</f>
        <v>Broadway by the Sea</v>
      </c>
      <c r="D10" s="3" t="s">
        <v>1</v>
      </c>
      <c r="F10" s="14" t="str">
        <f>_xll.EVDES(D10)</f>
        <v>Total Payor Patient Days</v>
      </c>
      <c r="G10" s="60">
        <f ca="1">SUMIFS(OFFSET('BPC Data'!$F:$F,0,Summary!G$2),'BPC Data'!$E:$E,Summary!$D10,'BPC Data'!$B:$B,Summary!$C10)</f>
        <v>1854</v>
      </c>
      <c r="H10" s="53">
        <f ca="1">SUMIFS(OFFSET('BPC Data'!$F:$F,0,Summary!H$2),'BPC Data'!$E:$E,Summary!$D10,'BPC Data'!$B:$B,Summary!$C10)</f>
        <v>1793</v>
      </c>
      <c r="I10" s="60">
        <f ca="1">SUMIFS(OFFSET('BPC Data'!$F:$F,0,Summary!I$2),'BPC Data'!$E:$E,Summary!$D10,'BPC Data'!$B:$B,Summary!$C10)</f>
        <v>1961</v>
      </c>
      <c r="J10" s="53">
        <f ca="1">SUMIFS(OFFSET('BPC Data'!$F:$F,0,Summary!J$2),'BPC Data'!$E:$E,Summary!$D10,'BPC Data'!$B:$B,Summary!$C10)</f>
        <v>1786</v>
      </c>
      <c r="K10" s="60">
        <f ca="1">SUMIFS(OFFSET('BPC Data'!$F:$F,0,Summary!K$2),'BPC Data'!$E:$E,Summary!$D10,'BPC Data'!$B:$B,Summary!$C10)</f>
        <v>1962</v>
      </c>
      <c r="L10" s="53">
        <f ca="1">SUMIFS(OFFSET('BPC Data'!$F:$F,0,Summary!L$2),'BPC Data'!$E:$E,Summary!$D10,'BPC Data'!$B:$B,Summary!$C10)</f>
        <v>1924</v>
      </c>
      <c r="M10" s="60">
        <f ca="1">SUMIFS(OFFSET('BPC Data'!$F:$F,0,Summary!M$2),'BPC Data'!$E:$E,Summary!$D10,'BPC Data'!$B:$B,Summary!$C10)</f>
        <v>2018</v>
      </c>
      <c r="N10" s="53">
        <f ca="1">SUMIFS(OFFSET('BPC Data'!$F:$F,0,Summary!N$2),'BPC Data'!$E:$E,Summary!$D10,'BPC Data'!$B:$B,Summary!$C10)</f>
        <v>2158</v>
      </c>
      <c r="O10" s="18">
        <f ca="1">SUM(G10:N10)</f>
        <v>15456</v>
      </c>
    </row>
    <row r="11" spans="1:17" s="11" customFormat="1" x14ac:dyDescent="0.55000000000000004">
      <c r="A11" s="11">
        <f t="shared" ref="A11:A19" si="4">IF(AND(F11&lt;&gt;"",D11=""),A10+1,A10)</f>
        <v>1</v>
      </c>
      <c r="C11" t="str">
        <f>$F9</f>
        <v>Broadway by the Sea</v>
      </c>
      <c r="D11" s="3" t="s">
        <v>9</v>
      </c>
      <c r="F11" s="14" t="str">
        <f>_xll.EVDES(D11)</f>
        <v>Total Available Beds</v>
      </c>
      <c r="G11" s="60">
        <f ca="1">SUMIFS(OFFSET('BPC Data'!$F:$F,0,Summary!G$2),'BPC Data'!$E:$E,Summary!$D11,'BPC Data'!$B:$B,Summary!$C11)</f>
        <v>95</v>
      </c>
      <c r="H11" s="53">
        <f ca="1">SUMIFS(OFFSET('BPC Data'!$F:$F,0,Summary!H$2),'BPC Data'!$E:$E,Summary!$D11,'BPC Data'!$B:$B,Summary!$C11)</f>
        <v>95</v>
      </c>
      <c r="I11" s="60">
        <f ca="1">SUMIFS(OFFSET('BPC Data'!$F:$F,0,Summary!I$2),'BPC Data'!$E:$E,Summary!$D11,'BPC Data'!$B:$B,Summary!$C11)</f>
        <v>95</v>
      </c>
      <c r="J11" s="53">
        <f ca="1">SUMIFS(OFFSET('BPC Data'!$F:$F,0,Summary!J$2),'BPC Data'!$E:$E,Summary!$D11,'BPC Data'!$B:$B,Summary!$C11)</f>
        <v>95</v>
      </c>
      <c r="K11" s="60">
        <f ca="1">SUMIFS(OFFSET('BPC Data'!$F:$F,0,Summary!K$2),'BPC Data'!$E:$E,Summary!$D11,'BPC Data'!$B:$B,Summary!$C11)</f>
        <v>95</v>
      </c>
      <c r="L11" s="53">
        <f ca="1">SUMIFS(OFFSET('BPC Data'!$F:$F,0,Summary!L$2),'BPC Data'!$E:$E,Summary!$D11,'BPC Data'!$B:$B,Summary!$C11)</f>
        <v>95</v>
      </c>
      <c r="M11" s="60">
        <f ca="1">SUMIFS(OFFSET('BPC Data'!$F:$F,0,Summary!M$2),'BPC Data'!$E:$E,Summary!$D11,'BPC Data'!$B:$B,Summary!$C11)</f>
        <v>95</v>
      </c>
      <c r="N11" s="53">
        <f ca="1">SUMIFS(OFFSET('BPC Data'!$F:$F,0,Summary!N$2),'BPC Data'!$E:$E,Summary!$D11,'BPC Data'!$B:$B,Summary!$C11)</f>
        <v>95</v>
      </c>
      <c r="O11" s="18">
        <f ca="1">N11</f>
        <v>95</v>
      </c>
    </row>
    <row r="12" spans="1:17" x14ac:dyDescent="0.55000000000000004">
      <c r="A12" s="11">
        <f t="shared" si="4"/>
        <v>1</v>
      </c>
      <c r="C12" t="str">
        <f>$F9</f>
        <v>Broadway by the Sea</v>
      </c>
      <c r="D12" s="3" t="s">
        <v>4</v>
      </c>
      <c r="F12" s="14" t="str">
        <f>_xll.EVDES(D12)</f>
        <v>Total Tenant Revenues</v>
      </c>
      <c r="G12" s="60">
        <f ca="1">SUMIFS(OFFSET('BPC Data'!$F:$F,0,Summary!G$2),'BPC Data'!$E:$E,Summary!$D12,'BPC Data'!$B:$B,Summary!$C12)</f>
        <v>1051119.3400000001</v>
      </c>
      <c r="H12" s="53">
        <f ca="1">SUMIFS(OFFSET('BPC Data'!$F:$F,0,Summary!H$2),'BPC Data'!$E:$E,Summary!$D12,'BPC Data'!$B:$B,Summary!$C12)</f>
        <v>840414.97</v>
      </c>
      <c r="I12" s="60">
        <f ca="1">SUMIFS(OFFSET('BPC Data'!$F:$F,0,Summary!I$2),'BPC Data'!$E:$E,Summary!$D12,'BPC Data'!$B:$B,Summary!$C12)</f>
        <v>1150198.94</v>
      </c>
      <c r="J12" s="53">
        <f ca="1">SUMIFS(OFFSET('BPC Data'!$F:$F,0,Summary!J$2),'BPC Data'!$E:$E,Summary!$D12,'BPC Data'!$B:$B,Summary!$C12)</f>
        <v>850800.64000000001</v>
      </c>
      <c r="K12" s="60">
        <f ca="1">SUMIFS(OFFSET('BPC Data'!$F:$F,0,Summary!K$2),'BPC Data'!$E:$E,Summary!$D12,'BPC Data'!$B:$B,Summary!$C12)</f>
        <v>875945.14</v>
      </c>
      <c r="L12" s="53">
        <f ca="1">SUMIFS(OFFSET('BPC Data'!$F:$F,0,Summary!L$2),'BPC Data'!$E:$E,Summary!$D12,'BPC Data'!$B:$B,Summary!$C12)</f>
        <v>801255.54</v>
      </c>
      <c r="M12" s="60">
        <f ca="1">SUMIFS(OFFSET('BPC Data'!$F:$F,0,Summary!M$2),'BPC Data'!$E:$E,Summary!$D12,'BPC Data'!$B:$B,Summary!$C12)</f>
        <v>871300.23</v>
      </c>
      <c r="N12" s="53">
        <f ca="1">SUMIFS(OFFSET('BPC Data'!$F:$F,0,Summary!N$2),'BPC Data'!$E:$E,Summary!$D12,'BPC Data'!$B:$B,Summary!$C12)</f>
        <v>983730.43</v>
      </c>
      <c r="O12" s="18">
        <f t="shared" ref="O12:O21" ca="1" si="5">SUM(G12:N12)</f>
        <v>7424765.2300000004</v>
      </c>
    </row>
    <row r="13" spans="1:17" x14ac:dyDescent="0.55000000000000004">
      <c r="A13" s="11">
        <f t="shared" si="4"/>
        <v>1</v>
      </c>
      <c r="C13" t="str">
        <f>$F9</f>
        <v>Broadway by the Sea</v>
      </c>
      <c r="D13" s="3" t="s">
        <v>5</v>
      </c>
      <c r="F13" s="14" t="str">
        <f>_xll.EVDES(D13)</f>
        <v>Tenant Operating Expenses</v>
      </c>
      <c r="G13" s="60">
        <f ca="1">SUMIFS(OFFSET('BPC Data'!$F:$F,0,Summary!G$2),'BPC Data'!$E:$E,Summary!$D13,'BPC Data'!$B:$B,Summary!$C13)</f>
        <v>700505.93</v>
      </c>
      <c r="H13" s="53">
        <f ca="1">SUMIFS(OFFSET('BPC Data'!$F:$F,0,Summary!H$2),'BPC Data'!$E:$E,Summary!$D13,'BPC Data'!$B:$B,Summary!$C13)</f>
        <v>684505.79</v>
      </c>
      <c r="I13" s="60">
        <f ca="1">SUMIFS(OFFSET('BPC Data'!$F:$F,0,Summary!I$2),'BPC Data'!$E:$E,Summary!$D13,'BPC Data'!$B:$B,Summary!$C13)</f>
        <v>744243.48</v>
      </c>
      <c r="J13" s="53">
        <f ca="1">SUMIFS(OFFSET('BPC Data'!$F:$F,0,Summary!J$2),'BPC Data'!$E:$E,Summary!$D13,'BPC Data'!$B:$B,Summary!$C13)</f>
        <v>731390.23</v>
      </c>
      <c r="K13" s="60">
        <f ca="1">SUMIFS(OFFSET('BPC Data'!$F:$F,0,Summary!K$2),'BPC Data'!$E:$E,Summary!$D13,'BPC Data'!$B:$B,Summary!$C13)</f>
        <v>714673.95</v>
      </c>
      <c r="L13" s="53">
        <f ca="1">SUMIFS(OFFSET('BPC Data'!$F:$F,0,Summary!L$2),'BPC Data'!$E:$E,Summary!$D13,'BPC Data'!$B:$B,Summary!$C13)</f>
        <v>703099.87</v>
      </c>
      <c r="M13" s="60">
        <f ca="1">SUMIFS(OFFSET('BPC Data'!$F:$F,0,Summary!M$2),'BPC Data'!$E:$E,Summary!$D13,'BPC Data'!$B:$B,Summary!$C13)</f>
        <v>736059.6</v>
      </c>
      <c r="N13" s="53">
        <f ca="1">SUMIFS(OFFSET('BPC Data'!$F:$F,0,Summary!N$2),'BPC Data'!$E:$E,Summary!$D13,'BPC Data'!$B:$B,Summary!$C13)</f>
        <v>717908.87</v>
      </c>
      <c r="O13" s="18">
        <f t="shared" ca="1" si="5"/>
        <v>5732387.7199999997</v>
      </c>
    </row>
    <row r="14" spans="1:17" x14ac:dyDescent="0.55000000000000004">
      <c r="A14" s="11">
        <f t="shared" si="4"/>
        <v>1</v>
      </c>
      <c r="C14" t="str">
        <f>$F9</f>
        <v>Broadway by the Sea</v>
      </c>
      <c r="D14" s="3" t="s">
        <v>2</v>
      </c>
      <c r="F14" s="14" t="str">
        <f>_xll.EVDES(D14)</f>
        <v>Tenant Bad Debt Expense</v>
      </c>
      <c r="G14" s="60">
        <f ca="1">SUMIFS(OFFSET('BPC Data'!$F:$F,0,Summary!G$2),'BPC Data'!$E:$E,Summary!$D14,'BPC Data'!$B:$B,Summary!$C14)</f>
        <v>-20149.32</v>
      </c>
      <c r="H14" s="53">
        <f ca="1">SUMIFS(OFFSET('BPC Data'!$F:$F,0,Summary!H$2),'BPC Data'!$E:$E,Summary!$D14,'BPC Data'!$B:$B,Summary!$C14)</f>
        <v>-41637.120000000003</v>
      </c>
      <c r="I14" s="60">
        <f ca="1">SUMIFS(OFFSET('BPC Data'!$F:$F,0,Summary!I$2),'BPC Data'!$E:$E,Summary!$D14,'BPC Data'!$B:$B,Summary!$C14)</f>
        <v>-26207.95</v>
      </c>
      <c r="J14" s="53">
        <f ca="1">SUMIFS(OFFSET('BPC Data'!$F:$F,0,Summary!J$2),'BPC Data'!$E:$E,Summary!$D14,'BPC Data'!$B:$B,Summary!$C14)</f>
        <v>-5568.66</v>
      </c>
      <c r="K14" s="60">
        <f ca="1">SUMIFS(OFFSET('BPC Data'!$F:$F,0,Summary!K$2),'BPC Data'!$E:$E,Summary!$D14,'BPC Data'!$B:$B,Summary!$C14)</f>
        <v>31592.77</v>
      </c>
      <c r="L14" s="53">
        <f ca="1">SUMIFS(OFFSET('BPC Data'!$F:$F,0,Summary!L$2),'BPC Data'!$E:$E,Summary!$D14,'BPC Data'!$B:$B,Summary!$C14)</f>
        <v>16344.83</v>
      </c>
      <c r="M14" s="60">
        <f ca="1">SUMIFS(OFFSET('BPC Data'!$F:$F,0,Summary!M$2),'BPC Data'!$E:$E,Summary!$D14,'BPC Data'!$B:$B,Summary!$C14)</f>
        <v>49277.9</v>
      </c>
      <c r="N14" s="53">
        <f ca="1">SUMIFS(OFFSET('BPC Data'!$F:$F,0,Summary!N$2),'BPC Data'!$E:$E,Summary!$D14,'BPC Data'!$B:$B,Summary!$C14)</f>
        <v>41409.06</v>
      </c>
      <c r="O14" s="18">
        <f t="shared" ca="1" si="5"/>
        <v>45061.51</v>
      </c>
    </row>
    <row r="15" spans="1:17" x14ac:dyDescent="0.55000000000000004">
      <c r="A15" s="11">
        <f t="shared" si="4"/>
        <v>1</v>
      </c>
      <c r="C15" t="str">
        <f>$F9</f>
        <v>Broadway by the Sea</v>
      </c>
      <c r="D15" s="2" t="s">
        <v>6</v>
      </c>
      <c r="F15" s="14" t="str">
        <f>_xll.EVDES(D15)</f>
        <v>EBITDARM</v>
      </c>
      <c r="G15" s="60">
        <f ca="1">SUMIFS(OFFSET('BPC Data'!$F:$F,0,Summary!G$2),'BPC Data'!$E:$E,Summary!$D15,'BPC Data'!$B:$B,Summary!$C15)</f>
        <v>350613.41</v>
      </c>
      <c r="H15" s="53">
        <f ca="1">SUMIFS(OFFSET('BPC Data'!$F:$F,0,Summary!H$2),'BPC Data'!$E:$E,Summary!$D15,'BPC Data'!$B:$B,Summary!$C15)</f>
        <v>155909.18</v>
      </c>
      <c r="I15" s="60">
        <f ca="1">SUMIFS(OFFSET('BPC Data'!$F:$F,0,Summary!I$2),'BPC Data'!$E:$E,Summary!$D15,'BPC Data'!$B:$B,Summary!$C15)</f>
        <v>405955.46</v>
      </c>
      <c r="J15" s="53">
        <f ca="1">SUMIFS(OFFSET('BPC Data'!$F:$F,0,Summary!J$2),'BPC Data'!$E:$E,Summary!$D15,'BPC Data'!$B:$B,Summary!$C15)</f>
        <v>119410.41</v>
      </c>
      <c r="K15" s="60">
        <f ca="1">SUMIFS(OFFSET('BPC Data'!$F:$F,0,Summary!K$2),'BPC Data'!$E:$E,Summary!$D15,'BPC Data'!$B:$B,Summary!$C15)</f>
        <v>161271.19</v>
      </c>
      <c r="L15" s="53">
        <f ca="1">SUMIFS(OFFSET('BPC Data'!$F:$F,0,Summary!L$2),'BPC Data'!$E:$E,Summary!$D15,'BPC Data'!$B:$B,Summary!$C15)</f>
        <v>98155.669999999896</v>
      </c>
      <c r="M15" s="60">
        <f ca="1">SUMIFS(OFFSET('BPC Data'!$F:$F,0,Summary!M$2),'BPC Data'!$E:$E,Summary!$D15,'BPC Data'!$B:$B,Summary!$C15)</f>
        <v>135240.63</v>
      </c>
      <c r="N15" s="53">
        <f ca="1">SUMIFS(OFFSET('BPC Data'!$F:$F,0,Summary!N$2),'BPC Data'!$E:$E,Summary!$D15,'BPC Data'!$B:$B,Summary!$C15)</f>
        <v>265821.56</v>
      </c>
      <c r="O15" s="18">
        <f t="shared" ca="1" si="5"/>
        <v>1692377.5100000002</v>
      </c>
    </row>
    <row r="16" spans="1:17" x14ac:dyDescent="0.55000000000000004">
      <c r="A16" s="11">
        <f t="shared" si="4"/>
        <v>1</v>
      </c>
      <c r="C16" t="str">
        <f>$F9</f>
        <v>Broadway by the Sea</v>
      </c>
      <c r="D16" s="2" t="s">
        <v>7</v>
      </c>
      <c r="F16" s="14" t="str">
        <f>_xll.EVDES(D16)</f>
        <v>Tenant Management Fee - Actual</v>
      </c>
      <c r="G16" s="60">
        <f ca="1">SUMIFS(OFFSET('BPC Data'!$F:$F,0,Summary!G$2),'BPC Data'!$E:$E,Summary!$D16,'BPC Data'!$B:$B,Summary!$C16)</f>
        <v>52022</v>
      </c>
      <c r="H16" s="53">
        <f ca="1">SUMIFS(OFFSET('BPC Data'!$F:$F,0,Summary!H$2),'BPC Data'!$E:$E,Summary!$D16,'BPC Data'!$B:$B,Summary!$C16)</f>
        <v>52555</v>
      </c>
      <c r="I16" s="60">
        <f ca="1">SUMIFS(OFFSET('BPC Data'!$F:$F,0,Summary!I$2),'BPC Data'!$E:$E,Summary!$D16,'BPC Data'!$B:$B,Summary!$C16)</f>
        <v>42020</v>
      </c>
      <c r="J16" s="53">
        <f ca="1">SUMIFS(OFFSET('BPC Data'!$F:$F,0,Summary!J$2),'BPC Data'!$E:$E,Summary!$D16,'BPC Data'!$B:$B,Summary!$C16)</f>
        <v>57509</v>
      </c>
      <c r="K16" s="60">
        <f ca="1">SUMIFS(OFFSET('BPC Data'!$F:$F,0,Summary!K$2),'BPC Data'!$E:$E,Summary!$D16,'BPC Data'!$B:$B,Summary!$C16)</f>
        <v>42540</v>
      </c>
      <c r="L16" s="53">
        <f ca="1">SUMIFS(OFFSET('BPC Data'!$F:$F,0,Summary!L$2),'BPC Data'!$E:$E,Summary!$D16,'BPC Data'!$B:$B,Summary!$C16)</f>
        <v>43797</v>
      </c>
      <c r="M16" s="60">
        <f ca="1">SUMIFS(OFFSET('BPC Data'!$F:$F,0,Summary!M$2),'BPC Data'!$E:$E,Summary!$D16,'BPC Data'!$B:$B,Summary!$C16)</f>
        <v>40062</v>
      </c>
      <c r="N16" s="53">
        <f ca="1">SUMIFS(OFFSET('BPC Data'!$F:$F,0,Summary!N$2),'BPC Data'!$E:$E,Summary!$D16,'BPC Data'!$B:$B,Summary!$C16)</f>
        <v>43565</v>
      </c>
      <c r="O16" s="18">
        <f t="shared" ca="1" si="5"/>
        <v>374070</v>
      </c>
    </row>
    <row r="17" spans="1:21" x14ac:dyDescent="0.55000000000000004">
      <c r="A17" s="11">
        <f t="shared" si="4"/>
        <v>1</v>
      </c>
      <c r="C17" t="str">
        <f>$F9</f>
        <v>Broadway by the Sea</v>
      </c>
      <c r="D17" s="1" t="s">
        <v>8</v>
      </c>
      <c r="F17" s="14" t="str">
        <f>_xll.EVDES(D17)</f>
        <v>EBITDAR</v>
      </c>
      <c r="G17" s="60">
        <f ca="1">SUMIFS(OFFSET('BPC Data'!$F:$F,0,Summary!G$2),'BPC Data'!$E:$E,Summary!$D17,'BPC Data'!$B:$B,Summary!$C17)</f>
        <v>298591.40999999997</v>
      </c>
      <c r="H17" s="53">
        <f ca="1">SUMIFS(OFFSET('BPC Data'!$F:$F,0,Summary!H$2),'BPC Data'!$E:$E,Summary!$D17,'BPC Data'!$B:$B,Summary!$C17)</f>
        <v>103354.18</v>
      </c>
      <c r="I17" s="60">
        <f ca="1">SUMIFS(OFFSET('BPC Data'!$F:$F,0,Summary!I$2),'BPC Data'!$E:$E,Summary!$D17,'BPC Data'!$B:$B,Summary!$C17)</f>
        <v>363935.46</v>
      </c>
      <c r="J17" s="53">
        <f ca="1">SUMIFS(OFFSET('BPC Data'!$F:$F,0,Summary!J$2),'BPC Data'!$E:$E,Summary!$D17,'BPC Data'!$B:$B,Summary!$C17)</f>
        <v>61901.409999999902</v>
      </c>
      <c r="K17" s="60">
        <f ca="1">SUMIFS(OFFSET('BPC Data'!$F:$F,0,Summary!K$2),'BPC Data'!$E:$E,Summary!$D17,'BPC Data'!$B:$B,Summary!$C17)</f>
        <v>118731.19</v>
      </c>
      <c r="L17" s="53">
        <f ca="1">SUMIFS(OFFSET('BPC Data'!$F:$F,0,Summary!L$2),'BPC Data'!$E:$E,Summary!$D17,'BPC Data'!$B:$B,Summary!$C17)</f>
        <v>54358.669999999896</v>
      </c>
      <c r="M17" s="60">
        <f ca="1">SUMIFS(OFFSET('BPC Data'!$F:$F,0,Summary!M$2),'BPC Data'!$E:$E,Summary!$D17,'BPC Data'!$B:$B,Summary!$C17)</f>
        <v>95178.63</v>
      </c>
      <c r="N17" s="53">
        <f ca="1">SUMIFS(OFFSET('BPC Data'!$F:$F,0,Summary!N$2),'BPC Data'!$E:$E,Summary!$D17,'BPC Data'!$B:$B,Summary!$C17)</f>
        <v>222256.56</v>
      </c>
      <c r="O17" s="18">
        <f t="shared" ca="1" si="5"/>
        <v>1318307.5099999998</v>
      </c>
    </row>
    <row r="18" spans="1:21" x14ac:dyDescent="0.55000000000000004">
      <c r="A18" s="11">
        <f t="shared" si="4"/>
        <v>1</v>
      </c>
      <c r="C18" t="str">
        <f>$F9</f>
        <v>Broadway by the Sea</v>
      </c>
      <c r="D18" s="2" t="str">
        <f xml:space="preserve"> _xll.EPMOlapMemberO("[ACCOUNT].[H1].[T_RENT_EXP]","","T_RENT_EXP - Tenant Rent Expense","","000")</f>
        <v>T_RENT_EXP - Tenant Rent Expense</v>
      </c>
      <c r="F18" s="14" t="str">
        <f>_xll.EVDES(D18)</f>
        <v>Tenant Rent Expense</v>
      </c>
      <c r="G18" s="60">
        <f ca="1">SUMIFS(OFFSET('BPC Data'!$F:$F,0,Summary!G$2),'BPC Data'!$E:$E,Summary!$D18,'BPC Data'!$B:$B,Summary!$C18)</f>
        <v>105535.86</v>
      </c>
      <c r="H18" s="53">
        <f ca="1">SUMIFS(OFFSET('BPC Data'!$F:$F,0,Summary!H$2),'BPC Data'!$E:$E,Summary!$D18,'BPC Data'!$B:$B,Summary!$C18)</f>
        <v>105535.86</v>
      </c>
      <c r="I18" s="60">
        <f ca="1">SUMIFS(OFFSET('BPC Data'!$F:$F,0,Summary!I$2),'BPC Data'!$E:$E,Summary!$D18,'BPC Data'!$B:$B,Summary!$C18)</f>
        <v>105535.86</v>
      </c>
      <c r="J18" s="53">
        <f ca="1">SUMIFS(OFFSET('BPC Data'!$F:$F,0,Summary!J$2),'BPC Data'!$E:$E,Summary!$D18,'BPC Data'!$B:$B,Summary!$C18)</f>
        <v>105535.86</v>
      </c>
      <c r="K18" s="60">
        <f ca="1">SUMIFS(OFFSET('BPC Data'!$F:$F,0,Summary!K$2),'BPC Data'!$E:$E,Summary!$D18,'BPC Data'!$B:$B,Summary!$C18)</f>
        <v>105535.86</v>
      </c>
      <c r="L18" s="53">
        <f ca="1">SUMIFS(OFFSET('BPC Data'!$F:$F,0,Summary!L$2),'BPC Data'!$E:$E,Summary!$D18,'BPC Data'!$B:$B,Summary!$C18)</f>
        <v>105535.86</v>
      </c>
      <c r="M18" s="60">
        <f ca="1">SUMIFS(OFFSET('BPC Data'!$F:$F,0,Summary!M$2),'BPC Data'!$E:$E,Summary!$D18,'BPC Data'!$B:$B,Summary!$C18)</f>
        <v>105535.86</v>
      </c>
      <c r="N18" s="53">
        <f ca="1">SUMIFS(OFFSET('BPC Data'!$F:$F,0,Summary!N$2),'BPC Data'!$E:$E,Summary!$D18,'BPC Data'!$B:$B,Summary!$C18)</f>
        <v>105535.86</v>
      </c>
      <c r="O18" s="18">
        <f t="shared" ca="1" si="5"/>
        <v>844286.88</v>
      </c>
      <c r="P18" s="11"/>
      <c r="Q18" s="11"/>
      <c r="R18" s="11"/>
      <c r="S18" s="11"/>
      <c r="T18" s="11"/>
      <c r="U18" s="11"/>
    </row>
    <row r="19" spans="1:21" x14ac:dyDescent="0.55000000000000004">
      <c r="A19" s="11">
        <f t="shared" si="4"/>
        <v>1</v>
      </c>
      <c r="D19" s="1" t="s">
        <v>3</v>
      </c>
      <c r="F19" s="14" t="s">
        <v>0</v>
      </c>
      <c r="G19" s="61">
        <f ca="1">SUMIFS(OFFSET('BPC Data'!$F:$F,0,Summary!G$2),'BPC Data'!$E:$E,Summary!$D19,'BPC Data'!$B:$B,Summary!$C19)</f>
        <v>0</v>
      </c>
      <c r="H19" s="54">
        <f ca="1">SUMIFS(OFFSET('BPC Data'!$F:$F,0,Summary!H$2),'BPC Data'!$E:$E,Summary!$D19,'BPC Data'!$B:$B,Summary!$C19)</f>
        <v>0</v>
      </c>
      <c r="I19" s="61">
        <f ca="1">SUMIFS(OFFSET('BPC Data'!$F:$F,0,Summary!I$2),'BPC Data'!$E:$E,Summary!$D19,'BPC Data'!$B:$B,Summary!$C19)</f>
        <v>0</v>
      </c>
      <c r="J19" s="54">
        <f ca="1">SUMIFS(OFFSET('BPC Data'!$F:$F,0,Summary!J$2),'BPC Data'!$E:$E,Summary!$D19,'BPC Data'!$B:$B,Summary!$C19)</f>
        <v>0</v>
      </c>
      <c r="K19" s="61">
        <f ca="1">SUMIFS(OFFSET('BPC Data'!$F:$F,0,Summary!K$2),'BPC Data'!$E:$E,Summary!$D19,'BPC Data'!$B:$B,Summary!$C19)</f>
        <v>0</v>
      </c>
      <c r="L19" s="54">
        <f ca="1">SUMIFS(OFFSET('BPC Data'!$F:$F,0,Summary!L$2),'BPC Data'!$E:$E,Summary!$D19,'BPC Data'!$B:$B,Summary!$C19)</f>
        <v>0</v>
      </c>
      <c r="M19" s="61">
        <f ca="1">SUMIFS(OFFSET('BPC Data'!$F:$F,0,Summary!M$2),'BPC Data'!$E:$E,Summary!$D19,'BPC Data'!$B:$B,Summary!$C19)</f>
        <v>0</v>
      </c>
      <c r="N19" s="54">
        <f ca="1">SUMIFS(OFFSET('BPC Data'!$F:$F,0,Summary!N$2),'BPC Data'!$E:$E,Summary!$D19,'BPC Data'!$B:$B,Summary!$C19)</f>
        <v>0</v>
      </c>
      <c r="O19" s="18">
        <f t="shared" ca="1" si="5"/>
        <v>0</v>
      </c>
      <c r="P19" s="11"/>
      <c r="Q19" s="11"/>
      <c r="R19" s="11"/>
      <c r="S19" s="11"/>
      <c r="T19" s="11"/>
      <c r="U19" s="11"/>
    </row>
    <row r="20" spans="1:21" s="4" customFormat="1" x14ac:dyDescent="0.55000000000000004">
      <c r="A20" s="11">
        <f>IF(AND(D20&lt;&gt;"",C20=""),A19+1,A19)</f>
        <v>2</v>
      </c>
      <c r="D20" s="4" t="s">
        <v>3</v>
      </c>
      <c r="F20" s="13" t="str">
        <f>INDEX(PropertyList!$D:$D,MATCH(Summary!$A20,PropertyList!$C:$C,0))</f>
        <v>Coventry Courth Health Center</v>
      </c>
      <c r="G20" s="59">
        <f ca="1">SUMIFS(OFFSET('BPC Data'!$F:$F,0,Summary!G$2),'BPC Data'!$E:$E,Summary!$D20,'BPC Data'!$B:$B,Summary!$C20)</f>
        <v>0</v>
      </c>
      <c r="H20" s="52">
        <f ca="1">SUMIFS(OFFSET('BPC Data'!$F:$F,0,Summary!H$2),'BPC Data'!$E:$E,Summary!$D20,'BPC Data'!$B:$B,Summary!$C20)</f>
        <v>0</v>
      </c>
      <c r="I20" s="59">
        <f ca="1">SUMIFS(OFFSET('BPC Data'!$F:$F,0,Summary!I$2),'BPC Data'!$E:$E,Summary!$D20,'BPC Data'!$B:$B,Summary!$C20)</f>
        <v>0</v>
      </c>
      <c r="J20" s="52">
        <f ca="1">SUMIFS(OFFSET('BPC Data'!$F:$F,0,Summary!J$2),'BPC Data'!$E:$E,Summary!$D20,'BPC Data'!$B:$B,Summary!$C20)</f>
        <v>0</v>
      </c>
      <c r="K20" s="59">
        <f ca="1">SUMIFS(OFFSET('BPC Data'!$F:$F,0,Summary!K$2),'BPC Data'!$E:$E,Summary!$D20,'BPC Data'!$B:$B,Summary!$C20)</f>
        <v>0</v>
      </c>
      <c r="L20" s="52">
        <f ca="1">SUMIFS(OFFSET('BPC Data'!$F:$F,0,Summary!L$2),'BPC Data'!$E:$E,Summary!$D20,'BPC Data'!$B:$B,Summary!$C20)</f>
        <v>0</v>
      </c>
      <c r="M20" s="59">
        <f ca="1">SUMIFS(OFFSET('BPC Data'!$F:$F,0,Summary!M$2),'BPC Data'!$E:$E,Summary!$D20,'BPC Data'!$B:$B,Summary!$C20)</f>
        <v>0</v>
      </c>
      <c r="N20" s="52">
        <f ca="1">SUMIFS(OFFSET('BPC Data'!$F:$F,0,Summary!N$2),'BPC Data'!$E:$E,Summary!$D20,'BPC Data'!$B:$B,Summary!$C20)</f>
        <v>0</v>
      </c>
      <c r="O20" s="18">
        <f t="shared" ca="1" si="5"/>
        <v>0</v>
      </c>
      <c r="P20" s="11"/>
      <c r="Q20" s="11"/>
      <c r="R20" s="11"/>
      <c r="S20" s="11"/>
      <c r="T20" s="11"/>
      <c r="U20" s="11"/>
    </row>
    <row r="21" spans="1:21" s="11" customFormat="1" x14ac:dyDescent="0.55000000000000004">
      <c r="A21" s="11">
        <f>IF(AND(F21&lt;&gt;"",D21=""),A20+1,A20)</f>
        <v>2</v>
      </c>
      <c r="C21" t="str">
        <f>$F20</f>
        <v>Coventry Courth Health Center</v>
      </c>
      <c r="D21" s="3" t="str">
        <f>$D10</f>
        <v>PAY_PAT_DAYS - Total Payor Patient Days</v>
      </c>
      <c r="F21" s="14" t="str">
        <f>_xll.EVDES(D21)</f>
        <v>Total Payor Patient Days</v>
      </c>
      <c r="G21" s="60">
        <f ca="1">SUMIFS(OFFSET('BPC Data'!$F:$F,0,Summary!G$2),'BPC Data'!$E:$E,Summary!$D21,'BPC Data'!$B:$B,Summary!$C21)</f>
        <v>2112</v>
      </c>
      <c r="H21" s="53">
        <f ca="1">SUMIFS(OFFSET('BPC Data'!$F:$F,0,Summary!H$2),'BPC Data'!$E:$E,Summary!$D21,'BPC Data'!$B:$B,Summary!$C21)</f>
        <v>1687</v>
      </c>
      <c r="I21" s="60">
        <f ca="1">SUMIFS(OFFSET('BPC Data'!$F:$F,0,Summary!I$2),'BPC Data'!$E:$E,Summary!$D21,'BPC Data'!$B:$B,Summary!$C21)</f>
        <v>1746</v>
      </c>
      <c r="J21" s="53">
        <f ca="1">SUMIFS(OFFSET('BPC Data'!$F:$F,0,Summary!J$2),'BPC Data'!$E:$E,Summary!$D21,'BPC Data'!$B:$B,Summary!$C21)</f>
        <v>1794</v>
      </c>
      <c r="K21" s="60">
        <f ca="1">SUMIFS(OFFSET('BPC Data'!$F:$F,0,Summary!K$2),'BPC Data'!$E:$E,Summary!$D21,'BPC Data'!$B:$B,Summary!$C21)</f>
        <v>1805</v>
      </c>
      <c r="L21" s="53">
        <f ca="1">SUMIFS(OFFSET('BPC Data'!$F:$F,0,Summary!L$2),'BPC Data'!$E:$E,Summary!$D21,'BPC Data'!$B:$B,Summary!$C21)</f>
        <v>1817</v>
      </c>
      <c r="M21" s="60">
        <f ca="1">SUMIFS(OFFSET('BPC Data'!$F:$F,0,Summary!M$2),'BPC Data'!$E:$E,Summary!$D21,'BPC Data'!$B:$B,Summary!$C21)</f>
        <v>2162</v>
      </c>
      <c r="N21" s="53">
        <f ca="1">SUMIFS(OFFSET('BPC Data'!$F:$F,0,Summary!N$2),'BPC Data'!$E:$E,Summary!$D21,'BPC Data'!$B:$B,Summary!$C21)</f>
        <v>1956</v>
      </c>
      <c r="O21" s="18">
        <f t="shared" ca="1" si="5"/>
        <v>15079</v>
      </c>
    </row>
    <row r="22" spans="1:21" s="11" customFormat="1" x14ac:dyDescent="0.55000000000000004">
      <c r="A22" s="11">
        <f t="shared" ref="A22:A30" si="6">IF(AND(F22&lt;&gt;"",D22=""),A21+1,A21)</f>
        <v>2</v>
      </c>
      <c r="C22" t="str">
        <f>$F20</f>
        <v>Coventry Courth Health Center</v>
      </c>
      <c r="D22" s="3" t="str">
        <f t="shared" ref="D22:D85" si="7">$D11</f>
        <v>A_BEDS_TOTAL - Total Available Beds</v>
      </c>
      <c r="F22" s="14" t="str">
        <f>_xll.EVDES(D22)</f>
        <v>Total Available Beds</v>
      </c>
      <c r="G22" s="60">
        <f ca="1">SUMIFS(OFFSET('BPC Data'!$F:$F,0,Summary!G$2),'BPC Data'!$E:$E,Summary!$D22,'BPC Data'!$B:$B,Summary!$C22)</f>
        <v>95</v>
      </c>
      <c r="H22" s="53">
        <f ca="1">SUMIFS(OFFSET('BPC Data'!$F:$F,0,Summary!H$2),'BPC Data'!$E:$E,Summary!$D22,'BPC Data'!$B:$B,Summary!$C22)</f>
        <v>95</v>
      </c>
      <c r="I22" s="60">
        <f ca="1">SUMIFS(OFFSET('BPC Data'!$F:$F,0,Summary!I$2),'BPC Data'!$E:$E,Summary!$D22,'BPC Data'!$B:$B,Summary!$C22)</f>
        <v>95</v>
      </c>
      <c r="J22" s="53">
        <f ca="1">SUMIFS(OFFSET('BPC Data'!$F:$F,0,Summary!J$2),'BPC Data'!$E:$E,Summary!$D22,'BPC Data'!$B:$B,Summary!$C22)</f>
        <v>95</v>
      </c>
      <c r="K22" s="60">
        <f ca="1">SUMIFS(OFFSET('BPC Data'!$F:$F,0,Summary!K$2),'BPC Data'!$E:$E,Summary!$D22,'BPC Data'!$B:$B,Summary!$C22)</f>
        <v>95</v>
      </c>
      <c r="L22" s="53">
        <f ca="1">SUMIFS(OFFSET('BPC Data'!$F:$F,0,Summary!L$2),'BPC Data'!$E:$E,Summary!$D22,'BPC Data'!$B:$B,Summary!$C22)</f>
        <v>95</v>
      </c>
      <c r="M22" s="60">
        <f ca="1">SUMIFS(OFFSET('BPC Data'!$F:$F,0,Summary!M$2),'BPC Data'!$E:$E,Summary!$D22,'BPC Data'!$B:$B,Summary!$C22)</f>
        <v>95</v>
      </c>
      <c r="N22" s="53">
        <f ca="1">SUMIFS(OFFSET('BPC Data'!$F:$F,0,Summary!N$2),'BPC Data'!$E:$E,Summary!$D22,'BPC Data'!$B:$B,Summary!$C22)</f>
        <v>95</v>
      </c>
      <c r="O22" s="18">
        <f ca="1">N22</f>
        <v>95</v>
      </c>
    </row>
    <row r="23" spans="1:21" s="11" customFormat="1" x14ac:dyDescent="0.55000000000000004">
      <c r="A23" s="11">
        <f t="shared" si="6"/>
        <v>2</v>
      </c>
      <c r="B23"/>
      <c r="C23" t="str">
        <f>$F20</f>
        <v>Coventry Courth Health Center</v>
      </c>
      <c r="D23" s="3" t="str">
        <f t="shared" si="7"/>
        <v>T_REVENUES - Total Tenant Revenues</v>
      </c>
      <c r="E23"/>
      <c r="F23" s="14" t="str">
        <f>_xll.EVDES(D23)</f>
        <v>Total Tenant Revenues</v>
      </c>
      <c r="G23" s="60">
        <f ca="1">SUMIFS(OFFSET('BPC Data'!$F:$F,0,Summary!G$2),'BPC Data'!$E:$E,Summary!$D23,'BPC Data'!$B:$B,Summary!$C23)</f>
        <v>1017010.29</v>
      </c>
      <c r="H23" s="53">
        <f ca="1">SUMIFS(OFFSET('BPC Data'!$F:$F,0,Summary!H$2),'BPC Data'!$E:$E,Summary!$D23,'BPC Data'!$B:$B,Summary!$C23)</f>
        <v>784786.46</v>
      </c>
      <c r="I23" s="60">
        <f ca="1">SUMIFS(OFFSET('BPC Data'!$F:$F,0,Summary!I$2),'BPC Data'!$E:$E,Summary!$D23,'BPC Data'!$B:$B,Summary!$C23)</f>
        <v>933032.64</v>
      </c>
      <c r="J23" s="53">
        <f ca="1">SUMIFS(OFFSET('BPC Data'!$F:$F,0,Summary!J$2),'BPC Data'!$E:$E,Summary!$D23,'BPC Data'!$B:$B,Summary!$C23)</f>
        <v>965027.88</v>
      </c>
      <c r="K23" s="60">
        <f ca="1">SUMIFS(OFFSET('BPC Data'!$F:$F,0,Summary!K$2),'BPC Data'!$E:$E,Summary!$D23,'BPC Data'!$B:$B,Summary!$C23)</f>
        <v>854131.12</v>
      </c>
      <c r="L23" s="53">
        <f ca="1">SUMIFS(OFFSET('BPC Data'!$F:$F,0,Summary!L$2),'BPC Data'!$E:$E,Summary!$D23,'BPC Data'!$B:$B,Summary!$C23)</f>
        <v>878419.1</v>
      </c>
      <c r="M23" s="60">
        <f ca="1">SUMIFS(OFFSET('BPC Data'!$F:$F,0,Summary!M$2),'BPC Data'!$E:$E,Summary!$D23,'BPC Data'!$B:$B,Summary!$C23)</f>
        <v>1051433.67</v>
      </c>
      <c r="N23" s="53">
        <f ca="1">SUMIFS(OFFSET('BPC Data'!$F:$F,0,Summary!N$2),'BPC Data'!$E:$E,Summary!$D23,'BPC Data'!$B:$B,Summary!$C23)</f>
        <v>864547.65</v>
      </c>
      <c r="O23" s="18">
        <f t="shared" ref="O23:O32" ca="1" si="8">SUM(G23:N23)</f>
        <v>7348388.8099999996</v>
      </c>
    </row>
    <row r="24" spans="1:21" s="11" customFormat="1" x14ac:dyDescent="0.55000000000000004">
      <c r="A24" s="11">
        <f t="shared" si="6"/>
        <v>2</v>
      </c>
      <c r="B24"/>
      <c r="C24" t="str">
        <f>$F20</f>
        <v>Coventry Courth Health Center</v>
      </c>
      <c r="D24" s="3" t="str">
        <f t="shared" si="7"/>
        <v>T_OPEX - Tenant Operating Expenses</v>
      </c>
      <c r="E24"/>
      <c r="F24" s="14" t="str">
        <f>_xll.EVDES(D24)</f>
        <v>Tenant Operating Expenses</v>
      </c>
      <c r="G24" s="60">
        <f ca="1">SUMIFS(OFFSET('BPC Data'!$F:$F,0,Summary!G$2),'BPC Data'!$E:$E,Summary!$D24,'BPC Data'!$B:$B,Summary!$C24)</f>
        <v>748516.55</v>
      </c>
      <c r="H24" s="53">
        <f ca="1">SUMIFS(OFFSET('BPC Data'!$F:$F,0,Summary!H$2),'BPC Data'!$E:$E,Summary!$D24,'BPC Data'!$B:$B,Summary!$C24)</f>
        <v>735947.93</v>
      </c>
      <c r="I24" s="60">
        <f ca="1">SUMIFS(OFFSET('BPC Data'!$F:$F,0,Summary!I$2),'BPC Data'!$E:$E,Summary!$D24,'BPC Data'!$B:$B,Summary!$C24)</f>
        <v>785316.2</v>
      </c>
      <c r="J24" s="53">
        <f ca="1">SUMIFS(OFFSET('BPC Data'!$F:$F,0,Summary!J$2),'BPC Data'!$E:$E,Summary!$D24,'BPC Data'!$B:$B,Summary!$C24)</f>
        <v>718647.4</v>
      </c>
      <c r="K24" s="60">
        <f ca="1">SUMIFS(OFFSET('BPC Data'!$F:$F,0,Summary!K$2),'BPC Data'!$E:$E,Summary!$D24,'BPC Data'!$B:$B,Summary!$C24)</f>
        <v>724376.09</v>
      </c>
      <c r="L24" s="53">
        <f ca="1">SUMIFS(OFFSET('BPC Data'!$F:$F,0,Summary!L$2),'BPC Data'!$E:$E,Summary!$D24,'BPC Data'!$B:$B,Summary!$C24)</f>
        <v>760675.1</v>
      </c>
      <c r="M24" s="60">
        <f ca="1">SUMIFS(OFFSET('BPC Data'!$F:$F,0,Summary!M$2),'BPC Data'!$E:$E,Summary!$D24,'BPC Data'!$B:$B,Summary!$C24)</f>
        <v>849316.93</v>
      </c>
      <c r="N24" s="53">
        <f ca="1">SUMIFS(OFFSET('BPC Data'!$F:$F,0,Summary!N$2),'BPC Data'!$E:$E,Summary!$D24,'BPC Data'!$B:$B,Summary!$C24)</f>
        <v>672386.69</v>
      </c>
      <c r="O24" s="18">
        <f t="shared" ca="1" si="8"/>
        <v>5995182.8899999987</v>
      </c>
    </row>
    <row r="25" spans="1:21" s="11" customFormat="1" x14ac:dyDescent="0.55000000000000004">
      <c r="A25" s="11">
        <f t="shared" si="6"/>
        <v>2</v>
      </c>
      <c r="B25"/>
      <c r="C25" t="str">
        <f>$F20</f>
        <v>Coventry Courth Health Center</v>
      </c>
      <c r="D25" s="3" t="str">
        <f t="shared" si="7"/>
        <v>T_BAD_DEBT - Tenant Bad Debt Expense</v>
      </c>
      <c r="E25"/>
      <c r="F25" s="14" t="str">
        <f>_xll.EVDES(D25)</f>
        <v>Tenant Bad Debt Expense</v>
      </c>
      <c r="G25" s="60">
        <f ca="1">SUMIFS(OFFSET('BPC Data'!$F:$F,0,Summary!G$2),'BPC Data'!$E:$E,Summary!$D25,'BPC Data'!$B:$B,Summary!$C25)</f>
        <v>-72741.16</v>
      </c>
      <c r="H25" s="53">
        <f ca="1">SUMIFS(OFFSET('BPC Data'!$F:$F,0,Summary!H$2),'BPC Data'!$E:$E,Summary!$D25,'BPC Data'!$B:$B,Summary!$C25)</f>
        <v>-46675.37</v>
      </c>
      <c r="I25" s="60">
        <f ca="1">SUMIFS(OFFSET('BPC Data'!$F:$F,0,Summary!I$2),'BPC Data'!$E:$E,Summary!$D25,'BPC Data'!$B:$B,Summary!$C25)</f>
        <v>-3379.71</v>
      </c>
      <c r="J25" s="53">
        <f ca="1">SUMIFS(OFFSET('BPC Data'!$F:$F,0,Summary!J$2),'BPC Data'!$E:$E,Summary!$D25,'BPC Data'!$B:$B,Summary!$C25)</f>
        <v>756.27</v>
      </c>
      <c r="K25" s="60">
        <f ca="1">SUMIFS(OFFSET('BPC Data'!$F:$F,0,Summary!K$2),'BPC Data'!$E:$E,Summary!$D25,'BPC Data'!$B:$B,Summary!$C25)</f>
        <v>12020.41</v>
      </c>
      <c r="L25" s="53">
        <f ca="1">SUMIFS(OFFSET('BPC Data'!$F:$F,0,Summary!L$2),'BPC Data'!$E:$E,Summary!$D25,'BPC Data'!$B:$B,Summary!$C25)</f>
        <v>23082.1</v>
      </c>
      <c r="M25" s="60">
        <f ca="1">SUMIFS(OFFSET('BPC Data'!$F:$F,0,Summary!M$2),'BPC Data'!$E:$E,Summary!$D25,'BPC Data'!$B:$B,Summary!$C25)</f>
        <v>38009.980000000003</v>
      </c>
      <c r="N25" s="53">
        <f ca="1">SUMIFS(OFFSET('BPC Data'!$F:$F,0,Summary!N$2),'BPC Data'!$E:$E,Summary!$D25,'BPC Data'!$B:$B,Summary!$C25)</f>
        <v>-85129.46</v>
      </c>
      <c r="O25" s="18">
        <f t="shared" ca="1" si="8"/>
        <v>-134056.94</v>
      </c>
    </row>
    <row r="26" spans="1:21" s="11" customFormat="1" x14ac:dyDescent="0.55000000000000004">
      <c r="A26" s="11">
        <f t="shared" si="6"/>
        <v>2</v>
      </c>
      <c r="B26"/>
      <c r="C26" t="str">
        <f>$F20</f>
        <v>Coventry Courth Health Center</v>
      </c>
      <c r="D26" s="2" t="str">
        <f t="shared" si="7"/>
        <v>T_EBITDARM - EBITDARM</v>
      </c>
      <c r="E26"/>
      <c r="F26" s="14" t="str">
        <f>_xll.EVDES(D26)</f>
        <v>EBITDARM</v>
      </c>
      <c r="G26" s="60">
        <f ca="1">SUMIFS(OFFSET('BPC Data'!$F:$F,0,Summary!G$2),'BPC Data'!$E:$E,Summary!$D26,'BPC Data'!$B:$B,Summary!$C26)</f>
        <v>268493.74</v>
      </c>
      <c r="H26" s="53">
        <f ca="1">SUMIFS(OFFSET('BPC Data'!$F:$F,0,Summary!H$2),'BPC Data'!$E:$E,Summary!$D26,'BPC Data'!$B:$B,Summary!$C26)</f>
        <v>48838.53</v>
      </c>
      <c r="I26" s="60">
        <f ca="1">SUMIFS(OFFSET('BPC Data'!$F:$F,0,Summary!I$2),'BPC Data'!$E:$E,Summary!$D26,'BPC Data'!$B:$B,Summary!$C26)</f>
        <v>147716.44</v>
      </c>
      <c r="J26" s="53">
        <f ca="1">SUMIFS(OFFSET('BPC Data'!$F:$F,0,Summary!J$2),'BPC Data'!$E:$E,Summary!$D26,'BPC Data'!$B:$B,Summary!$C26)</f>
        <v>246380.48</v>
      </c>
      <c r="K26" s="60">
        <f ca="1">SUMIFS(OFFSET('BPC Data'!$F:$F,0,Summary!K$2),'BPC Data'!$E:$E,Summary!$D26,'BPC Data'!$B:$B,Summary!$C26)</f>
        <v>129755.03</v>
      </c>
      <c r="L26" s="53">
        <f ca="1">SUMIFS(OFFSET('BPC Data'!$F:$F,0,Summary!L$2),'BPC Data'!$E:$E,Summary!$D26,'BPC Data'!$B:$B,Summary!$C26)</f>
        <v>117744</v>
      </c>
      <c r="M26" s="60">
        <f ca="1">SUMIFS(OFFSET('BPC Data'!$F:$F,0,Summary!M$2),'BPC Data'!$E:$E,Summary!$D26,'BPC Data'!$B:$B,Summary!$C26)</f>
        <v>202116.74</v>
      </c>
      <c r="N26" s="53">
        <f ca="1">SUMIFS(OFFSET('BPC Data'!$F:$F,0,Summary!N$2),'BPC Data'!$E:$E,Summary!$D26,'BPC Data'!$B:$B,Summary!$C26)</f>
        <v>192160.96</v>
      </c>
      <c r="O26" s="18">
        <f t="shared" ca="1" si="8"/>
        <v>1353205.92</v>
      </c>
    </row>
    <row r="27" spans="1:21" s="11" customFormat="1" x14ac:dyDescent="0.55000000000000004">
      <c r="A27" s="11">
        <f t="shared" si="6"/>
        <v>2</v>
      </c>
      <c r="B27"/>
      <c r="C27" t="str">
        <f>$F20</f>
        <v>Coventry Courth Health Center</v>
      </c>
      <c r="D27" s="2" t="str">
        <f t="shared" si="7"/>
        <v>T_MGMT_FEE - Tenant Management Fee - Actual</v>
      </c>
      <c r="E27"/>
      <c r="F27" s="14" t="str">
        <f>_xll.EVDES(D27)</f>
        <v>Tenant Management Fee - Actual</v>
      </c>
      <c r="G27" s="60">
        <f ca="1">SUMIFS(OFFSET('BPC Data'!$F:$F,0,Summary!G$2),'BPC Data'!$E:$E,Summary!$D27,'BPC Data'!$B:$B,Summary!$C27)</f>
        <v>50910</v>
      </c>
      <c r="H27" s="53">
        <f ca="1">SUMIFS(OFFSET('BPC Data'!$F:$F,0,Summary!H$2),'BPC Data'!$E:$E,Summary!$D27,'BPC Data'!$B:$B,Summary!$C27)</f>
        <v>50850</v>
      </c>
      <c r="I27" s="60">
        <f ca="1">SUMIFS(OFFSET('BPC Data'!$F:$F,0,Summary!I$2),'BPC Data'!$E:$E,Summary!$D27,'BPC Data'!$B:$B,Summary!$C27)</f>
        <v>39239</v>
      </c>
      <c r="J27" s="53">
        <f ca="1">SUMIFS(OFFSET('BPC Data'!$F:$F,0,Summary!J$2),'BPC Data'!$E:$E,Summary!$D27,'BPC Data'!$B:$B,Summary!$C27)</f>
        <v>46651</v>
      </c>
      <c r="K27" s="60">
        <f ca="1">SUMIFS(OFFSET('BPC Data'!$F:$F,0,Summary!K$2),'BPC Data'!$E:$E,Summary!$D27,'BPC Data'!$B:$B,Summary!$C27)</f>
        <v>48251</v>
      </c>
      <c r="L27" s="53">
        <f ca="1">SUMIFS(OFFSET('BPC Data'!$F:$F,0,Summary!L$2),'BPC Data'!$E:$E,Summary!$D27,'BPC Data'!$B:$B,Summary!$C27)</f>
        <v>42706</v>
      </c>
      <c r="M27" s="60">
        <f ca="1">SUMIFS(OFFSET('BPC Data'!$F:$F,0,Summary!M$2),'BPC Data'!$E:$E,Summary!$D27,'BPC Data'!$B:$B,Summary!$C27)</f>
        <v>43920</v>
      </c>
      <c r="N27" s="53">
        <f ca="1">SUMIFS(OFFSET('BPC Data'!$F:$F,0,Summary!N$2),'BPC Data'!$E:$E,Summary!$D27,'BPC Data'!$B:$B,Summary!$C27)</f>
        <v>52571</v>
      </c>
      <c r="O27" s="18">
        <f t="shared" ca="1" si="8"/>
        <v>375098</v>
      </c>
    </row>
    <row r="28" spans="1:21" s="11" customFormat="1" x14ac:dyDescent="0.55000000000000004">
      <c r="A28" s="11">
        <f t="shared" si="6"/>
        <v>2</v>
      </c>
      <c r="B28"/>
      <c r="C28" t="str">
        <f>$F20</f>
        <v>Coventry Courth Health Center</v>
      </c>
      <c r="D28" s="1" t="str">
        <f t="shared" si="7"/>
        <v>T_EBITDAR - EBITDAR</v>
      </c>
      <c r="E28"/>
      <c r="F28" s="14" t="str">
        <f>_xll.EVDES(D28)</f>
        <v>EBITDAR</v>
      </c>
      <c r="G28" s="60">
        <f ca="1">SUMIFS(OFFSET('BPC Data'!$F:$F,0,Summary!G$2),'BPC Data'!$E:$E,Summary!$D28,'BPC Data'!$B:$B,Summary!$C28)</f>
        <v>217583.74</v>
      </c>
      <c r="H28" s="53">
        <f ca="1">SUMIFS(OFFSET('BPC Data'!$F:$F,0,Summary!H$2),'BPC Data'!$E:$E,Summary!$D28,'BPC Data'!$B:$B,Summary!$C28)</f>
        <v>-2011.46999999997</v>
      </c>
      <c r="I28" s="60">
        <f ca="1">SUMIFS(OFFSET('BPC Data'!$F:$F,0,Summary!I$2),'BPC Data'!$E:$E,Summary!$D28,'BPC Data'!$B:$B,Summary!$C28)</f>
        <v>108477.44</v>
      </c>
      <c r="J28" s="53">
        <f ca="1">SUMIFS(OFFSET('BPC Data'!$F:$F,0,Summary!J$2),'BPC Data'!$E:$E,Summary!$D28,'BPC Data'!$B:$B,Summary!$C28)</f>
        <v>199729.48</v>
      </c>
      <c r="K28" s="60">
        <f ca="1">SUMIFS(OFFSET('BPC Data'!$F:$F,0,Summary!K$2),'BPC Data'!$E:$E,Summary!$D28,'BPC Data'!$B:$B,Summary!$C28)</f>
        <v>81504.03</v>
      </c>
      <c r="L28" s="53">
        <f ca="1">SUMIFS(OFFSET('BPC Data'!$F:$F,0,Summary!L$2),'BPC Data'!$E:$E,Summary!$D28,'BPC Data'!$B:$B,Summary!$C28)</f>
        <v>75038.000000000102</v>
      </c>
      <c r="M28" s="60">
        <f ca="1">SUMIFS(OFFSET('BPC Data'!$F:$F,0,Summary!M$2),'BPC Data'!$E:$E,Summary!$D28,'BPC Data'!$B:$B,Summary!$C28)</f>
        <v>158196.74</v>
      </c>
      <c r="N28" s="53">
        <f ca="1">SUMIFS(OFFSET('BPC Data'!$F:$F,0,Summary!N$2),'BPC Data'!$E:$E,Summary!$D28,'BPC Data'!$B:$B,Summary!$C28)</f>
        <v>139589.96</v>
      </c>
      <c r="O28" s="18">
        <f t="shared" ca="1" si="8"/>
        <v>978107.92000000016</v>
      </c>
    </row>
    <row r="29" spans="1:21" s="11" customFormat="1" x14ac:dyDescent="0.55000000000000004">
      <c r="A29" s="11">
        <f t="shared" si="6"/>
        <v>2</v>
      </c>
      <c r="B29"/>
      <c r="C29" t="str">
        <f>$F20</f>
        <v>Coventry Courth Health Center</v>
      </c>
      <c r="D29" s="1" t="str">
        <f t="shared" si="7"/>
        <v>T_RENT_EXP - Tenant Rent Expense</v>
      </c>
      <c r="E29"/>
      <c r="F29" s="14" t="str">
        <f>_xll.EVDES(D29)</f>
        <v>Tenant Rent Expense</v>
      </c>
      <c r="G29" s="60">
        <f ca="1">SUMIFS(OFFSET('BPC Data'!$F:$F,0,Summary!G$2),'BPC Data'!$E:$E,Summary!$D29,'BPC Data'!$B:$B,Summary!$C29)</f>
        <v>117492.67</v>
      </c>
      <c r="H29" s="53">
        <f ca="1">SUMIFS(OFFSET('BPC Data'!$F:$F,0,Summary!H$2),'BPC Data'!$E:$E,Summary!$D29,'BPC Data'!$B:$B,Summary!$C29)</f>
        <v>117492.67</v>
      </c>
      <c r="I29" s="60">
        <f ca="1">SUMIFS(OFFSET('BPC Data'!$F:$F,0,Summary!I$2),'BPC Data'!$E:$E,Summary!$D29,'BPC Data'!$B:$B,Summary!$C29)</f>
        <v>117492.67</v>
      </c>
      <c r="J29" s="53">
        <f ca="1">SUMIFS(OFFSET('BPC Data'!$F:$F,0,Summary!J$2),'BPC Data'!$E:$E,Summary!$D29,'BPC Data'!$B:$B,Summary!$C29)</f>
        <v>117492.67</v>
      </c>
      <c r="K29" s="60">
        <f ca="1">SUMIFS(OFFSET('BPC Data'!$F:$F,0,Summary!K$2),'BPC Data'!$E:$E,Summary!$D29,'BPC Data'!$B:$B,Summary!$C29)</f>
        <v>117492.67</v>
      </c>
      <c r="L29" s="53">
        <f ca="1">SUMIFS(OFFSET('BPC Data'!$F:$F,0,Summary!L$2),'BPC Data'!$E:$E,Summary!$D29,'BPC Data'!$B:$B,Summary!$C29)</f>
        <v>117492.67</v>
      </c>
      <c r="M29" s="60">
        <f ca="1">SUMIFS(OFFSET('BPC Data'!$F:$F,0,Summary!M$2),'BPC Data'!$E:$E,Summary!$D29,'BPC Data'!$B:$B,Summary!$C29)</f>
        <v>117492.67</v>
      </c>
      <c r="N29" s="53">
        <f ca="1">SUMIFS(OFFSET('BPC Data'!$F:$F,0,Summary!N$2),'BPC Data'!$E:$E,Summary!$D29,'BPC Data'!$B:$B,Summary!$C29)</f>
        <v>117492.67</v>
      </c>
      <c r="O29" s="18">
        <f t="shared" ca="1" si="8"/>
        <v>939941.3600000001</v>
      </c>
    </row>
    <row r="30" spans="1:21" s="11" customFormat="1" x14ac:dyDescent="0.55000000000000004">
      <c r="A30" s="11">
        <f t="shared" si="6"/>
        <v>2</v>
      </c>
      <c r="B30"/>
      <c r="C30"/>
      <c r="D30" s="1" t="str">
        <f t="shared" si="7"/>
        <v>x</v>
      </c>
      <c r="E30"/>
      <c r="F30" s="14" t="s">
        <v>0</v>
      </c>
      <c r="G30" s="61">
        <f ca="1">SUMIFS(OFFSET('BPC Data'!$F:$F,0,Summary!G$2),'BPC Data'!$E:$E,Summary!$D30,'BPC Data'!$B:$B,Summary!$C30)</f>
        <v>0</v>
      </c>
      <c r="H30" s="54">
        <f ca="1">SUMIFS(OFFSET('BPC Data'!$F:$F,0,Summary!H$2),'BPC Data'!$E:$E,Summary!$D30,'BPC Data'!$B:$B,Summary!$C30)</f>
        <v>0</v>
      </c>
      <c r="I30" s="61">
        <f ca="1">SUMIFS(OFFSET('BPC Data'!$F:$F,0,Summary!I$2),'BPC Data'!$E:$E,Summary!$D30,'BPC Data'!$B:$B,Summary!$C30)</f>
        <v>0</v>
      </c>
      <c r="J30" s="54">
        <f ca="1">SUMIFS(OFFSET('BPC Data'!$F:$F,0,Summary!J$2),'BPC Data'!$E:$E,Summary!$D30,'BPC Data'!$B:$B,Summary!$C30)</f>
        <v>0</v>
      </c>
      <c r="K30" s="61">
        <f ca="1">SUMIFS(OFFSET('BPC Data'!$F:$F,0,Summary!K$2),'BPC Data'!$E:$E,Summary!$D30,'BPC Data'!$B:$B,Summary!$C30)</f>
        <v>0</v>
      </c>
      <c r="L30" s="54">
        <f ca="1">SUMIFS(OFFSET('BPC Data'!$F:$F,0,Summary!L$2),'BPC Data'!$E:$E,Summary!$D30,'BPC Data'!$B:$B,Summary!$C30)</f>
        <v>0</v>
      </c>
      <c r="M30" s="61">
        <f ca="1">SUMIFS(OFFSET('BPC Data'!$F:$F,0,Summary!M$2),'BPC Data'!$E:$E,Summary!$D30,'BPC Data'!$B:$B,Summary!$C30)</f>
        <v>0</v>
      </c>
      <c r="N30" s="54">
        <f ca="1">SUMIFS(OFFSET('BPC Data'!$F:$F,0,Summary!N$2),'BPC Data'!$E:$E,Summary!$D30,'BPC Data'!$B:$B,Summary!$C30)</f>
        <v>0</v>
      </c>
      <c r="O30" s="18">
        <f t="shared" ca="1" si="8"/>
        <v>0</v>
      </c>
    </row>
    <row r="31" spans="1:21" s="11" customFormat="1" x14ac:dyDescent="0.55000000000000004">
      <c r="A31" s="11">
        <f>IF(AND(D31&lt;&gt;"",C31=""),A30+1,A30)</f>
        <v>3</v>
      </c>
      <c r="B31" s="4"/>
      <c r="C31" s="4"/>
      <c r="D31" s="4" t="str">
        <f t="shared" si="7"/>
        <v>x</v>
      </c>
      <c r="E31" s="4"/>
      <c r="F31" s="13" t="str">
        <f>INDEX(PropertyList!$D:$D,MATCH(Summary!$A31,PropertyList!$C:$C,0))</f>
        <v>Fairfield Post-Acute Rehab</v>
      </c>
      <c r="G31" s="59">
        <f ca="1">SUMIFS(OFFSET('BPC Data'!$F:$F,0,Summary!G$2),'BPC Data'!$E:$E,Summary!$D31,'BPC Data'!$B:$B,Summary!$C31)</f>
        <v>0</v>
      </c>
      <c r="H31" s="52">
        <f ca="1">SUMIFS(OFFSET('BPC Data'!$F:$F,0,Summary!H$2),'BPC Data'!$E:$E,Summary!$D31,'BPC Data'!$B:$B,Summary!$C31)</f>
        <v>0</v>
      </c>
      <c r="I31" s="59">
        <f ca="1">SUMIFS(OFFSET('BPC Data'!$F:$F,0,Summary!I$2),'BPC Data'!$E:$E,Summary!$D31,'BPC Data'!$B:$B,Summary!$C31)</f>
        <v>0</v>
      </c>
      <c r="J31" s="52">
        <f ca="1">SUMIFS(OFFSET('BPC Data'!$F:$F,0,Summary!J$2),'BPC Data'!$E:$E,Summary!$D31,'BPC Data'!$B:$B,Summary!$C31)</f>
        <v>0</v>
      </c>
      <c r="K31" s="59">
        <f ca="1">SUMIFS(OFFSET('BPC Data'!$F:$F,0,Summary!K$2),'BPC Data'!$E:$E,Summary!$D31,'BPC Data'!$B:$B,Summary!$C31)</f>
        <v>0</v>
      </c>
      <c r="L31" s="52">
        <f ca="1">SUMIFS(OFFSET('BPC Data'!$F:$F,0,Summary!L$2),'BPC Data'!$E:$E,Summary!$D31,'BPC Data'!$B:$B,Summary!$C31)</f>
        <v>0</v>
      </c>
      <c r="M31" s="59">
        <f ca="1">SUMIFS(OFFSET('BPC Data'!$F:$F,0,Summary!M$2),'BPC Data'!$E:$E,Summary!$D31,'BPC Data'!$B:$B,Summary!$C31)</f>
        <v>0</v>
      </c>
      <c r="N31" s="52">
        <f ca="1">SUMIFS(OFFSET('BPC Data'!$F:$F,0,Summary!N$2),'BPC Data'!$E:$E,Summary!$D31,'BPC Data'!$B:$B,Summary!$C31)</f>
        <v>0</v>
      </c>
      <c r="O31" s="18">
        <f t="shared" ca="1" si="8"/>
        <v>0</v>
      </c>
    </row>
    <row r="32" spans="1:21" s="11" customFormat="1" x14ac:dyDescent="0.55000000000000004">
      <c r="A32" s="11">
        <f>IF(AND(F32&lt;&gt;"",D32=""),A31+1,A31)</f>
        <v>3</v>
      </c>
      <c r="C32" t="str">
        <f>$F31</f>
        <v>Fairfield Post-Acute Rehab</v>
      </c>
      <c r="D32" s="3" t="str">
        <f t="shared" si="7"/>
        <v>PAY_PAT_DAYS - Total Payor Patient Days</v>
      </c>
      <c r="F32" s="14" t="str">
        <f>_xll.EVDES(D32)</f>
        <v>Total Payor Patient Days</v>
      </c>
      <c r="G32" s="60">
        <f ca="1">SUMIFS(OFFSET('BPC Data'!$F:$F,0,Summary!G$2),'BPC Data'!$E:$E,Summary!$D32,'BPC Data'!$B:$B,Summary!$C32)</f>
        <v>1793</v>
      </c>
      <c r="H32" s="53">
        <f ca="1">SUMIFS(OFFSET('BPC Data'!$F:$F,0,Summary!H$2),'BPC Data'!$E:$E,Summary!$D32,'BPC Data'!$B:$B,Summary!$C32)</f>
        <v>1698</v>
      </c>
      <c r="I32" s="60">
        <f ca="1">SUMIFS(OFFSET('BPC Data'!$F:$F,0,Summary!I$2),'BPC Data'!$E:$E,Summary!$D32,'BPC Data'!$B:$B,Summary!$C32)</f>
        <v>2086</v>
      </c>
      <c r="J32" s="53">
        <f ca="1">SUMIFS(OFFSET('BPC Data'!$F:$F,0,Summary!J$2),'BPC Data'!$E:$E,Summary!$D32,'BPC Data'!$B:$B,Summary!$C32)</f>
        <v>2084</v>
      </c>
      <c r="K32" s="60">
        <f ca="1">SUMIFS(OFFSET('BPC Data'!$F:$F,0,Summary!K$2),'BPC Data'!$E:$E,Summary!$D32,'BPC Data'!$B:$B,Summary!$C32)</f>
        <v>2270</v>
      </c>
      <c r="L32" s="53">
        <f ca="1">SUMIFS(OFFSET('BPC Data'!$F:$F,0,Summary!L$2),'BPC Data'!$E:$E,Summary!$D32,'BPC Data'!$B:$B,Summary!$C32)</f>
        <v>2229</v>
      </c>
      <c r="M32" s="60">
        <f ca="1">SUMIFS(OFFSET('BPC Data'!$F:$F,0,Summary!M$2),'BPC Data'!$E:$E,Summary!$D32,'BPC Data'!$B:$B,Summary!$C32)</f>
        <v>2314</v>
      </c>
      <c r="N32" s="53">
        <f ca="1">SUMIFS(OFFSET('BPC Data'!$F:$F,0,Summary!N$2),'BPC Data'!$E:$E,Summary!$D32,'BPC Data'!$B:$B,Summary!$C32)</f>
        <v>2163</v>
      </c>
      <c r="O32" s="18">
        <f t="shared" ca="1" si="8"/>
        <v>16637</v>
      </c>
    </row>
    <row r="33" spans="1:15" s="11" customFormat="1" x14ac:dyDescent="0.55000000000000004">
      <c r="A33" s="11">
        <f t="shared" ref="A33:A41" si="9">IF(AND(F33&lt;&gt;"",D33=""),A32+1,A32)</f>
        <v>3</v>
      </c>
      <c r="C33" t="str">
        <f>$F31</f>
        <v>Fairfield Post-Acute Rehab</v>
      </c>
      <c r="D33" s="3" t="str">
        <f t="shared" si="7"/>
        <v>A_BEDS_TOTAL - Total Available Beds</v>
      </c>
      <c r="F33" s="14" t="str">
        <f>_xll.EVDES(D33)</f>
        <v>Total Available Beds</v>
      </c>
      <c r="G33" s="60">
        <f ca="1">SUMIFS(OFFSET('BPC Data'!$F:$F,0,Summary!G$2),'BPC Data'!$E:$E,Summary!$D33,'BPC Data'!$B:$B,Summary!$C33)</f>
        <v>99</v>
      </c>
      <c r="H33" s="53">
        <f ca="1">SUMIFS(OFFSET('BPC Data'!$F:$F,0,Summary!H$2),'BPC Data'!$E:$E,Summary!$D33,'BPC Data'!$B:$B,Summary!$C33)</f>
        <v>99</v>
      </c>
      <c r="I33" s="60">
        <f ca="1">SUMIFS(OFFSET('BPC Data'!$F:$F,0,Summary!I$2),'BPC Data'!$E:$E,Summary!$D33,'BPC Data'!$B:$B,Summary!$C33)</f>
        <v>99</v>
      </c>
      <c r="J33" s="53">
        <f ca="1">SUMIFS(OFFSET('BPC Data'!$F:$F,0,Summary!J$2),'BPC Data'!$E:$E,Summary!$D33,'BPC Data'!$B:$B,Summary!$C33)</f>
        <v>99</v>
      </c>
      <c r="K33" s="60">
        <f ca="1">SUMIFS(OFFSET('BPC Data'!$F:$F,0,Summary!K$2),'BPC Data'!$E:$E,Summary!$D33,'BPC Data'!$B:$B,Summary!$C33)</f>
        <v>99</v>
      </c>
      <c r="L33" s="53">
        <f ca="1">SUMIFS(OFFSET('BPC Data'!$F:$F,0,Summary!L$2),'BPC Data'!$E:$E,Summary!$D33,'BPC Data'!$B:$B,Summary!$C33)</f>
        <v>99</v>
      </c>
      <c r="M33" s="60">
        <f ca="1">SUMIFS(OFFSET('BPC Data'!$F:$F,0,Summary!M$2),'BPC Data'!$E:$E,Summary!$D33,'BPC Data'!$B:$B,Summary!$C33)</f>
        <v>99</v>
      </c>
      <c r="N33" s="53">
        <f ca="1">SUMIFS(OFFSET('BPC Data'!$F:$F,0,Summary!N$2),'BPC Data'!$E:$E,Summary!$D33,'BPC Data'!$B:$B,Summary!$C33)</f>
        <v>99</v>
      </c>
      <c r="O33" s="18">
        <f ca="1">N33</f>
        <v>99</v>
      </c>
    </row>
    <row r="34" spans="1:15" s="11" customFormat="1" x14ac:dyDescent="0.55000000000000004">
      <c r="A34" s="11">
        <f t="shared" si="9"/>
        <v>3</v>
      </c>
      <c r="B34"/>
      <c r="C34" t="str">
        <f>$F31</f>
        <v>Fairfield Post-Acute Rehab</v>
      </c>
      <c r="D34" s="3" t="str">
        <f t="shared" si="7"/>
        <v>T_REVENUES - Total Tenant Revenues</v>
      </c>
      <c r="E34"/>
      <c r="F34" s="14" t="str">
        <f>_xll.EVDES(D34)</f>
        <v>Total Tenant Revenues</v>
      </c>
      <c r="G34" s="60">
        <f ca="1">SUMIFS(OFFSET('BPC Data'!$F:$F,0,Summary!G$2),'BPC Data'!$E:$E,Summary!$D34,'BPC Data'!$B:$B,Summary!$C34)</f>
        <v>1051650.29</v>
      </c>
      <c r="H34" s="53">
        <f ca="1">SUMIFS(OFFSET('BPC Data'!$F:$F,0,Summary!H$2),'BPC Data'!$E:$E,Summary!$D34,'BPC Data'!$B:$B,Summary!$C34)</f>
        <v>904966.26</v>
      </c>
      <c r="I34" s="60">
        <f ca="1">SUMIFS(OFFSET('BPC Data'!$F:$F,0,Summary!I$2),'BPC Data'!$E:$E,Summary!$D34,'BPC Data'!$B:$B,Summary!$C34)</f>
        <v>993310.05</v>
      </c>
      <c r="J34" s="53">
        <f ca="1">SUMIFS(OFFSET('BPC Data'!$F:$F,0,Summary!J$2),'BPC Data'!$E:$E,Summary!$D34,'BPC Data'!$B:$B,Summary!$C34)</f>
        <v>999457.22</v>
      </c>
      <c r="K34" s="60">
        <f ca="1">SUMIFS(OFFSET('BPC Data'!$F:$F,0,Summary!K$2),'BPC Data'!$E:$E,Summary!$D34,'BPC Data'!$B:$B,Summary!$C34)</f>
        <v>1101853.72</v>
      </c>
      <c r="L34" s="53">
        <f ca="1">SUMIFS(OFFSET('BPC Data'!$F:$F,0,Summary!L$2),'BPC Data'!$E:$E,Summary!$D34,'BPC Data'!$B:$B,Summary!$C34)</f>
        <v>1096359.21</v>
      </c>
      <c r="M34" s="60">
        <f ca="1">SUMIFS(OFFSET('BPC Data'!$F:$F,0,Summary!M$2),'BPC Data'!$E:$E,Summary!$D34,'BPC Data'!$B:$B,Summary!$C34)</f>
        <v>1193495.29</v>
      </c>
      <c r="N34" s="53">
        <f ca="1">SUMIFS(OFFSET('BPC Data'!$F:$F,0,Summary!N$2),'BPC Data'!$E:$E,Summary!$D34,'BPC Data'!$B:$B,Summary!$C34)</f>
        <v>1414260.62</v>
      </c>
      <c r="O34" s="18">
        <f t="shared" ref="O34:O43" ca="1" si="10">SUM(G34:N34)</f>
        <v>8755352.6600000001</v>
      </c>
    </row>
    <row r="35" spans="1:15" s="11" customFormat="1" x14ac:dyDescent="0.55000000000000004">
      <c r="A35" s="11">
        <f t="shared" si="9"/>
        <v>3</v>
      </c>
      <c r="B35"/>
      <c r="C35" t="str">
        <f>$F31</f>
        <v>Fairfield Post-Acute Rehab</v>
      </c>
      <c r="D35" s="3" t="str">
        <f t="shared" si="7"/>
        <v>T_OPEX - Tenant Operating Expenses</v>
      </c>
      <c r="E35"/>
      <c r="F35" s="14" t="str">
        <f>_xll.EVDES(D35)</f>
        <v>Tenant Operating Expenses</v>
      </c>
      <c r="G35" s="60">
        <f ca="1">SUMIFS(OFFSET('BPC Data'!$F:$F,0,Summary!G$2),'BPC Data'!$E:$E,Summary!$D35,'BPC Data'!$B:$B,Summary!$C35)</f>
        <v>712571.2</v>
      </c>
      <c r="H35" s="53">
        <f ca="1">SUMIFS(OFFSET('BPC Data'!$F:$F,0,Summary!H$2),'BPC Data'!$E:$E,Summary!$D35,'BPC Data'!$B:$B,Summary!$C35)</f>
        <v>744388.19</v>
      </c>
      <c r="I35" s="60">
        <f ca="1">SUMIFS(OFFSET('BPC Data'!$F:$F,0,Summary!I$2),'BPC Data'!$E:$E,Summary!$D35,'BPC Data'!$B:$B,Summary!$C35)</f>
        <v>772717.35</v>
      </c>
      <c r="J35" s="53">
        <f ca="1">SUMIFS(OFFSET('BPC Data'!$F:$F,0,Summary!J$2),'BPC Data'!$E:$E,Summary!$D35,'BPC Data'!$B:$B,Summary!$C35)</f>
        <v>814057.39</v>
      </c>
      <c r="K35" s="60">
        <f ca="1">SUMIFS(OFFSET('BPC Data'!$F:$F,0,Summary!K$2),'BPC Data'!$E:$E,Summary!$D35,'BPC Data'!$B:$B,Summary!$C35)</f>
        <v>724283.4</v>
      </c>
      <c r="L35" s="53">
        <f ca="1">SUMIFS(OFFSET('BPC Data'!$F:$F,0,Summary!L$2),'BPC Data'!$E:$E,Summary!$D35,'BPC Data'!$B:$B,Summary!$C35)</f>
        <v>711393.01</v>
      </c>
      <c r="M35" s="60">
        <f ca="1">SUMIFS(OFFSET('BPC Data'!$F:$F,0,Summary!M$2),'BPC Data'!$E:$E,Summary!$D35,'BPC Data'!$B:$B,Summary!$C35)</f>
        <v>808465.63</v>
      </c>
      <c r="N35" s="53">
        <f ca="1">SUMIFS(OFFSET('BPC Data'!$F:$F,0,Summary!N$2),'BPC Data'!$E:$E,Summary!$D35,'BPC Data'!$B:$B,Summary!$C35)</f>
        <v>851006</v>
      </c>
      <c r="O35" s="18">
        <f t="shared" ca="1" si="10"/>
        <v>6138882.1699999999</v>
      </c>
    </row>
    <row r="36" spans="1:15" s="11" customFormat="1" x14ac:dyDescent="0.55000000000000004">
      <c r="A36" s="11">
        <f t="shared" si="9"/>
        <v>3</v>
      </c>
      <c r="B36"/>
      <c r="C36" t="str">
        <f>$F31</f>
        <v>Fairfield Post-Acute Rehab</v>
      </c>
      <c r="D36" s="3" t="str">
        <f t="shared" si="7"/>
        <v>T_BAD_DEBT - Tenant Bad Debt Expense</v>
      </c>
      <c r="E36"/>
      <c r="F36" s="14" t="str">
        <f>_xll.EVDES(D36)</f>
        <v>Tenant Bad Debt Expense</v>
      </c>
      <c r="G36" s="60">
        <f ca="1">SUMIFS(OFFSET('BPC Data'!$F:$F,0,Summary!G$2),'BPC Data'!$E:$E,Summary!$D36,'BPC Data'!$B:$B,Summary!$C36)</f>
        <v>-3431.89</v>
      </c>
      <c r="H36" s="53">
        <f ca="1">SUMIFS(OFFSET('BPC Data'!$F:$F,0,Summary!H$2),'BPC Data'!$E:$E,Summary!$D36,'BPC Data'!$B:$B,Summary!$C36)</f>
        <v>4483.3999999999996</v>
      </c>
      <c r="I36" s="60">
        <f ca="1">SUMIFS(OFFSET('BPC Data'!$F:$F,0,Summary!I$2),'BPC Data'!$E:$E,Summary!$D36,'BPC Data'!$B:$B,Summary!$C36)</f>
        <v>22666.25</v>
      </c>
      <c r="J36" s="53">
        <f ca="1">SUMIFS(OFFSET('BPC Data'!$F:$F,0,Summary!J$2),'BPC Data'!$E:$E,Summary!$D36,'BPC Data'!$B:$B,Summary!$C36)</f>
        <v>69823.94</v>
      </c>
      <c r="K36" s="60">
        <f ca="1">SUMIFS(OFFSET('BPC Data'!$F:$F,0,Summary!K$2),'BPC Data'!$E:$E,Summary!$D36,'BPC Data'!$B:$B,Summary!$C36)</f>
        <v>-26413.22</v>
      </c>
      <c r="L36" s="53">
        <f ca="1">SUMIFS(OFFSET('BPC Data'!$F:$F,0,Summary!L$2),'BPC Data'!$E:$E,Summary!$D36,'BPC Data'!$B:$B,Summary!$C36)</f>
        <v>-75710.27</v>
      </c>
      <c r="M36" s="60">
        <f ca="1">SUMIFS(OFFSET('BPC Data'!$F:$F,0,Summary!M$2),'BPC Data'!$E:$E,Summary!$D36,'BPC Data'!$B:$B,Summary!$C36)</f>
        <v>-2396.19</v>
      </c>
      <c r="N36" s="53">
        <f ca="1">SUMIFS(OFFSET('BPC Data'!$F:$F,0,Summary!N$2),'BPC Data'!$E:$E,Summary!$D36,'BPC Data'!$B:$B,Summary!$C36)</f>
        <v>-26755.9</v>
      </c>
      <c r="O36" s="18">
        <f t="shared" ca="1" si="10"/>
        <v>-37733.880000000012</v>
      </c>
    </row>
    <row r="37" spans="1:15" s="11" customFormat="1" x14ac:dyDescent="0.55000000000000004">
      <c r="A37" s="11">
        <f t="shared" si="9"/>
        <v>3</v>
      </c>
      <c r="B37"/>
      <c r="C37" t="str">
        <f>$F31</f>
        <v>Fairfield Post-Acute Rehab</v>
      </c>
      <c r="D37" s="2" t="str">
        <f t="shared" si="7"/>
        <v>T_EBITDARM - EBITDARM</v>
      </c>
      <c r="E37"/>
      <c r="F37" s="14" t="str">
        <f>_xll.EVDES(D37)</f>
        <v>EBITDARM</v>
      </c>
      <c r="G37" s="60">
        <f ca="1">SUMIFS(OFFSET('BPC Data'!$F:$F,0,Summary!G$2),'BPC Data'!$E:$E,Summary!$D37,'BPC Data'!$B:$B,Summary!$C37)</f>
        <v>339079.09</v>
      </c>
      <c r="H37" s="53">
        <f ca="1">SUMIFS(OFFSET('BPC Data'!$F:$F,0,Summary!H$2),'BPC Data'!$E:$E,Summary!$D37,'BPC Data'!$B:$B,Summary!$C37)</f>
        <v>160578.07</v>
      </c>
      <c r="I37" s="60">
        <f ca="1">SUMIFS(OFFSET('BPC Data'!$F:$F,0,Summary!I$2),'BPC Data'!$E:$E,Summary!$D37,'BPC Data'!$B:$B,Summary!$C37)</f>
        <v>220592.7</v>
      </c>
      <c r="J37" s="53">
        <f ca="1">SUMIFS(OFFSET('BPC Data'!$F:$F,0,Summary!J$2),'BPC Data'!$E:$E,Summary!$D37,'BPC Data'!$B:$B,Summary!$C37)</f>
        <v>185399.83</v>
      </c>
      <c r="K37" s="60">
        <f ca="1">SUMIFS(OFFSET('BPC Data'!$F:$F,0,Summary!K$2),'BPC Data'!$E:$E,Summary!$D37,'BPC Data'!$B:$B,Summary!$C37)</f>
        <v>377570.32</v>
      </c>
      <c r="L37" s="53">
        <f ca="1">SUMIFS(OFFSET('BPC Data'!$F:$F,0,Summary!L$2),'BPC Data'!$E:$E,Summary!$D37,'BPC Data'!$B:$B,Summary!$C37)</f>
        <v>384966.2</v>
      </c>
      <c r="M37" s="60">
        <f ca="1">SUMIFS(OFFSET('BPC Data'!$F:$F,0,Summary!M$2),'BPC Data'!$E:$E,Summary!$D37,'BPC Data'!$B:$B,Summary!$C37)</f>
        <v>385029.66</v>
      </c>
      <c r="N37" s="53">
        <f ca="1">SUMIFS(OFFSET('BPC Data'!$F:$F,0,Summary!N$2),'BPC Data'!$E:$E,Summary!$D37,'BPC Data'!$B:$B,Summary!$C37)</f>
        <v>563254.62</v>
      </c>
      <c r="O37" s="18">
        <f t="shared" ca="1" si="10"/>
        <v>2616470.4899999998</v>
      </c>
    </row>
    <row r="38" spans="1:15" s="11" customFormat="1" x14ac:dyDescent="0.55000000000000004">
      <c r="A38" s="11">
        <f t="shared" si="9"/>
        <v>3</v>
      </c>
      <c r="B38"/>
      <c r="C38" t="str">
        <f>$F31</f>
        <v>Fairfield Post-Acute Rehab</v>
      </c>
      <c r="D38" s="2" t="str">
        <f t="shared" si="7"/>
        <v>T_MGMT_FEE - Tenant Management Fee - Actual</v>
      </c>
      <c r="E38"/>
      <c r="F38" s="14" t="str">
        <f>_xll.EVDES(D38)</f>
        <v>Tenant Management Fee - Actual</v>
      </c>
      <c r="G38" s="60">
        <f ca="1">SUMIFS(OFFSET('BPC Data'!$F:$F,0,Summary!G$2),'BPC Data'!$E:$E,Summary!$D38,'BPC Data'!$B:$B,Summary!$C38)</f>
        <v>52106</v>
      </c>
      <c r="H38" s="53">
        <f ca="1">SUMIFS(OFFSET('BPC Data'!$F:$F,0,Summary!H$2),'BPC Data'!$E:$E,Summary!$D38,'BPC Data'!$B:$B,Summary!$C38)</f>
        <v>52582</v>
      </c>
      <c r="I38" s="60">
        <f ca="1">SUMIFS(OFFSET('BPC Data'!$F:$F,0,Summary!I$2),'BPC Data'!$E:$E,Summary!$D38,'BPC Data'!$B:$B,Summary!$C38)</f>
        <v>45248</v>
      </c>
      <c r="J38" s="53">
        <f ca="1">SUMIFS(OFFSET('BPC Data'!$F:$F,0,Summary!J$2),'BPC Data'!$E:$E,Summary!$D38,'BPC Data'!$B:$B,Summary!$C38)</f>
        <v>49665</v>
      </c>
      <c r="K38" s="60">
        <f ca="1">SUMIFS(OFFSET('BPC Data'!$F:$F,0,Summary!K$2),'BPC Data'!$E:$E,Summary!$D38,'BPC Data'!$B:$B,Summary!$C38)</f>
        <v>49972</v>
      </c>
      <c r="L38" s="53">
        <f ca="1">SUMIFS(OFFSET('BPC Data'!$F:$F,0,Summary!L$2),'BPC Data'!$E:$E,Summary!$D38,'BPC Data'!$B:$B,Summary!$C38)</f>
        <v>55092</v>
      </c>
      <c r="M38" s="60">
        <f ca="1">SUMIFS(OFFSET('BPC Data'!$F:$F,0,Summary!M$2),'BPC Data'!$E:$E,Summary!$D38,'BPC Data'!$B:$B,Summary!$C38)</f>
        <v>54817</v>
      </c>
      <c r="N38" s="53">
        <f ca="1">SUMIFS(OFFSET('BPC Data'!$F:$F,0,Summary!N$2),'BPC Data'!$E:$E,Summary!$D38,'BPC Data'!$B:$B,Summary!$C38)</f>
        <v>59674</v>
      </c>
      <c r="O38" s="18">
        <f t="shared" ca="1" si="10"/>
        <v>419156</v>
      </c>
    </row>
    <row r="39" spans="1:15" s="11" customFormat="1" x14ac:dyDescent="0.55000000000000004">
      <c r="A39" s="11">
        <f t="shared" si="9"/>
        <v>3</v>
      </c>
      <c r="B39"/>
      <c r="C39" t="str">
        <f>$F31</f>
        <v>Fairfield Post-Acute Rehab</v>
      </c>
      <c r="D39" s="1" t="str">
        <f t="shared" si="7"/>
        <v>T_EBITDAR - EBITDAR</v>
      </c>
      <c r="E39"/>
      <c r="F39" s="14" t="str">
        <f>_xll.EVDES(D39)</f>
        <v>EBITDAR</v>
      </c>
      <c r="G39" s="60">
        <f ca="1">SUMIFS(OFFSET('BPC Data'!$F:$F,0,Summary!G$2),'BPC Data'!$E:$E,Summary!$D39,'BPC Data'!$B:$B,Summary!$C39)</f>
        <v>286973.09000000003</v>
      </c>
      <c r="H39" s="53">
        <f ca="1">SUMIFS(OFFSET('BPC Data'!$F:$F,0,Summary!H$2),'BPC Data'!$E:$E,Summary!$D39,'BPC Data'!$B:$B,Summary!$C39)</f>
        <v>107996.07</v>
      </c>
      <c r="I39" s="60">
        <f ca="1">SUMIFS(OFFSET('BPC Data'!$F:$F,0,Summary!I$2),'BPC Data'!$E:$E,Summary!$D39,'BPC Data'!$B:$B,Summary!$C39)</f>
        <v>175344.7</v>
      </c>
      <c r="J39" s="53">
        <f ca="1">SUMIFS(OFFSET('BPC Data'!$F:$F,0,Summary!J$2),'BPC Data'!$E:$E,Summary!$D39,'BPC Data'!$B:$B,Summary!$C39)</f>
        <v>135734.82999999999</v>
      </c>
      <c r="K39" s="60">
        <f ca="1">SUMIFS(OFFSET('BPC Data'!$F:$F,0,Summary!K$2),'BPC Data'!$E:$E,Summary!$D39,'BPC Data'!$B:$B,Summary!$C39)</f>
        <v>327598.32</v>
      </c>
      <c r="L39" s="53">
        <f ca="1">SUMIFS(OFFSET('BPC Data'!$F:$F,0,Summary!L$2),'BPC Data'!$E:$E,Summary!$D39,'BPC Data'!$B:$B,Summary!$C39)</f>
        <v>329874.2</v>
      </c>
      <c r="M39" s="60">
        <f ca="1">SUMIFS(OFFSET('BPC Data'!$F:$F,0,Summary!M$2),'BPC Data'!$E:$E,Summary!$D39,'BPC Data'!$B:$B,Summary!$C39)</f>
        <v>330212.65999999997</v>
      </c>
      <c r="N39" s="53">
        <f ca="1">SUMIFS(OFFSET('BPC Data'!$F:$F,0,Summary!N$2),'BPC Data'!$E:$E,Summary!$D39,'BPC Data'!$B:$B,Summary!$C39)</f>
        <v>503580.62</v>
      </c>
      <c r="O39" s="18">
        <f t="shared" ca="1" si="10"/>
        <v>2197314.4899999998</v>
      </c>
    </row>
    <row r="40" spans="1:15" s="11" customFormat="1" x14ac:dyDescent="0.55000000000000004">
      <c r="A40" s="11">
        <f t="shared" si="9"/>
        <v>3</v>
      </c>
      <c r="B40"/>
      <c r="C40" t="str">
        <f>$F31</f>
        <v>Fairfield Post-Acute Rehab</v>
      </c>
      <c r="D40" s="1" t="str">
        <f t="shared" si="7"/>
        <v>T_RENT_EXP - Tenant Rent Expense</v>
      </c>
      <c r="E40"/>
      <c r="F40" s="14" t="str">
        <f>_xll.EVDES(D40)</f>
        <v>Tenant Rent Expense</v>
      </c>
      <c r="G40" s="60">
        <f ca="1">SUMIFS(OFFSET('BPC Data'!$F:$F,0,Summary!G$2),'BPC Data'!$E:$E,Summary!$D40,'BPC Data'!$B:$B,Summary!$C40)</f>
        <v>177359.09</v>
      </c>
      <c r="H40" s="53">
        <f ca="1">SUMIFS(OFFSET('BPC Data'!$F:$F,0,Summary!H$2),'BPC Data'!$E:$E,Summary!$D40,'BPC Data'!$B:$B,Summary!$C40)</f>
        <v>177359.09</v>
      </c>
      <c r="I40" s="60">
        <f ca="1">SUMIFS(OFFSET('BPC Data'!$F:$F,0,Summary!I$2),'BPC Data'!$E:$E,Summary!$D40,'BPC Data'!$B:$B,Summary!$C40)</f>
        <v>177359.09</v>
      </c>
      <c r="J40" s="53">
        <f ca="1">SUMIFS(OFFSET('BPC Data'!$F:$F,0,Summary!J$2),'BPC Data'!$E:$E,Summary!$D40,'BPC Data'!$B:$B,Summary!$C40)</f>
        <v>177359.09</v>
      </c>
      <c r="K40" s="60">
        <f ca="1">SUMIFS(OFFSET('BPC Data'!$F:$F,0,Summary!K$2),'BPC Data'!$E:$E,Summary!$D40,'BPC Data'!$B:$B,Summary!$C40)</f>
        <v>177359.09</v>
      </c>
      <c r="L40" s="53">
        <f ca="1">SUMIFS(OFFSET('BPC Data'!$F:$F,0,Summary!L$2),'BPC Data'!$E:$E,Summary!$D40,'BPC Data'!$B:$B,Summary!$C40)</f>
        <v>177359.09</v>
      </c>
      <c r="M40" s="60">
        <f ca="1">SUMIFS(OFFSET('BPC Data'!$F:$F,0,Summary!M$2),'BPC Data'!$E:$E,Summary!$D40,'BPC Data'!$B:$B,Summary!$C40)</f>
        <v>176509.09</v>
      </c>
      <c r="N40" s="53">
        <f ca="1">SUMIFS(OFFSET('BPC Data'!$F:$F,0,Summary!N$2),'BPC Data'!$E:$E,Summary!$D40,'BPC Data'!$B:$B,Summary!$C40)</f>
        <v>176509.09</v>
      </c>
      <c r="O40" s="18">
        <f t="shared" ca="1" si="10"/>
        <v>1417172.7200000002</v>
      </c>
    </row>
    <row r="41" spans="1:15" s="11" customFormat="1" x14ac:dyDescent="0.55000000000000004">
      <c r="A41" s="11">
        <f t="shared" si="9"/>
        <v>3</v>
      </c>
      <c r="B41"/>
      <c r="C41"/>
      <c r="D41" s="1" t="str">
        <f t="shared" si="7"/>
        <v>x</v>
      </c>
      <c r="E41"/>
      <c r="F41" s="14" t="s">
        <v>0</v>
      </c>
      <c r="G41" s="61">
        <f ca="1">SUMIFS(OFFSET('BPC Data'!$F:$F,0,Summary!G$2),'BPC Data'!$E:$E,Summary!$D41,'BPC Data'!$B:$B,Summary!$C41)</f>
        <v>0</v>
      </c>
      <c r="H41" s="54">
        <f ca="1">SUMIFS(OFFSET('BPC Data'!$F:$F,0,Summary!H$2),'BPC Data'!$E:$E,Summary!$D41,'BPC Data'!$B:$B,Summary!$C41)</f>
        <v>0</v>
      </c>
      <c r="I41" s="61">
        <f ca="1">SUMIFS(OFFSET('BPC Data'!$F:$F,0,Summary!I$2),'BPC Data'!$E:$E,Summary!$D41,'BPC Data'!$B:$B,Summary!$C41)</f>
        <v>0</v>
      </c>
      <c r="J41" s="54">
        <f ca="1">SUMIFS(OFFSET('BPC Data'!$F:$F,0,Summary!J$2),'BPC Data'!$E:$E,Summary!$D41,'BPC Data'!$B:$B,Summary!$C41)</f>
        <v>0</v>
      </c>
      <c r="K41" s="61">
        <f ca="1">SUMIFS(OFFSET('BPC Data'!$F:$F,0,Summary!K$2),'BPC Data'!$E:$E,Summary!$D41,'BPC Data'!$B:$B,Summary!$C41)</f>
        <v>0</v>
      </c>
      <c r="L41" s="54">
        <f ca="1">SUMIFS(OFFSET('BPC Data'!$F:$F,0,Summary!L$2),'BPC Data'!$E:$E,Summary!$D41,'BPC Data'!$B:$B,Summary!$C41)</f>
        <v>0</v>
      </c>
      <c r="M41" s="61">
        <f ca="1">SUMIFS(OFFSET('BPC Data'!$F:$F,0,Summary!M$2),'BPC Data'!$E:$E,Summary!$D41,'BPC Data'!$B:$B,Summary!$C41)</f>
        <v>0</v>
      </c>
      <c r="N41" s="54">
        <f ca="1">SUMIFS(OFFSET('BPC Data'!$F:$F,0,Summary!N$2),'BPC Data'!$E:$E,Summary!$D41,'BPC Data'!$B:$B,Summary!$C41)</f>
        <v>0</v>
      </c>
      <c r="O41" s="18">
        <f t="shared" ca="1" si="10"/>
        <v>0</v>
      </c>
    </row>
    <row r="42" spans="1:15" s="11" customFormat="1" x14ac:dyDescent="0.55000000000000004">
      <c r="A42" s="11">
        <f>IF(AND(D42&lt;&gt;"",C42=""),A41+1,A41)</f>
        <v>4</v>
      </c>
      <c r="B42" s="4"/>
      <c r="C42" s="4"/>
      <c r="D42" s="4" t="str">
        <f t="shared" si="7"/>
        <v>x</v>
      </c>
      <c r="E42" s="4"/>
      <c r="F42" s="13" t="str">
        <f>INDEX(PropertyList!$D:$D,MATCH(Summary!$A42,PropertyList!$C:$C,0))</f>
        <v>Garden View Post-Acute Rehab</v>
      </c>
      <c r="G42" s="59">
        <f ca="1">SUMIFS(OFFSET('BPC Data'!$F:$F,0,Summary!G$2),'BPC Data'!$E:$E,Summary!$D42,'BPC Data'!$B:$B,Summary!$C42)</f>
        <v>0</v>
      </c>
      <c r="H42" s="52">
        <f ca="1">SUMIFS(OFFSET('BPC Data'!$F:$F,0,Summary!H$2),'BPC Data'!$E:$E,Summary!$D42,'BPC Data'!$B:$B,Summary!$C42)</f>
        <v>0</v>
      </c>
      <c r="I42" s="59">
        <f ca="1">SUMIFS(OFFSET('BPC Data'!$F:$F,0,Summary!I$2),'BPC Data'!$E:$E,Summary!$D42,'BPC Data'!$B:$B,Summary!$C42)</f>
        <v>0</v>
      </c>
      <c r="J42" s="52">
        <f ca="1">SUMIFS(OFFSET('BPC Data'!$F:$F,0,Summary!J$2),'BPC Data'!$E:$E,Summary!$D42,'BPC Data'!$B:$B,Summary!$C42)</f>
        <v>0</v>
      </c>
      <c r="K42" s="59">
        <f ca="1">SUMIFS(OFFSET('BPC Data'!$F:$F,0,Summary!K$2),'BPC Data'!$E:$E,Summary!$D42,'BPC Data'!$B:$B,Summary!$C42)</f>
        <v>0</v>
      </c>
      <c r="L42" s="52">
        <f ca="1">SUMIFS(OFFSET('BPC Data'!$F:$F,0,Summary!L$2),'BPC Data'!$E:$E,Summary!$D42,'BPC Data'!$B:$B,Summary!$C42)</f>
        <v>0</v>
      </c>
      <c r="M42" s="59">
        <f ca="1">SUMIFS(OFFSET('BPC Data'!$F:$F,0,Summary!M$2),'BPC Data'!$E:$E,Summary!$D42,'BPC Data'!$B:$B,Summary!$C42)</f>
        <v>0</v>
      </c>
      <c r="N42" s="52">
        <f ca="1">SUMIFS(OFFSET('BPC Data'!$F:$F,0,Summary!N$2),'BPC Data'!$E:$E,Summary!$D42,'BPC Data'!$B:$B,Summary!$C42)</f>
        <v>0</v>
      </c>
      <c r="O42" s="18">
        <f t="shared" ca="1" si="10"/>
        <v>0</v>
      </c>
    </row>
    <row r="43" spans="1:15" s="11" customFormat="1" x14ac:dyDescent="0.55000000000000004">
      <c r="A43" s="11">
        <f>IF(AND(F43&lt;&gt;"",D43=""),A42+1,A42)</f>
        <v>4</v>
      </c>
      <c r="C43" t="str">
        <f>$F42</f>
        <v>Garden View Post-Acute Rehab</v>
      </c>
      <c r="D43" s="3" t="str">
        <f t="shared" si="7"/>
        <v>PAY_PAT_DAYS - Total Payor Patient Days</v>
      </c>
      <c r="F43" s="14" t="str">
        <f>_xll.EVDES(D43)</f>
        <v>Total Payor Patient Days</v>
      </c>
      <c r="G43" s="60">
        <f ca="1">SUMIFS(OFFSET('BPC Data'!$F:$F,0,Summary!G$2),'BPC Data'!$E:$E,Summary!$D43,'BPC Data'!$B:$B,Summary!$C43)</f>
        <v>1945</v>
      </c>
      <c r="H43" s="53">
        <f ca="1">SUMIFS(OFFSET('BPC Data'!$F:$F,0,Summary!H$2),'BPC Data'!$E:$E,Summary!$D43,'BPC Data'!$B:$B,Summary!$C43)</f>
        <v>1863</v>
      </c>
      <c r="I43" s="60">
        <f ca="1">SUMIFS(OFFSET('BPC Data'!$F:$F,0,Summary!I$2),'BPC Data'!$E:$E,Summary!$D43,'BPC Data'!$B:$B,Summary!$C43)</f>
        <v>2117</v>
      </c>
      <c r="J43" s="53">
        <f ca="1">SUMIFS(OFFSET('BPC Data'!$F:$F,0,Summary!J$2),'BPC Data'!$E:$E,Summary!$D43,'BPC Data'!$B:$B,Summary!$C43)</f>
        <v>2227</v>
      </c>
      <c r="K43" s="60">
        <f ca="1">SUMIFS(OFFSET('BPC Data'!$F:$F,0,Summary!K$2),'BPC Data'!$E:$E,Summary!$D43,'BPC Data'!$B:$B,Summary!$C43)</f>
        <v>2322</v>
      </c>
      <c r="L43" s="53">
        <f ca="1">SUMIFS(OFFSET('BPC Data'!$F:$F,0,Summary!L$2),'BPC Data'!$E:$E,Summary!$D43,'BPC Data'!$B:$B,Summary!$C43)</f>
        <v>2276</v>
      </c>
      <c r="M43" s="60">
        <f ca="1">SUMIFS(OFFSET('BPC Data'!$F:$F,0,Summary!M$2),'BPC Data'!$E:$E,Summary!$D43,'BPC Data'!$B:$B,Summary!$C43)</f>
        <v>2356</v>
      </c>
      <c r="N43" s="53">
        <f ca="1">SUMIFS(OFFSET('BPC Data'!$F:$F,0,Summary!N$2),'BPC Data'!$E:$E,Summary!$D43,'BPC Data'!$B:$B,Summary!$C43)</f>
        <v>2530</v>
      </c>
      <c r="O43" s="18">
        <f t="shared" ca="1" si="10"/>
        <v>17636</v>
      </c>
    </row>
    <row r="44" spans="1:15" s="11" customFormat="1" x14ac:dyDescent="0.55000000000000004">
      <c r="A44" s="11">
        <f t="shared" ref="A44:A52" si="11">IF(AND(F44&lt;&gt;"",D44=""),A43+1,A43)</f>
        <v>4</v>
      </c>
      <c r="C44" t="str">
        <f>$F42</f>
        <v>Garden View Post-Acute Rehab</v>
      </c>
      <c r="D44" s="3" t="str">
        <f t="shared" si="7"/>
        <v>A_BEDS_TOTAL - Total Available Beds</v>
      </c>
      <c r="F44" s="14" t="str">
        <f>_xll.EVDES(D44)</f>
        <v>Total Available Beds</v>
      </c>
      <c r="G44" s="60">
        <f ca="1">SUMIFS(OFFSET('BPC Data'!$F:$F,0,Summary!G$2),'BPC Data'!$E:$E,Summary!$D44,'BPC Data'!$B:$B,Summary!$C44)</f>
        <v>97</v>
      </c>
      <c r="H44" s="53">
        <f ca="1">SUMIFS(OFFSET('BPC Data'!$F:$F,0,Summary!H$2),'BPC Data'!$E:$E,Summary!$D44,'BPC Data'!$B:$B,Summary!$C44)</f>
        <v>97</v>
      </c>
      <c r="I44" s="60">
        <f ca="1">SUMIFS(OFFSET('BPC Data'!$F:$F,0,Summary!I$2),'BPC Data'!$E:$E,Summary!$D44,'BPC Data'!$B:$B,Summary!$C44)</f>
        <v>97</v>
      </c>
      <c r="J44" s="53">
        <f ca="1">SUMIFS(OFFSET('BPC Data'!$F:$F,0,Summary!J$2),'BPC Data'!$E:$E,Summary!$D44,'BPC Data'!$B:$B,Summary!$C44)</f>
        <v>97</v>
      </c>
      <c r="K44" s="60">
        <f ca="1">SUMIFS(OFFSET('BPC Data'!$F:$F,0,Summary!K$2),'BPC Data'!$E:$E,Summary!$D44,'BPC Data'!$B:$B,Summary!$C44)</f>
        <v>97</v>
      </c>
      <c r="L44" s="53">
        <f ca="1">SUMIFS(OFFSET('BPC Data'!$F:$F,0,Summary!L$2),'BPC Data'!$E:$E,Summary!$D44,'BPC Data'!$B:$B,Summary!$C44)</f>
        <v>97</v>
      </c>
      <c r="M44" s="60">
        <f ca="1">SUMIFS(OFFSET('BPC Data'!$F:$F,0,Summary!M$2),'BPC Data'!$E:$E,Summary!$D44,'BPC Data'!$B:$B,Summary!$C44)</f>
        <v>97</v>
      </c>
      <c r="N44" s="53">
        <f ca="1">SUMIFS(OFFSET('BPC Data'!$F:$F,0,Summary!N$2),'BPC Data'!$E:$E,Summary!$D44,'BPC Data'!$B:$B,Summary!$C44)</f>
        <v>97</v>
      </c>
      <c r="O44" s="18">
        <f ca="1">N44</f>
        <v>97</v>
      </c>
    </row>
    <row r="45" spans="1:15" s="11" customFormat="1" x14ac:dyDescent="0.55000000000000004">
      <c r="A45" s="11">
        <f t="shared" si="11"/>
        <v>4</v>
      </c>
      <c r="B45"/>
      <c r="C45" t="str">
        <f>$F42</f>
        <v>Garden View Post-Acute Rehab</v>
      </c>
      <c r="D45" s="3" t="str">
        <f t="shared" si="7"/>
        <v>T_REVENUES - Total Tenant Revenues</v>
      </c>
      <c r="E45"/>
      <c r="F45" s="14" t="str">
        <f>_xll.EVDES(D45)</f>
        <v>Total Tenant Revenues</v>
      </c>
      <c r="G45" s="60">
        <f ca="1">SUMIFS(OFFSET('BPC Data'!$F:$F,0,Summary!G$2),'BPC Data'!$E:$E,Summary!$D45,'BPC Data'!$B:$B,Summary!$C45)</f>
        <v>1472400.94</v>
      </c>
      <c r="H45" s="53">
        <f ca="1">SUMIFS(OFFSET('BPC Data'!$F:$F,0,Summary!H$2),'BPC Data'!$E:$E,Summary!$D45,'BPC Data'!$B:$B,Summary!$C45)</f>
        <v>962152.67</v>
      </c>
      <c r="I45" s="60">
        <f ca="1">SUMIFS(OFFSET('BPC Data'!$F:$F,0,Summary!I$2),'BPC Data'!$E:$E,Summary!$D45,'BPC Data'!$B:$B,Summary!$C45)</f>
        <v>1089911</v>
      </c>
      <c r="J45" s="53">
        <f ca="1">SUMIFS(OFFSET('BPC Data'!$F:$F,0,Summary!J$2),'BPC Data'!$E:$E,Summary!$D45,'BPC Data'!$B:$B,Summary!$C45)</f>
        <v>1096348.18</v>
      </c>
      <c r="K45" s="60">
        <f ca="1">SUMIFS(OFFSET('BPC Data'!$F:$F,0,Summary!K$2),'BPC Data'!$E:$E,Summary!$D45,'BPC Data'!$B:$B,Summary!$C45)</f>
        <v>1176758.8999999999</v>
      </c>
      <c r="L45" s="53">
        <f ca="1">SUMIFS(OFFSET('BPC Data'!$F:$F,0,Summary!L$2),'BPC Data'!$E:$E,Summary!$D45,'BPC Data'!$B:$B,Summary!$C45)</f>
        <v>1097551.6000000001</v>
      </c>
      <c r="M45" s="60">
        <f ca="1">SUMIFS(OFFSET('BPC Data'!$F:$F,0,Summary!M$2),'BPC Data'!$E:$E,Summary!$D45,'BPC Data'!$B:$B,Summary!$C45)</f>
        <v>1151249.1100000001</v>
      </c>
      <c r="N45" s="53">
        <f ca="1">SUMIFS(OFFSET('BPC Data'!$F:$F,0,Summary!N$2),'BPC Data'!$E:$E,Summary!$D45,'BPC Data'!$B:$B,Summary!$C45)</f>
        <v>1250492.8799999999</v>
      </c>
      <c r="O45" s="18">
        <f t="shared" ref="O45:O54" ca="1" si="12">SUM(G45:N45)</f>
        <v>9296865.2799999993</v>
      </c>
    </row>
    <row r="46" spans="1:15" s="11" customFormat="1" x14ac:dyDescent="0.55000000000000004">
      <c r="A46" s="11">
        <f t="shared" si="11"/>
        <v>4</v>
      </c>
      <c r="B46"/>
      <c r="C46" t="str">
        <f>$F42</f>
        <v>Garden View Post-Acute Rehab</v>
      </c>
      <c r="D46" s="3" t="str">
        <f t="shared" si="7"/>
        <v>T_OPEX - Tenant Operating Expenses</v>
      </c>
      <c r="E46"/>
      <c r="F46" s="14" t="str">
        <f>_xll.EVDES(D46)</f>
        <v>Tenant Operating Expenses</v>
      </c>
      <c r="G46" s="60">
        <f ca="1">SUMIFS(OFFSET('BPC Data'!$F:$F,0,Summary!G$2),'BPC Data'!$E:$E,Summary!$D46,'BPC Data'!$B:$B,Summary!$C46)</f>
        <v>861826.78</v>
      </c>
      <c r="H46" s="53">
        <f ca="1">SUMIFS(OFFSET('BPC Data'!$F:$F,0,Summary!H$2),'BPC Data'!$E:$E,Summary!$D46,'BPC Data'!$B:$B,Summary!$C46)</f>
        <v>885342.21</v>
      </c>
      <c r="I46" s="60">
        <f ca="1">SUMIFS(OFFSET('BPC Data'!$F:$F,0,Summary!I$2),'BPC Data'!$E:$E,Summary!$D46,'BPC Data'!$B:$B,Summary!$C46)</f>
        <v>770970.72</v>
      </c>
      <c r="J46" s="53">
        <f ca="1">SUMIFS(OFFSET('BPC Data'!$F:$F,0,Summary!J$2),'BPC Data'!$E:$E,Summary!$D46,'BPC Data'!$B:$B,Summary!$C46)</f>
        <v>859115.9</v>
      </c>
      <c r="K46" s="60">
        <f ca="1">SUMIFS(OFFSET('BPC Data'!$F:$F,0,Summary!K$2),'BPC Data'!$E:$E,Summary!$D46,'BPC Data'!$B:$B,Summary!$C46)</f>
        <v>865896.94</v>
      </c>
      <c r="L46" s="53">
        <f ca="1">SUMIFS(OFFSET('BPC Data'!$F:$F,0,Summary!L$2),'BPC Data'!$E:$E,Summary!$D46,'BPC Data'!$B:$B,Summary!$C46)</f>
        <v>897426.49</v>
      </c>
      <c r="M46" s="60">
        <f ca="1">SUMIFS(OFFSET('BPC Data'!$F:$F,0,Summary!M$2),'BPC Data'!$E:$E,Summary!$D46,'BPC Data'!$B:$B,Summary!$C46)</f>
        <v>979769.69</v>
      </c>
      <c r="N46" s="53">
        <f ca="1">SUMIFS(OFFSET('BPC Data'!$F:$F,0,Summary!N$2),'BPC Data'!$E:$E,Summary!$D46,'BPC Data'!$B:$B,Summary!$C46)</f>
        <v>773862.75</v>
      </c>
      <c r="O46" s="18">
        <f t="shared" ca="1" si="12"/>
        <v>6894211.4800000004</v>
      </c>
    </row>
    <row r="47" spans="1:15" s="11" customFormat="1" x14ac:dyDescent="0.55000000000000004">
      <c r="A47" s="11">
        <f t="shared" si="11"/>
        <v>4</v>
      </c>
      <c r="B47"/>
      <c r="C47" t="str">
        <f>$F42</f>
        <v>Garden View Post-Acute Rehab</v>
      </c>
      <c r="D47" s="3" t="str">
        <f t="shared" si="7"/>
        <v>T_BAD_DEBT - Tenant Bad Debt Expense</v>
      </c>
      <c r="E47"/>
      <c r="F47" s="14" t="str">
        <f>_xll.EVDES(D47)</f>
        <v>Tenant Bad Debt Expense</v>
      </c>
      <c r="G47" s="60">
        <f ca="1">SUMIFS(OFFSET('BPC Data'!$F:$F,0,Summary!G$2),'BPC Data'!$E:$E,Summary!$D47,'BPC Data'!$B:$B,Summary!$C47)</f>
        <v>14411.79</v>
      </c>
      <c r="H47" s="53">
        <f ca="1">SUMIFS(OFFSET('BPC Data'!$F:$F,0,Summary!H$2),'BPC Data'!$E:$E,Summary!$D47,'BPC Data'!$B:$B,Summary!$C47)</f>
        <v>-6076.55</v>
      </c>
      <c r="I47" s="60">
        <f ca="1">SUMIFS(OFFSET('BPC Data'!$F:$F,0,Summary!I$2),'BPC Data'!$E:$E,Summary!$D47,'BPC Data'!$B:$B,Summary!$C47)</f>
        <v>37546.74</v>
      </c>
      <c r="J47" s="53">
        <f ca="1">SUMIFS(OFFSET('BPC Data'!$F:$F,0,Summary!J$2),'BPC Data'!$E:$E,Summary!$D47,'BPC Data'!$B:$B,Summary!$C47)</f>
        <v>39432.629999999997</v>
      </c>
      <c r="K47" s="60">
        <f ca="1">SUMIFS(OFFSET('BPC Data'!$F:$F,0,Summary!K$2),'BPC Data'!$E:$E,Summary!$D47,'BPC Data'!$B:$B,Summary!$C47)</f>
        <v>37897.360000000001</v>
      </c>
      <c r="L47" s="53">
        <f ca="1">SUMIFS(OFFSET('BPC Data'!$F:$F,0,Summary!L$2),'BPC Data'!$E:$E,Summary!$D47,'BPC Data'!$B:$B,Summary!$C47)</f>
        <v>22980.18</v>
      </c>
      <c r="M47" s="60">
        <f ca="1">SUMIFS(OFFSET('BPC Data'!$F:$F,0,Summary!M$2),'BPC Data'!$E:$E,Summary!$D47,'BPC Data'!$B:$B,Summary!$C47)</f>
        <v>127363.26</v>
      </c>
      <c r="N47" s="53">
        <f ca="1">SUMIFS(OFFSET('BPC Data'!$F:$F,0,Summary!N$2),'BPC Data'!$E:$E,Summary!$D47,'BPC Data'!$B:$B,Summary!$C47)</f>
        <v>-60127.73</v>
      </c>
      <c r="O47" s="18">
        <f t="shared" ca="1" si="12"/>
        <v>213427.67999999996</v>
      </c>
    </row>
    <row r="48" spans="1:15" s="11" customFormat="1" x14ac:dyDescent="0.55000000000000004">
      <c r="A48" s="11">
        <f t="shared" si="11"/>
        <v>4</v>
      </c>
      <c r="B48"/>
      <c r="C48" t="str">
        <f>$F42</f>
        <v>Garden View Post-Acute Rehab</v>
      </c>
      <c r="D48" s="2" t="str">
        <f t="shared" si="7"/>
        <v>T_EBITDARM - EBITDARM</v>
      </c>
      <c r="E48"/>
      <c r="F48" s="14" t="str">
        <f>_xll.EVDES(D48)</f>
        <v>EBITDARM</v>
      </c>
      <c r="G48" s="60">
        <f ca="1">SUMIFS(OFFSET('BPC Data'!$F:$F,0,Summary!G$2),'BPC Data'!$E:$E,Summary!$D48,'BPC Data'!$B:$B,Summary!$C48)</f>
        <v>610574.16</v>
      </c>
      <c r="H48" s="53">
        <f ca="1">SUMIFS(OFFSET('BPC Data'!$F:$F,0,Summary!H$2),'BPC Data'!$E:$E,Summary!$D48,'BPC Data'!$B:$B,Summary!$C48)</f>
        <v>76810.460000000094</v>
      </c>
      <c r="I48" s="60">
        <f ca="1">SUMIFS(OFFSET('BPC Data'!$F:$F,0,Summary!I$2),'BPC Data'!$E:$E,Summary!$D48,'BPC Data'!$B:$B,Summary!$C48)</f>
        <v>318940.28000000003</v>
      </c>
      <c r="J48" s="53">
        <f ca="1">SUMIFS(OFFSET('BPC Data'!$F:$F,0,Summary!J$2),'BPC Data'!$E:$E,Summary!$D48,'BPC Data'!$B:$B,Summary!$C48)</f>
        <v>237232.28</v>
      </c>
      <c r="K48" s="60">
        <f ca="1">SUMIFS(OFFSET('BPC Data'!$F:$F,0,Summary!K$2),'BPC Data'!$E:$E,Summary!$D48,'BPC Data'!$B:$B,Summary!$C48)</f>
        <v>310861.96000000002</v>
      </c>
      <c r="L48" s="53">
        <f ca="1">SUMIFS(OFFSET('BPC Data'!$F:$F,0,Summary!L$2),'BPC Data'!$E:$E,Summary!$D48,'BPC Data'!$B:$B,Summary!$C48)</f>
        <v>200125.11</v>
      </c>
      <c r="M48" s="60">
        <f ca="1">SUMIFS(OFFSET('BPC Data'!$F:$F,0,Summary!M$2),'BPC Data'!$E:$E,Summary!$D48,'BPC Data'!$B:$B,Summary!$C48)</f>
        <v>171479.42</v>
      </c>
      <c r="N48" s="53">
        <f ca="1">SUMIFS(OFFSET('BPC Data'!$F:$F,0,Summary!N$2),'BPC Data'!$E:$E,Summary!$D48,'BPC Data'!$B:$B,Summary!$C48)</f>
        <v>476630.13</v>
      </c>
      <c r="O48" s="18">
        <f t="shared" ca="1" si="12"/>
        <v>2402653.7999999998</v>
      </c>
    </row>
    <row r="49" spans="1:16" s="11" customFormat="1" x14ac:dyDescent="0.55000000000000004">
      <c r="A49" s="11">
        <f t="shared" si="11"/>
        <v>4</v>
      </c>
      <c r="B49"/>
      <c r="C49" t="str">
        <f>$F42</f>
        <v>Garden View Post-Acute Rehab</v>
      </c>
      <c r="D49" s="2" t="str">
        <f t="shared" si="7"/>
        <v>T_MGMT_FEE - Tenant Management Fee - Actual</v>
      </c>
      <c r="E49"/>
      <c r="F49" s="14" t="str">
        <f>_xll.EVDES(D49)</f>
        <v>Tenant Management Fee - Actual</v>
      </c>
      <c r="G49" s="60">
        <f ca="1">SUMIFS(OFFSET('BPC Data'!$F:$F,0,Summary!G$2),'BPC Data'!$E:$E,Summary!$D49,'BPC Data'!$B:$B,Summary!$C49)</f>
        <v>61918</v>
      </c>
      <c r="H49" s="53">
        <f ca="1">SUMIFS(OFFSET('BPC Data'!$F:$F,0,Summary!H$2),'BPC Data'!$E:$E,Summary!$D49,'BPC Data'!$B:$B,Summary!$C49)</f>
        <v>53760</v>
      </c>
      <c r="I49" s="60">
        <f ca="1">SUMIFS(OFFSET('BPC Data'!$F:$F,0,Summary!I$2),'BPC Data'!$E:$E,Summary!$D49,'BPC Data'!$B:$B,Summary!$C49)</f>
        <v>48107</v>
      </c>
      <c r="J49" s="53">
        <f ca="1">SUMIFS(OFFSET('BPC Data'!$F:$F,0,Summary!J$2),'BPC Data'!$E:$E,Summary!$D49,'BPC Data'!$B:$B,Summary!$C49)</f>
        <v>54495</v>
      </c>
      <c r="K49" s="60">
        <f ca="1">SUMIFS(OFFSET('BPC Data'!$F:$F,0,Summary!K$2),'BPC Data'!$E:$E,Summary!$D49,'BPC Data'!$B:$B,Summary!$C49)</f>
        <v>54817</v>
      </c>
      <c r="L49" s="53">
        <f ca="1">SUMIFS(OFFSET('BPC Data'!$F:$F,0,Summary!L$2),'BPC Data'!$E:$E,Summary!$D49,'BPC Data'!$B:$B,Summary!$C49)</f>
        <v>58837</v>
      </c>
      <c r="M49" s="60">
        <f ca="1">SUMIFS(OFFSET('BPC Data'!$F:$F,0,Summary!M$2),'BPC Data'!$E:$E,Summary!$D49,'BPC Data'!$B:$B,Summary!$C49)</f>
        <v>54877</v>
      </c>
      <c r="N49" s="53">
        <f ca="1">SUMIFS(OFFSET('BPC Data'!$F:$F,0,Summary!N$2),'BPC Data'!$E:$E,Summary!$D49,'BPC Data'!$B:$B,Summary!$C49)</f>
        <v>57562</v>
      </c>
      <c r="O49" s="18">
        <f t="shared" ca="1" si="12"/>
        <v>444373</v>
      </c>
    </row>
    <row r="50" spans="1:16" s="11" customFormat="1" x14ac:dyDescent="0.55000000000000004">
      <c r="A50" s="11">
        <f t="shared" si="11"/>
        <v>4</v>
      </c>
      <c r="B50"/>
      <c r="C50" t="str">
        <f>$F42</f>
        <v>Garden View Post-Acute Rehab</v>
      </c>
      <c r="D50" s="1" t="str">
        <f t="shared" si="7"/>
        <v>T_EBITDAR - EBITDAR</v>
      </c>
      <c r="E50"/>
      <c r="F50" s="14" t="str">
        <f>_xll.EVDES(D50)</f>
        <v>EBITDAR</v>
      </c>
      <c r="G50" s="60">
        <f ca="1">SUMIFS(OFFSET('BPC Data'!$F:$F,0,Summary!G$2),'BPC Data'!$E:$E,Summary!$D50,'BPC Data'!$B:$B,Summary!$C50)</f>
        <v>548656.16</v>
      </c>
      <c r="H50" s="53">
        <f ca="1">SUMIFS(OFFSET('BPC Data'!$F:$F,0,Summary!H$2),'BPC Data'!$E:$E,Summary!$D50,'BPC Data'!$B:$B,Summary!$C50)</f>
        <v>23050.460000000101</v>
      </c>
      <c r="I50" s="60">
        <f ca="1">SUMIFS(OFFSET('BPC Data'!$F:$F,0,Summary!I$2),'BPC Data'!$E:$E,Summary!$D50,'BPC Data'!$B:$B,Summary!$C50)</f>
        <v>270833.28000000003</v>
      </c>
      <c r="J50" s="53">
        <f ca="1">SUMIFS(OFFSET('BPC Data'!$F:$F,0,Summary!J$2),'BPC Data'!$E:$E,Summary!$D50,'BPC Data'!$B:$B,Summary!$C50)</f>
        <v>182737.28</v>
      </c>
      <c r="K50" s="60">
        <f ca="1">SUMIFS(OFFSET('BPC Data'!$F:$F,0,Summary!K$2),'BPC Data'!$E:$E,Summary!$D50,'BPC Data'!$B:$B,Summary!$C50)</f>
        <v>256044.96</v>
      </c>
      <c r="L50" s="53">
        <f ca="1">SUMIFS(OFFSET('BPC Data'!$F:$F,0,Summary!L$2),'BPC Data'!$E:$E,Summary!$D50,'BPC Data'!$B:$B,Summary!$C50)</f>
        <v>141288.10999999999</v>
      </c>
      <c r="M50" s="60">
        <f ca="1">SUMIFS(OFFSET('BPC Data'!$F:$F,0,Summary!M$2),'BPC Data'!$E:$E,Summary!$D50,'BPC Data'!$B:$B,Summary!$C50)</f>
        <v>116602.42</v>
      </c>
      <c r="N50" s="53">
        <f ca="1">SUMIFS(OFFSET('BPC Data'!$F:$F,0,Summary!N$2),'BPC Data'!$E:$E,Summary!$D50,'BPC Data'!$B:$B,Summary!$C50)</f>
        <v>419068.13</v>
      </c>
      <c r="O50" s="18">
        <f t="shared" ca="1" si="12"/>
        <v>1958280.7999999998</v>
      </c>
    </row>
    <row r="51" spans="1:16" s="11" customFormat="1" x14ac:dyDescent="0.55000000000000004">
      <c r="A51" s="11">
        <f t="shared" si="11"/>
        <v>4</v>
      </c>
      <c r="B51"/>
      <c r="C51" t="str">
        <f>$F42</f>
        <v>Garden View Post-Acute Rehab</v>
      </c>
      <c r="D51" s="1" t="str">
        <f t="shared" si="7"/>
        <v>T_RENT_EXP - Tenant Rent Expense</v>
      </c>
      <c r="E51"/>
      <c r="F51" s="14" t="str">
        <f>_xll.EVDES(D51)</f>
        <v>Tenant Rent Expense</v>
      </c>
      <c r="G51" s="60">
        <f ca="1">SUMIFS(OFFSET('BPC Data'!$F:$F,0,Summary!G$2),'BPC Data'!$E:$E,Summary!$D51,'BPC Data'!$B:$B,Summary!$C51)</f>
        <v>140164.32999999999</v>
      </c>
      <c r="H51" s="53">
        <f ca="1">SUMIFS(OFFSET('BPC Data'!$F:$F,0,Summary!H$2),'BPC Data'!$E:$E,Summary!$D51,'BPC Data'!$B:$B,Summary!$C51)</f>
        <v>140164.32999999999</v>
      </c>
      <c r="I51" s="60">
        <f ca="1">SUMIFS(OFFSET('BPC Data'!$F:$F,0,Summary!I$2),'BPC Data'!$E:$E,Summary!$D51,'BPC Data'!$B:$B,Summary!$C51)</f>
        <v>140164.32999999999</v>
      </c>
      <c r="J51" s="53">
        <f ca="1">SUMIFS(OFFSET('BPC Data'!$F:$F,0,Summary!J$2),'BPC Data'!$E:$E,Summary!$D51,'BPC Data'!$B:$B,Summary!$C51)</f>
        <v>140164.32999999999</v>
      </c>
      <c r="K51" s="60">
        <f ca="1">SUMIFS(OFFSET('BPC Data'!$F:$F,0,Summary!K$2),'BPC Data'!$E:$E,Summary!$D51,'BPC Data'!$B:$B,Summary!$C51)</f>
        <v>140164.32999999999</v>
      </c>
      <c r="L51" s="53">
        <f ca="1">SUMIFS(OFFSET('BPC Data'!$F:$F,0,Summary!L$2),'BPC Data'!$E:$E,Summary!$D51,'BPC Data'!$B:$B,Summary!$C51)</f>
        <v>140164.32999999999</v>
      </c>
      <c r="M51" s="60">
        <f ca="1">SUMIFS(OFFSET('BPC Data'!$F:$F,0,Summary!M$2),'BPC Data'!$E:$E,Summary!$D51,'BPC Data'!$B:$B,Summary!$C51)</f>
        <v>140164.32999999999</v>
      </c>
      <c r="N51" s="53">
        <f ca="1">SUMIFS(OFFSET('BPC Data'!$F:$F,0,Summary!N$2),'BPC Data'!$E:$E,Summary!$D51,'BPC Data'!$B:$B,Summary!$C51)</f>
        <v>140164.32999999999</v>
      </c>
      <c r="O51" s="18">
        <f t="shared" ca="1" si="12"/>
        <v>1121314.6399999999</v>
      </c>
    </row>
    <row r="52" spans="1:16" s="11" customFormat="1" x14ac:dyDescent="0.55000000000000004">
      <c r="A52" s="11">
        <f t="shared" si="11"/>
        <v>4</v>
      </c>
      <c r="B52"/>
      <c r="C52"/>
      <c r="D52" s="1" t="str">
        <f t="shared" si="7"/>
        <v>x</v>
      </c>
      <c r="E52"/>
      <c r="F52" s="14" t="s">
        <v>0</v>
      </c>
      <c r="G52" s="61">
        <f ca="1">SUMIFS(OFFSET('BPC Data'!$F:$F,0,Summary!G$2),'BPC Data'!$E:$E,Summary!$D52,'BPC Data'!$B:$B,Summary!$C52)</f>
        <v>0</v>
      </c>
      <c r="H52" s="54">
        <f ca="1">SUMIFS(OFFSET('BPC Data'!$F:$F,0,Summary!H$2),'BPC Data'!$E:$E,Summary!$D52,'BPC Data'!$B:$B,Summary!$C52)</f>
        <v>0</v>
      </c>
      <c r="I52" s="61">
        <f ca="1">SUMIFS(OFFSET('BPC Data'!$F:$F,0,Summary!I$2),'BPC Data'!$E:$E,Summary!$D52,'BPC Data'!$B:$B,Summary!$C52)</f>
        <v>0</v>
      </c>
      <c r="J52" s="54">
        <f ca="1">SUMIFS(OFFSET('BPC Data'!$F:$F,0,Summary!J$2),'BPC Data'!$E:$E,Summary!$D52,'BPC Data'!$B:$B,Summary!$C52)</f>
        <v>0</v>
      </c>
      <c r="K52" s="61">
        <f ca="1">SUMIFS(OFFSET('BPC Data'!$F:$F,0,Summary!K$2),'BPC Data'!$E:$E,Summary!$D52,'BPC Data'!$B:$B,Summary!$C52)</f>
        <v>0</v>
      </c>
      <c r="L52" s="54">
        <f ca="1">SUMIFS(OFFSET('BPC Data'!$F:$F,0,Summary!L$2),'BPC Data'!$E:$E,Summary!$D52,'BPC Data'!$B:$B,Summary!$C52)</f>
        <v>0</v>
      </c>
      <c r="M52" s="61">
        <f ca="1">SUMIFS(OFFSET('BPC Data'!$F:$F,0,Summary!M$2),'BPC Data'!$E:$E,Summary!$D52,'BPC Data'!$B:$B,Summary!$C52)</f>
        <v>0</v>
      </c>
      <c r="N52" s="54">
        <f ca="1">SUMIFS(OFFSET('BPC Data'!$F:$F,0,Summary!N$2),'BPC Data'!$E:$E,Summary!$D52,'BPC Data'!$B:$B,Summary!$C52)</f>
        <v>0</v>
      </c>
      <c r="O52" s="18">
        <f t="shared" ca="1" si="12"/>
        <v>0</v>
      </c>
    </row>
    <row r="53" spans="1:16" s="11" customFormat="1" x14ac:dyDescent="0.55000000000000004">
      <c r="A53" s="11">
        <f>IF(AND(D53&lt;&gt;"",C53=""),A52+1,A52)</f>
        <v>5</v>
      </c>
      <c r="B53" s="4"/>
      <c r="C53" s="4"/>
      <c r="D53" s="4" t="str">
        <f t="shared" si="7"/>
        <v>x</v>
      </c>
      <c r="E53" s="4"/>
      <c r="F53" s="13" t="str">
        <f>INDEX(PropertyList!$D:$D,MATCH(Summary!$A53,PropertyList!$C:$C,0))</f>
        <v>Grand Terrace Health Care Ctr</v>
      </c>
      <c r="G53" s="59">
        <f ca="1">SUMIFS(OFFSET('BPC Data'!$F:$F,0,Summary!G$2),'BPC Data'!$E:$E,Summary!$D53,'BPC Data'!$B:$B,Summary!$C53)</f>
        <v>0</v>
      </c>
      <c r="H53" s="52">
        <f ca="1">SUMIFS(OFFSET('BPC Data'!$F:$F,0,Summary!H$2),'BPC Data'!$E:$E,Summary!$D53,'BPC Data'!$B:$B,Summary!$C53)</f>
        <v>0</v>
      </c>
      <c r="I53" s="59">
        <f ca="1">SUMIFS(OFFSET('BPC Data'!$F:$F,0,Summary!I$2),'BPC Data'!$E:$E,Summary!$D53,'BPC Data'!$B:$B,Summary!$C53)</f>
        <v>0</v>
      </c>
      <c r="J53" s="52">
        <f ca="1">SUMIFS(OFFSET('BPC Data'!$F:$F,0,Summary!J$2),'BPC Data'!$E:$E,Summary!$D53,'BPC Data'!$B:$B,Summary!$C53)</f>
        <v>0</v>
      </c>
      <c r="K53" s="59">
        <f ca="1">SUMIFS(OFFSET('BPC Data'!$F:$F,0,Summary!K$2),'BPC Data'!$E:$E,Summary!$D53,'BPC Data'!$B:$B,Summary!$C53)</f>
        <v>0</v>
      </c>
      <c r="L53" s="52">
        <f ca="1">SUMIFS(OFFSET('BPC Data'!$F:$F,0,Summary!L$2),'BPC Data'!$E:$E,Summary!$D53,'BPC Data'!$B:$B,Summary!$C53)</f>
        <v>0</v>
      </c>
      <c r="M53" s="59">
        <f ca="1">SUMIFS(OFFSET('BPC Data'!$F:$F,0,Summary!M$2),'BPC Data'!$E:$E,Summary!$D53,'BPC Data'!$B:$B,Summary!$C53)</f>
        <v>0</v>
      </c>
      <c r="N53" s="52">
        <f ca="1">SUMIFS(OFFSET('BPC Data'!$F:$F,0,Summary!N$2),'BPC Data'!$E:$E,Summary!$D53,'BPC Data'!$B:$B,Summary!$C53)</f>
        <v>0</v>
      </c>
      <c r="O53" s="18">
        <f t="shared" ca="1" si="12"/>
        <v>0</v>
      </c>
    </row>
    <row r="54" spans="1:16" s="11" customFormat="1" x14ac:dyDescent="0.55000000000000004">
      <c r="A54" s="11">
        <f>IF(AND(F54&lt;&gt;"",D54=""),A53+1,A53)</f>
        <v>5</v>
      </c>
      <c r="C54" t="str">
        <f>$F53</f>
        <v>Grand Terrace Health Care Ctr</v>
      </c>
      <c r="D54" s="3" t="str">
        <f t="shared" si="7"/>
        <v>PAY_PAT_DAYS - Total Payor Patient Days</v>
      </c>
      <c r="F54" s="14" t="str">
        <f>_xll.EVDES(D54)</f>
        <v>Total Payor Patient Days</v>
      </c>
      <c r="G54" s="61">
        <f ca="1">SUMIFS(OFFSET('BPC Data'!$F:$F,0,Summary!G$2),'BPC Data'!$E:$E,Summary!$D54,'BPC Data'!$B:$B,Summary!$C54)</f>
        <v>1693</v>
      </c>
      <c r="H54" s="54">
        <f ca="1">SUMIFS(OFFSET('BPC Data'!$F:$F,0,Summary!H$2),'BPC Data'!$E:$E,Summary!$D54,'BPC Data'!$B:$B,Summary!$C54)</f>
        <v>1375</v>
      </c>
      <c r="I54" s="61">
        <f ca="1">SUMIFS(OFFSET('BPC Data'!$F:$F,0,Summary!I$2),'BPC Data'!$E:$E,Summary!$D54,'BPC Data'!$B:$B,Summary!$C54)</f>
        <v>1514</v>
      </c>
      <c r="J54" s="54">
        <f ca="1">SUMIFS(OFFSET('BPC Data'!$F:$F,0,Summary!J$2),'BPC Data'!$E:$E,Summary!$D54,'BPC Data'!$B:$B,Summary!$C54)</f>
        <v>1360</v>
      </c>
      <c r="K54" s="61">
        <f ca="1">SUMIFS(OFFSET('BPC Data'!$F:$F,0,Summary!K$2),'BPC Data'!$E:$E,Summary!$D54,'BPC Data'!$B:$B,Summary!$C54)</f>
        <v>1409</v>
      </c>
      <c r="L54" s="54">
        <f ca="1">SUMIFS(OFFSET('BPC Data'!$F:$F,0,Summary!L$2),'BPC Data'!$E:$E,Summary!$D54,'BPC Data'!$B:$B,Summary!$C54)</f>
        <v>1405</v>
      </c>
      <c r="M54" s="61">
        <f ca="1">SUMIFS(OFFSET('BPC Data'!$F:$F,0,Summary!M$2),'BPC Data'!$E:$E,Summary!$D54,'BPC Data'!$B:$B,Summary!$C54)</f>
        <v>1433</v>
      </c>
      <c r="N54" s="54">
        <f ca="1">SUMIFS(OFFSET('BPC Data'!$F:$F,0,Summary!N$2),'BPC Data'!$E:$E,Summary!$D54,'BPC Data'!$B:$B,Summary!$C54)</f>
        <v>1548</v>
      </c>
      <c r="O54" s="18">
        <f t="shared" ca="1" si="12"/>
        <v>11737</v>
      </c>
    </row>
    <row r="55" spans="1:16" s="11" customFormat="1" x14ac:dyDescent="0.55000000000000004">
      <c r="A55" s="11">
        <f t="shared" ref="A55:A63" si="13">IF(AND(F55&lt;&gt;"",D55=""),A54+1,A54)</f>
        <v>5</v>
      </c>
      <c r="C55" t="str">
        <f>$F53</f>
        <v>Grand Terrace Health Care Ctr</v>
      </c>
      <c r="D55" s="3" t="str">
        <f t="shared" si="7"/>
        <v>A_BEDS_TOTAL - Total Available Beds</v>
      </c>
      <c r="F55" s="14" t="str">
        <f>_xll.EVDES(D55)</f>
        <v>Total Available Beds</v>
      </c>
      <c r="G55" s="61">
        <f ca="1">SUMIFS(OFFSET('BPC Data'!$F:$F,0,Summary!G$2),'BPC Data'!$E:$E,Summary!$D55,'BPC Data'!$B:$B,Summary!$C55)</f>
        <v>59</v>
      </c>
      <c r="H55" s="54">
        <f ca="1">SUMIFS(OFFSET('BPC Data'!$F:$F,0,Summary!H$2),'BPC Data'!$E:$E,Summary!$D55,'BPC Data'!$B:$B,Summary!$C55)</f>
        <v>59</v>
      </c>
      <c r="I55" s="61">
        <f ca="1">SUMIFS(OFFSET('BPC Data'!$F:$F,0,Summary!I$2),'BPC Data'!$E:$E,Summary!$D55,'BPC Data'!$B:$B,Summary!$C55)</f>
        <v>59</v>
      </c>
      <c r="J55" s="54">
        <f ca="1">SUMIFS(OFFSET('BPC Data'!$F:$F,0,Summary!J$2),'BPC Data'!$E:$E,Summary!$D55,'BPC Data'!$B:$B,Summary!$C55)</f>
        <v>59</v>
      </c>
      <c r="K55" s="61">
        <f ca="1">SUMIFS(OFFSET('BPC Data'!$F:$F,0,Summary!K$2),'BPC Data'!$E:$E,Summary!$D55,'BPC Data'!$B:$B,Summary!$C55)</f>
        <v>59</v>
      </c>
      <c r="L55" s="54">
        <f ca="1">SUMIFS(OFFSET('BPC Data'!$F:$F,0,Summary!L$2),'BPC Data'!$E:$E,Summary!$D55,'BPC Data'!$B:$B,Summary!$C55)</f>
        <v>59</v>
      </c>
      <c r="M55" s="61">
        <f ca="1">SUMIFS(OFFSET('BPC Data'!$F:$F,0,Summary!M$2),'BPC Data'!$E:$E,Summary!$D55,'BPC Data'!$B:$B,Summary!$C55)</f>
        <v>59</v>
      </c>
      <c r="N55" s="54">
        <f ca="1">SUMIFS(OFFSET('BPC Data'!$F:$F,0,Summary!N$2),'BPC Data'!$E:$E,Summary!$D55,'BPC Data'!$B:$B,Summary!$C55)</f>
        <v>59</v>
      </c>
      <c r="O55" s="18">
        <f ca="1">N55</f>
        <v>59</v>
      </c>
    </row>
    <row r="56" spans="1:16" s="11" customFormat="1" x14ac:dyDescent="0.55000000000000004">
      <c r="A56" s="11">
        <f t="shared" si="13"/>
        <v>5</v>
      </c>
      <c r="B56"/>
      <c r="C56" t="str">
        <f>$F53</f>
        <v>Grand Terrace Health Care Ctr</v>
      </c>
      <c r="D56" s="3" t="str">
        <f t="shared" si="7"/>
        <v>T_REVENUES - Total Tenant Revenues</v>
      </c>
      <c r="E56"/>
      <c r="F56" s="14" t="str">
        <f>_xll.EVDES(D56)</f>
        <v>Total Tenant Revenues</v>
      </c>
      <c r="G56" s="61">
        <f ca="1">SUMIFS(OFFSET('BPC Data'!$F:$F,0,Summary!G$2),'BPC Data'!$E:$E,Summary!$D56,'BPC Data'!$B:$B,Summary!$C56)</f>
        <v>898277.76</v>
      </c>
      <c r="H56" s="54">
        <f ca="1">SUMIFS(OFFSET('BPC Data'!$F:$F,0,Summary!H$2),'BPC Data'!$E:$E,Summary!$D56,'BPC Data'!$B:$B,Summary!$C56)</f>
        <v>755309.73</v>
      </c>
      <c r="I56" s="61">
        <f ca="1">SUMIFS(OFFSET('BPC Data'!$F:$F,0,Summary!I$2),'BPC Data'!$E:$E,Summary!$D56,'BPC Data'!$B:$B,Summary!$C56)</f>
        <v>839302</v>
      </c>
      <c r="J56" s="54">
        <f ca="1">SUMIFS(OFFSET('BPC Data'!$F:$F,0,Summary!J$2),'BPC Data'!$E:$E,Summary!$D56,'BPC Data'!$B:$B,Summary!$C56)</f>
        <v>696290.45</v>
      </c>
      <c r="K56" s="61">
        <f ca="1">SUMIFS(OFFSET('BPC Data'!$F:$F,0,Summary!K$2),'BPC Data'!$E:$E,Summary!$D56,'BPC Data'!$B:$B,Summary!$C56)</f>
        <v>736528.34</v>
      </c>
      <c r="L56" s="54">
        <f ca="1">SUMIFS(OFFSET('BPC Data'!$F:$F,0,Summary!L$2),'BPC Data'!$E:$E,Summary!$D56,'BPC Data'!$B:$B,Summary!$C56)</f>
        <v>763994.21</v>
      </c>
      <c r="M56" s="61">
        <f ca="1">SUMIFS(OFFSET('BPC Data'!$F:$F,0,Summary!M$2),'BPC Data'!$E:$E,Summary!$D56,'BPC Data'!$B:$B,Summary!$C56)</f>
        <v>806463.51</v>
      </c>
      <c r="N56" s="54">
        <f ca="1">SUMIFS(OFFSET('BPC Data'!$F:$F,0,Summary!N$2),'BPC Data'!$E:$E,Summary!$D56,'BPC Data'!$B:$B,Summary!$C56)</f>
        <v>739144.01</v>
      </c>
      <c r="O56" s="18">
        <f t="shared" ref="O56:O65" ca="1" si="14">SUM(G56:N56)</f>
        <v>6235310.0099999998</v>
      </c>
    </row>
    <row r="57" spans="1:16" s="11" customFormat="1" x14ac:dyDescent="0.55000000000000004">
      <c r="A57" s="11">
        <f t="shared" si="13"/>
        <v>5</v>
      </c>
      <c r="B57"/>
      <c r="C57" t="str">
        <f>$F53</f>
        <v>Grand Terrace Health Care Ctr</v>
      </c>
      <c r="D57" s="3" t="str">
        <f t="shared" si="7"/>
        <v>T_OPEX - Tenant Operating Expenses</v>
      </c>
      <c r="E57"/>
      <c r="F57" s="14" t="str">
        <f>_xll.EVDES(D57)</f>
        <v>Tenant Operating Expenses</v>
      </c>
      <c r="G57" s="61">
        <f ca="1">SUMIFS(OFFSET('BPC Data'!$F:$F,0,Summary!G$2),'BPC Data'!$E:$E,Summary!$D57,'BPC Data'!$B:$B,Summary!$C57)</f>
        <v>631533.09</v>
      </c>
      <c r="H57" s="54">
        <f ca="1">SUMIFS(OFFSET('BPC Data'!$F:$F,0,Summary!H$2),'BPC Data'!$E:$E,Summary!$D57,'BPC Data'!$B:$B,Summary!$C57)</f>
        <v>628743.24</v>
      </c>
      <c r="I57" s="61">
        <f ca="1">SUMIFS(OFFSET('BPC Data'!$F:$F,0,Summary!I$2),'BPC Data'!$E:$E,Summary!$D57,'BPC Data'!$B:$B,Summary!$C57)</f>
        <v>688761.06</v>
      </c>
      <c r="J57" s="54">
        <f ca="1">SUMIFS(OFFSET('BPC Data'!$F:$F,0,Summary!J$2),'BPC Data'!$E:$E,Summary!$D57,'BPC Data'!$B:$B,Summary!$C57)</f>
        <v>641537.81999999995</v>
      </c>
      <c r="K57" s="61">
        <f ca="1">SUMIFS(OFFSET('BPC Data'!$F:$F,0,Summary!K$2),'BPC Data'!$E:$E,Summary!$D57,'BPC Data'!$B:$B,Summary!$C57)</f>
        <v>625134.98</v>
      </c>
      <c r="L57" s="54">
        <f ca="1">SUMIFS(OFFSET('BPC Data'!$F:$F,0,Summary!L$2),'BPC Data'!$E:$E,Summary!$D57,'BPC Data'!$B:$B,Summary!$C57)</f>
        <v>594971.82999999996</v>
      </c>
      <c r="M57" s="61">
        <f ca="1">SUMIFS(OFFSET('BPC Data'!$F:$F,0,Summary!M$2),'BPC Data'!$E:$E,Summary!$D57,'BPC Data'!$B:$B,Summary!$C57)</f>
        <v>598979.03</v>
      </c>
      <c r="N57" s="54">
        <f ca="1">SUMIFS(OFFSET('BPC Data'!$F:$F,0,Summary!N$2),'BPC Data'!$E:$E,Summary!$D57,'BPC Data'!$B:$B,Summary!$C57)</f>
        <v>677793.82</v>
      </c>
      <c r="O57" s="18">
        <f t="shared" ca="1" si="14"/>
        <v>5087454.87</v>
      </c>
    </row>
    <row r="58" spans="1:16" s="11" customFormat="1" x14ac:dyDescent="0.55000000000000004">
      <c r="A58" s="11">
        <f t="shared" si="13"/>
        <v>5</v>
      </c>
      <c r="B58"/>
      <c r="C58" t="str">
        <f>$F53</f>
        <v>Grand Terrace Health Care Ctr</v>
      </c>
      <c r="D58" s="3" t="str">
        <f t="shared" si="7"/>
        <v>T_BAD_DEBT - Tenant Bad Debt Expense</v>
      </c>
      <c r="E58"/>
      <c r="F58" s="14" t="str">
        <f>_xll.EVDES(D58)</f>
        <v>Tenant Bad Debt Expense</v>
      </c>
      <c r="G58" s="61">
        <f ca="1">SUMIFS(OFFSET('BPC Data'!$F:$F,0,Summary!G$2),'BPC Data'!$E:$E,Summary!$D58,'BPC Data'!$B:$B,Summary!$C58)</f>
        <v>-18628.18</v>
      </c>
      <c r="H58" s="54">
        <f ca="1">SUMIFS(OFFSET('BPC Data'!$F:$F,0,Summary!H$2),'BPC Data'!$E:$E,Summary!$D58,'BPC Data'!$B:$B,Summary!$C58)</f>
        <v>-4161.6899999999996</v>
      </c>
      <c r="I58" s="61">
        <f ca="1">SUMIFS(OFFSET('BPC Data'!$F:$F,0,Summary!I$2),'BPC Data'!$E:$E,Summary!$D58,'BPC Data'!$B:$B,Summary!$C58)</f>
        <v>21856.23</v>
      </c>
      <c r="J58" s="54">
        <f ca="1">SUMIFS(OFFSET('BPC Data'!$F:$F,0,Summary!J$2),'BPC Data'!$E:$E,Summary!$D58,'BPC Data'!$B:$B,Summary!$C58)</f>
        <v>4426.32</v>
      </c>
      <c r="K58" s="61">
        <f ca="1">SUMIFS(OFFSET('BPC Data'!$F:$F,0,Summary!K$2),'BPC Data'!$E:$E,Summary!$D58,'BPC Data'!$B:$B,Summary!$C58)</f>
        <v>27091.09</v>
      </c>
      <c r="L58" s="54">
        <f ca="1">SUMIFS(OFFSET('BPC Data'!$F:$F,0,Summary!L$2),'BPC Data'!$E:$E,Summary!$D58,'BPC Data'!$B:$B,Summary!$C58)</f>
        <v>-12085.23</v>
      </c>
      <c r="M58" s="61">
        <f ca="1">SUMIFS(OFFSET('BPC Data'!$F:$F,0,Summary!M$2),'BPC Data'!$E:$E,Summary!$D58,'BPC Data'!$B:$B,Summary!$C58)</f>
        <v>1071.01</v>
      </c>
      <c r="N58" s="54">
        <f ca="1">SUMIFS(OFFSET('BPC Data'!$F:$F,0,Summary!N$2),'BPC Data'!$E:$E,Summary!$D58,'BPC Data'!$B:$B,Summary!$C58)</f>
        <v>35111.879999999997</v>
      </c>
      <c r="O58" s="18">
        <f t="shared" ca="1" si="14"/>
        <v>54681.429999999993</v>
      </c>
    </row>
    <row r="59" spans="1:16" s="11" customFormat="1" x14ac:dyDescent="0.55000000000000004">
      <c r="A59" s="11">
        <f t="shared" si="13"/>
        <v>5</v>
      </c>
      <c r="B59"/>
      <c r="C59" t="str">
        <f>$F53</f>
        <v>Grand Terrace Health Care Ctr</v>
      </c>
      <c r="D59" s="2" t="str">
        <f t="shared" si="7"/>
        <v>T_EBITDARM - EBITDARM</v>
      </c>
      <c r="E59"/>
      <c r="F59" s="14" t="str">
        <f>_xll.EVDES(D59)</f>
        <v>EBITDARM</v>
      </c>
      <c r="G59" s="61">
        <f ca="1">SUMIFS(OFFSET('BPC Data'!$F:$F,0,Summary!G$2),'BPC Data'!$E:$E,Summary!$D59,'BPC Data'!$B:$B,Summary!$C59)</f>
        <v>266744.67</v>
      </c>
      <c r="H59" s="54">
        <f ca="1">SUMIFS(OFFSET('BPC Data'!$F:$F,0,Summary!H$2),'BPC Data'!$E:$E,Summary!$D59,'BPC Data'!$B:$B,Summary!$C59)</f>
        <v>126566.49</v>
      </c>
      <c r="I59" s="61">
        <f ca="1">SUMIFS(OFFSET('BPC Data'!$F:$F,0,Summary!I$2),'BPC Data'!$E:$E,Summary!$D59,'BPC Data'!$B:$B,Summary!$C59)</f>
        <v>150540.94</v>
      </c>
      <c r="J59" s="54">
        <f ca="1">SUMIFS(OFFSET('BPC Data'!$F:$F,0,Summary!J$2),'BPC Data'!$E:$E,Summary!$D59,'BPC Data'!$B:$B,Summary!$C59)</f>
        <v>54752.629999999903</v>
      </c>
      <c r="K59" s="61">
        <f ca="1">SUMIFS(OFFSET('BPC Data'!$F:$F,0,Summary!K$2),'BPC Data'!$E:$E,Summary!$D59,'BPC Data'!$B:$B,Summary!$C59)</f>
        <v>111393.36</v>
      </c>
      <c r="L59" s="54">
        <f ca="1">SUMIFS(OFFSET('BPC Data'!$F:$F,0,Summary!L$2),'BPC Data'!$E:$E,Summary!$D59,'BPC Data'!$B:$B,Summary!$C59)</f>
        <v>169022.38</v>
      </c>
      <c r="M59" s="61">
        <f ca="1">SUMIFS(OFFSET('BPC Data'!$F:$F,0,Summary!M$2),'BPC Data'!$E:$E,Summary!$D59,'BPC Data'!$B:$B,Summary!$C59)</f>
        <v>207484.48</v>
      </c>
      <c r="N59" s="54">
        <f ca="1">SUMIFS(OFFSET('BPC Data'!$F:$F,0,Summary!N$2),'BPC Data'!$E:$E,Summary!$D59,'BPC Data'!$B:$B,Summary!$C59)</f>
        <v>61350.190000000097</v>
      </c>
      <c r="O59" s="18">
        <f t="shared" ca="1" si="14"/>
        <v>1147855.1400000001</v>
      </c>
    </row>
    <row r="60" spans="1:16" s="11" customFormat="1" x14ac:dyDescent="0.55000000000000004">
      <c r="A60" s="11">
        <f t="shared" si="13"/>
        <v>5</v>
      </c>
      <c r="B60"/>
      <c r="C60" t="str">
        <f>$F53</f>
        <v>Grand Terrace Health Care Ctr</v>
      </c>
      <c r="D60" s="2" t="str">
        <f t="shared" si="7"/>
        <v>T_MGMT_FEE - Tenant Management Fee - Actual</v>
      </c>
      <c r="E60"/>
      <c r="F60" s="14" t="str">
        <f>_xll.EVDES(D60)</f>
        <v>Tenant Management Fee - Actual</v>
      </c>
      <c r="G60" s="61">
        <f ca="1">SUMIFS(OFFSET('BPC Data'!$F:$F,0,Summary!G$2),'BPC Data'!$E:$E,Summary!$D60,'BPC Data'!$B:$B,Summary!$C60)</f>
        <v>36919</v>
      </c>
      <c r="H60" s="54">
        <f ca="1">SUMIFS(OFFSET('BPC Data'!$F:$F,0,Summary!H$2),'BPC Data'!$E:$E,Summary!$D60,'BPC Data'!$B:$B,Summary!$C60)</f>
        <v>44913</v>
      </c>
      <c r="I60" s="61">
        <f ca="1">SUMIFS(OFFSET('BPC Data'!$F:$F,0,Summary!I$2),'BPC Data'!$E:$E,Summary!$D60,'BPC Data'!$B:$B,Summary!$C60)</f>
        <v>36711</v>
      </c>
      <c r="J60" s="54">
        <f ca="1">SUMIFS(OFFSET('BPC Data'!$F:$F,0,Summary!J$2),'BPC Data'!$E:$E,Summary!$D60,'BPC Data'!$B:$B,Summary!$C60)</f>
        <v>40996</v>
      </c>
      <c r="K60" s="61">
        <f ca="1">SUMIFS(OFFSET('BPC Data'!$F:$F,0,Summary!K$2),'BPC Data'!$E:$E,Summary!$D60,'BPC Data'!$B:$B,Summary!$C60)</f>
        <v>34599</v>
      </c>
      <c r="L60" s="54">
        <f ca="1">SUMIFS(OFFSET('BPC Data'!$F:$F,0,Summary!L$2),'BPC Data'!$E:$E,Summary!$D60,'BPC Data'!$B:$B,Summary!$C60)</f>
        <v>36826</v>
      </c>
      <c r="M60" s="61">
        <f ca="1">SUMIFS(OFFSET('BPC Data'!$F:$F,0,Summary!M$2),'BPC Data'!$E:$E,Summary!$D60,'BPC Data'!$B:$B,Summary!$C60)</f>
        <v>35736</v>
      </c>
      <c r="N60" s="54">
        <f ca="1">SUMIFS(OFFSET('BPC Data'!$F:$F,0,Summary!N$2),'BPC Data'!$E:$E,Summary!$D60,'BPC Data'!$B:$B,Summary!$C60)</f>
        <v>40323</v>
      </c>
      <c r="O60" s="18">
        <f t="shared" ca="1" si="14"/>
        <v>307023</v>
      </c>
    </row>
    <row r="61" spans="1:16" s="11" customFormat="1" x14ac:dyDescent="0.55000000000000004">
      <c r="A61" s="11">
        <f t="shared" si="13"/>
        <v>5</v>
      </c>
      <c r="B61"/>
      <c r="C61" t="str">
        <f>$F53</f>
        <v>Grand Terrace Health Care Ctr</v>
      </c>
      <c r="D61" s="1" t="str">
        <f t="shared" si="7"/>
        <v>T_EBITDAR - EBITDAR</v>
      </c>
      <c r="E61"/>
      <c r="F61" s="14" t="str">
        <f>_xll.EVDES(D61)</f>
        <v>EBITDAR</v>
      </c>
      <c r="G61" s="61">
        <f ca="1">SUMIFS(OFFSET('BPC Data'!$F:$F,0,Summary!G$2),'BPC Data'!$E:$E,Summary!$D61,'BPC Data'!$B:$B,Summary!$C61)</f>
        <v>229825.67</v>
      </c>
      <c r="H61" s="54">
        <f ca="1">SUMIFS(OFFSET('BPC Data'!$F:$F,0,Summary!H$2),'BPC Data'!$E:$E,Summary!$D61,'BPC Data'!$B:$B,Summary!$C61)</f>
        <v>81653.489999999903</v>
      </c>
      <c r="I61" s="61">
        <f ca="1">SUMIFS(OFFSET('BPC Data'!$F:$F,0,Summary!I$2),'BPC Data'!$E:$E,Summary!$D61,'BPC Data'!$B:$B,Summary!$C61)</f>
        <v>113829.94</v>
      </c>
      <c r="J61" s="54">
        <f ca="1">SUMIFS(OFFSET('BPC Data'!$F:$F,0,Summary!J$2),'BPC Data'!$E:$E,Summary!$D61,'BPC Data'!$B:$B,Summary!$C61)</f>
        <v>13756.629999999899</v>
      </c>
      <c r="K61" s="61">
        <f ca="1">SUMIFS(OFFSET('BPC Data'!$F:$F,0,Summary!K$2),'BPC Data'!$E:$E,Summary!$D61,'BPC Data'!$B:$B,Summary!$C61)</f>
        <v>76794.359999999797</v>
      </c>
      <c r="L61" s="54">
        <f ca="1">SUMIFS(OFFSET('BPC Data'!$F:$F,0,Summary!L$2),'BPC Data'!$E:$E,Summary!$D61,'BPC Data'!$B:$B,Summary!$C61)</f>
        <v>132196.38</v>
      </c>
      <c r="M61" s="61">
        <f ca="1">SUMIFS(OFFSET('BPC Data'!$F:$F,0,Summary!M$2),'BPC Data'!$E:$E,Summary!$D61,'BPC Data'!$B:$B,Summary!$C61)</f>
        <v>171748.48000000001</v>
      </c>
      <c r="N61" s="54">
        <f ca="1">SUMIFS(OFFSET('BPC Data'!$F:$F,0,Summary!N$2),'BPC Data'!$E:$E,Summary!$D61,'BPC Data'!$B:$B,Summary!$C61)</f>
        <v>21027.190000000101</v>
      </c>
      <c r="O61" s="18">
        <f t="shared" ca="1" si="14"/>
        <v>840832.13999999966</v>
      </c>
    </row>
    <row r="62" spans="1:16" s="11" customFormat="1" x14ac:dyDescent="0.55000000000000004">
      <c r="A62" s="11">
        <f t="shared" si="13"/>
        <v>5</v>
      </c>
      <c r="B62"/>
      <c r="C62" t="str">
        <f>$F53</f>
        <v>Grand Terrace Health Care Ctr</v>
      </c>
      <c r="D62" s="1" t="str">
        <f t="shared" si="7"/>
        <v>T_RENT_EXP - Tenant Rent Expense</v>
      </c>
      <c r="E62"/>
      <c r="F62" s="14" t="str">
        <f>_xll.EVDES(D62)</f>
        <v>Tenant Rent Expense</v>
      </c>
      <c r="G62" s="61">
        <f ca="1">SUMIFS(OFFSET('BPC Data'!$F:$F,0,Summary!G$2),'BPC Data'!$E:$E,Summary!$D62,'BPC Data'!$B:$B,Summary!$C62)</f>
        <v>71200.740000000005</v>
      </c>
      <c r="H62" s="54">
        <f ca="1">SUMIFS(OFFSET('BPC Data'!$F:$F,0,Summary!H$2),'BPC Data'!$E:$E,Summary!$D62,'BPC Data'!$B:$B,Summary!$C62)</f>
        <v>71200.740000000005</v>
      </c>
      <c r="I62" s="61">
        <f ca="1">SUMIFS(OFFSET('BPC Data'!$F:$F,0,Summary!I$2),'BPC Data'!$E:$E,Summary!$D62,'BPC Data'!$B:$B,Summary!$C62)</f>
        <v>71200.740000000005</v>
      </c>
      <c r="J62" s="54">
        <f ca="1">SUMIFS(OFFSET('BPC Data'!$F:$F,0,Summary!J$2),'BPC Data'!$E:$E,Summary!$D62,'BPC Data'!$B:$B,Summary!$C62)</f>
        <v>71200.740000000005</v>
      </c>
      <c r="K62" s="61">
        <f ca="1">SUMIFS(OFFSET('BPC Data'!$F:$F,0,Summary!K$2),'BPC Data'!$E:$E,Summary!$D62,'BPC Data'!$B:$B,Summary!$C62)</f>
        <v>71200.740000000005</v>
      </c>
      <c r="L62" s="54">
        <f ca="1">SUMIFS(OFFSET('BPC Data'!$F:$F,0,Summary!L$2),'BPC Data'!$E:$E,Summary!$D62,'BPC Data'!$B:$B,Summary!$C62)</f>
        <v>71200.740000000005</v>
      </c>
      <c r="M62" s="61">
        <f ca="1">SUMIFS(OFFSET('BPC Data'!$F:$F,0,Summary!M$2),'BPC Data'!$E:$E,Summary!$D62,'BPC Data'!$B:$B,Summary!$C62)</f>
        <v>71200.740000000005</v>
      </c>
      <c r="N62" s="54">
        <f ca="1">SUMIFS(OFFSET('BPC Data'!$F:$F,0,Summary!N$2),'BPC Data'!$E:$E,Summary!$D62,'BPC Data'!$B:$B,Summary!$C62)</f>
        <v>71200.740000000005</v>
      </c>
      <c r="O62" s="18">
        <f t="shared" ca="1" si="14"/>
        <v>569605.92000000004</v>
      </c>
    </row>
    <row r="63" spans="1:16" s="11" customFormat="1" x14ac:dyDescent="0.55000000000000004">
      <c r="A63" s="11">
        <f t="shared" si="13"/>
        <v>5</v>
      </c>
      <c r="B63"/>
      <c r="C63"/>
      <c r="D63" s="1" t="str">
        <f t="shared" si="7"/>
        <v>x</v>
      </c>
      <c r="E63"/>
      <c r="F63" s="14" t="s">
        <v>0</v>
      </c>
      <c r="G63" s="62">
        <f ca="1">SUMIFS(OFFSET('BPC Data'!$F:$F,0,Summary!G$2),'BPC Data'!$E:$E,Summary!$D63,'BPC Data'!$B:$B,Summary!$C63)</f>
        <v>0</v>
      </c>
      <c r="H63" s="55">
        <f ca="1">SUMIFS(OFFSET('BPC Data'!$F:$F,0,Summary!H$2),'BPC Data'!$E:$E,Summary!$D63,'BPC Data'!$B:$B,Summary!$C63)</f>
        <v>0</v>
      </c>
      <c r="I63" s="62">
        <f ca="1">SUMIFS(OFFSET('BPC Data'!$F:$F,0,Summary!I$2),'BPC Data'!$E:$E,Summary!$D63,'BPC Data'!$B:$B,Summary!$C63)</f>
        <v>0</v>
      </c>
      <c r="J63" s="55">
        <f ca="1">SUMIFS(OFFSET('BPC Data'!$F:$F,0,Summary!J$2),'BPC Data'!$E:$E,Summary!$D63,'BPC Data'!$B:$B,Summary!$C63)</f>
        <v>0</v>
      </c>
      <c r="K63" s="62">
        <f ca="1">SUMIFS(OFFSET('BPC Data'!$F:$F,0,Summary!K$2),'BPC Data'!$E:$E,Summary!$D63,'BPC Data'!$B:$B,Summary!$C63)</f>
        <v>0</v>
      </c>
      <c r="L63" s="55">
        <f ca="1">SUMIFS(OFFSET('BPC Data'!$F:$F,0,Summary!L$2),'BPC Data'!$E:$E,Summary!$D63,'BPC Data'!$B:$B,Summary!$C63)</f>
        <v>0</v>
      </c>
      <c r="M63" s="62">
        <f ca="1">SUMIFS(OFFSET('BPC Data'!$F:$F,0,Summary!M$2),'BPC Data'!$E:$E,Summary!$D63,'BPC Data'!$B:$B,Summary!$C63)</f>
        <v>0</v>
      </c>
      <c r="N63" s="55">
        <f ca="1">SUMIFS(OFFSET('BPC Data'!$F:$F,0,Summary!N$2),'BPC Data'!$E:$E,Summary!$D63,'BPC Data'!$B:$B,Summary!$C63)</f>
        <v>0</v>
      </c>
      <c r="O63" s="18">
        <f t="shared" ca="1" si="14"/>
        <v>0</v>
      </c>
    </row>
    <row r="64" spans="1:16" s="11" customFormat="1" x14ac:dyDescent="0.55000000000000004">
      <c r="A64" s="11">
        <f>IF(AND(D64&lt;&gt;"",C64=""),A63+1,A63)</f>
        <v>6</v>
      </c>
      <c r="B64" s="4"/>
      <c r="C64" s="4"/>
      <c r="D64" s="4" t="str">
        <f t="shared" si="7"/>
        <v>x</v>
      </c>
      <c r="E64" s="4"/>
      <c r="F64" s="13" t="str">
        <f>INDEX(PropertyList!$D:$D,MATCH(Summary!$A64,PropertyList!$C:$C,0))</f>
        <v>Pacifica Nursing &amp; Rehab Ctr</v>
      </c>
      <c r="G64" s="59">
        <f ca="1">SUMIFS(OFFSET('BPC Data'!$F:$F,0,Summary!G$2),'BPC Data'!$E:$E,Summary!$D64,'BPC Data'!$B:$B,Summary!$C64)</f>
        <v>0</v>
      </c>
      <c r="H64" s="52">
        <f ca="1">SUMIFS(OFFSET('BPC Data'!$F:$F,0,Summary!H$2),'BPC Data'!$E:$E,Summary!$D64,'BPC Data'!$B:$B,Summary!$C64)</f>
        <v>0</v>
      </c>
      <c r="I64" s="59">
        <f ca="1">SUMIFS(OFFSET('BPC Data'!$F:$F,0,Summary!I$2),'BPC Data'!$E:$E,Summary!$D64,'BPC Data'!$B:$B,Summary!$C64)</f>
        <v>0</v>
      </c>
      <c r="J64" s="52">
        <f ca="1">SUMIFS(OFFSET('BPC Data'!$F:$F,0,Summary!J$2),'BPC Data'!$E:$E,Summary!$D64,'BPC Data'!$B:$B,Summary!$C64)</f>
        <v>0</v>
      </c>
      <c r="K64" s="59">
        <f ca="1">SUMIFS(OFFSET('BPC Data'!$F:$F,0,Summary!K$2),'BPC Data'!$E:$E,Summary!$D64,'BPC Data'!$B:$B,Summary!$C64)</f>
        <v>0</v>
      </c>
      <c r="L64" s="52">
        <f ca="1">SUMIFS(OFFSET('BPC Data'!$F:$F,0,Summary!L$2),'BPC Data'!$E:$E,Summary!$D64,'BPC Data'!$B:$B,Summary!$C64)</f>
        <v>0</v>
      </c>
      <c r="M64" s="59">
        <f ca="1">SUMIFS(OFFSET('BPC Data'!$F:$F,0,Summary!M$2),'BPC Data'!$E:$E,Summary!$D64,'BPC Data'!$B:$B,Summary!$C64)</f>
        <v>0</v>
      </c>
      <c r="N64" s="52">
        <f ca="1">SUMIFS(OFFSET('BPC Data'!$F:$F,0,Summary!N$2),'BPC Data'!$E:$E,Summary!$D64,'BPC Data'!$B:$B,Summary!$C64)</f>
        <v>0</v>
      </c>
      <c r="O64" s="18">
        <f t="shared" ca="1" si="14"/>
        <v>0</v>
      </c>
      <c r="P64" s="44"/>
    </row>
    <row r="65" spans="1:17" s="11" customFormat="1" x14ac:dyDescent="0.55000000000000004">
      <c r="A65" s="11">
        <f>IF(AND(F65&lt;&gt;"",D65=""),A64+1,A64)</f>
        <v>6</v>
      </c>
      <c r="C65" t="str">
        <f>$F64</f>
        <v>Pacifica Nursing &amp; Rehab Ctr</v>
      </c>
      <c r="D65" s="3" t="str">
        <f t="shared" si="7"/>
        <v>PAY_PAT_DAYS - Total Payor Patient Days</v>
      </c>
      <c r="F65" s="14" t="str">
        <f>_xll.EVDES(D65)</f>
        <v>Total Payor Patient Days</v>
      </c>
      <c r="G65" s="60">
        <f ca="1">SUMIFS(OFFSET('BPC Data'!$F:$F,0,Summary!G$2),'BPC Data'!$E:$E,Summary!$D65,'BPC Data'!$B:$B,Summary!$C65)</f>
        <v>1498</v>
      </c>
      <c r="H65" s="53">
        <f ca="1">SUMIFS(OFFSET('BPC Data'!$F:$F,0,Summary!H$2),'BPC Data'!$E:$E,Summary!$D65,'BPC Data'!$B:$B,Summary!$C65)</f>
        <v>1409</v>
      </c>
      <c r="I65" s="60">
        <f ca="1">SUMIFS(OFFSET('BPC Data'!$F:$F,0,Summary!I$2),'BPC Data'!$E:$E,Summary!$D65,'BPC Data'!$B:$B,Summary!$C65)</f>
        <v>1397</v>
      </c>
      <c r="J65" s="53">
        <f ca="1">SUMIFS(OFFSET('BPC Data'!$F:$F,0,Summary!J$2),'BPC Data'!$E:$E,Summary!$D65,'BPC Data'!$B:$B,Summary!$C65)</f>
        <v>1433</v>
      </c>
      <c r="K65" s="60">
        <f ca="1">SUMIFS(OFFSET('BPC Data'!$F:$F,0,Summary!K$2),'BPC Data'!$E:$E,Summary!$D65,'BPC Data'!$B:$B,Summary!$C65)</f>
        <v>1391</v>
      </c>
      <c r="L65" s="53">
        <f ca="1">SUMIFS(OFFSET('BPC Data'!$F:$F,0,Summary!L$2),'BPC Data'!$E:$E,Summary!$D65,'BPC Data'!$B:$B,Summary!$C65)</f>
        <v>1421</v>
      </c>
      <c r="M65" s="60">
        <f ca="1">SUMIFS(OFFSET('BPC Data'!$F:$F,0,Summary!M$2),'BPC Data'!$E:$E,Summary!$D65,'BPC Data'!$B:$B,Summary!$C65)</f>
        <v>1593</v>
      </c>
      <c r="N65" s="53">
        <f ca="1">SUMIFS(OFFSET('BPC Data'!$F:$F,0,Summary!N$2),'BPC Data'!$E:$E,Summary!$D65,'BPC Data'!$B:$B,Summary!$C65)</f>
        <v>1466</v>
      </c>
      <c r="O65" s="18">
        <f t="shared" ca="1" si="14"/>
        <v>11608</v>
      </c>
      <c r="P65" s="44"/>
      <c r="Q65" s="43"/>
    </row>
    <row r="66" spans="1:17" s="11" customFormat="1" x14ac:dyDescent="0.55000000000000004">
      <c r="A66" s="11">
        <f t="shared" ref="A66:A74" si="15">IF(AND(F66&lt;&gt;"",D66=""),A65+1,A65)</f>
        <v>6</v>
      </c>
      <c r="C66" t="str">
        <f>$F64</f>
        <v>Pacifica Nursing &amp; Rehab Ctr</v>
      </c>
      <c r="D66" s="3" t="str">
        <f t="shared" si="7"/>
        <v>A_BEDS_TOTAL - Total Available Beds</v>
      </c>
      <c r="F66" s="14" t="str">
        <f>_xll.EVDES(D66)</f>
        <v>Total Available Beds</v>
      </c>
      <c r="G66" s="60">
        <f ca="1">SUMIFS(OFFSET('BPC Data'!$F:$F,0,Summary!G$2),'BPC Data'!$E:$E,Summary!$D66,'BPC Data'!$B:$B,Summary!$C66)</f>
        <v>68</v>
      </c>
      <c r="H66" s="53">
        <f ca="1">SUMIFS(OFFSET('BPC Data'!$F:$F,0,Summary!H$2),'BPC Data'!$E:$E,Summary!$D66,'BPC Data'!$B:$B,Summary!$C66)</f>
        <v>68</v>
      </c>
      <c r="I66" s="60">
        <f ca="1">SUMIFS(OFFSET('BPC Data'!$F:$F,0,Summary!I$2),'BPC Data'!$E:$E,Summary!$D66,'BPC Data'!$B:$B,Summary!$C66)</f>
        <v>68</v>
      </c>
      <c r="J66" s="53">
        <f ca="1">SUMIFS(OFFSET('BPC Data'!$F:$F,0,Summary!J$2),'BPC Data'!$E:$E,Summary!$D66,'BPC Data'!$B:$B,Summary!$C66)</f>
        <v>68</v>
      </c>
      <c r="K66" s="60">
        <f ca="1">SUMIFS(OFFSET('BPC Data'!$F:$F,0,Summary!K$2),'BPC Data'!$E:$E,Summary!$D66,'BPC Data'!$B:$B,Summary!$C66)</f>
        <v>68</v>
      </c>
      <c r="L66" s="53">
        <f ca="1">SUMIFS(OFFSET('BPC Data'!$F:$F,0,Summary!L$2),'BPC Data'!$E:$E,Summary!$D66,'BPC Data'!$B:$B,Summary!$C66)</f>
        <v>68</v>
      </c>
      <c r="M66" s="60">
        <f ca="1">SUMIFS(OFFSET('BPC Data'!$F:$F,0,Summary!M$2),'BPC Data'!$E:$E,Summary!$D66,'BPC Data'!$B:$B,Summary!$C66)</f>
        <v>68</v>
      </c>
      <c r="N66" s="53">
        <f ca="1">SUMIFS(OFFSET('BPC Data'!$F:$F,0,Summary!N$2),'BPC Data'!$E:$E,Summary!$D66,'BPC Data'!$B:$B,Summary!$C66)</f>
        <v>68</v>
      </c>
      <c r="O66" s="18">
        <f ca="1">N66</f>
        <v>68</v>
      </c>
      <c r="P66" s="44"/>
      <c r="Q66" s="43"/>
    </row>
    <row r="67" spans="1:17" s="11" customFormat="1" x14ac:dyDescent="0.55000000000000004">
      <c r="A67" s="11">
        <f t="shared" si="15"/>
        <v>6</v>
      </c>
      <c r="B67"/>
      <c r="C67" t="str">
        <f>$F64</f>
        <v>Pacifica Nursing &amp; Rehab Ctr</v>
      </c>
      <c r="D67" s="3" t="str">
        <f t="shared" si="7"/>
        <v>T_REVENUES - Total Tenant Revenues</v>
      </c>
      <c r="E67"/>
      <c r="F67" s="14" t="str">
        <f>_xll.EVDES(D67)</f>
        <v>Total Tenant Revenues</v>
      </c>
      <c r="G67" s="60">
        <f ca="1">SUMIFS(OFFSET('BPC Data'!$F:$F,0,Summary!G$2),'BPC Data'!$E:$E,Summary!$D67,'BPC Data'!$B:$B,Summary!$C67)</f>
        <v>1336591.25</v>
      </c>
      <c r="H67" s="53">
        <f ca="1">SUMIFS(OFFSET('BPC Data'!$F:$F,0,Summary!H$2),'BPC Data'!$E:$E,Summary!$D67,'BPC Data'!$B:$B,Summary!$C67)</f>
        <v>1393805.04</v>
      </c>
      <c r="I67" s="60">
        <f ca="1">SUMIFS(OFFSET('BPC Data'!$F:$F,0,Summary!I$2),'BPC Data'!$E:$E,Summary!$D67,'BPC Data'!$B:$B,Summary!$C67)</f>
        <v>1391186.66</v>
      </c>
      <c r="J67" s="53">
        <f ca="1">SUMIFS(OFFSET('BPC Data'!$F:$F,0,Summary!J$2),'BPC Data'!$E:$E,Summary!$D67,'BPC Data'!$B:$B,Summary!$C67)</f>
        <v>1419987.65</v>
      </c>
      <c r="K67" s="60">
        <f ca="1">SUMIFS(OFFSET('BPC Data'!$F:$F,0,Summary!K$2),'BPC Data'!$E:$E,Summary!$D67,'BPC Data'!$B:$B,Summary!$C67)</f>
        <v>1292986.03</v>
      </c>
      <c r="L67" s="53">
        <f ca="1">SUMIFS(OFFSET('BPC Data'!$F:$F,0,Summary!L$2),'BPC Data'!$E:$E,Summary!$D67,'BPC Data'!$B:$B,Summary!$C67)</f>
        <v>1371538.94</v>
      </c>
      <c r="M67" s="60">
        <f ca="1">SUMIFS(OFFSET('BPC Data'!$F:$F,0,Summary!M$2),'BPC Data'!$E:$E,Summary!$D67,'BPC Data'!$B:$B,Summary!$C67)</f>
        <v>1383657.38</v>
      </c>
      <c r="N67" s="53">
        <f ca="1">SUMIFS(OFFSET('BPC Data'!$F:$F,0,Summary!N$2),'BPC Data'!$E:$E,Summary!$D67,'BPC Data'!$B:$B,Summary!$C67)</f>
        <v>1289769.25</v>
      </c>
      <c r="O67" s="18">
        <f t="shared" ref="O67:O76" ca="1" si="16">SUM(G67:N67)</f>
        <v>10879522.199999999</v>
      </c>
      <c r="P67" s="44"/>
      <c r="Q67" s="43"/>
    </row>
    <row r="68" spans="1:17" s="11" customFormat="1" x14ac:dyDescent="0.55000000000000004">
      <c r="A68" s="11">
        <f t="shared" si="15"/>
        <v>6</v>
      </c>
      <c r="B68"/>
      <c r="C68" t="str">
        <f>$F64</f>
        <v>Pacifica Nursing &amp; Rehab Ctr</v>
      </c>
      <c r="D68" s="3" t="str">
        <f t="shared" si="7"/>
        <v>T_OPEX - Tenant Operating Expenses</v>
      </c>
      <c r="E68"/>
      <c r="F68" s="14" t="str">
        <f>_xll.EVDES(D68)</f>
        <v>Tenant Operating Expenses</v>
      </c>
      <c r="G68" s="60">
        <f ca="1">SUMIFS(OFFSET('BPC Data'!$F:$F,0,Summary!G$2),'BPC Data'!$E:$E,Summary!$D68,'BPC Data'!$B:$B,Summary!$C68)</f>
        <v>1065913.48</v>
      </c>
      <c r="H68" s="53">
        <f ca="1">SUMIFS(OFFSET('BPC Data'!$F:$F,0,Summary!H$2),'BPC Data'!$E:$E,Summary!$D68,'BPC Data'!$B:$B,Summary!$C68)</f>
        <v>1133015.23</v>
      </c>
      <c r="I68" s="60">
        <f ca="1">SUMIFS(OFFSET('BPC Data'!$F:$F,0,Summary!I$2),'BPC Data'!$E:$E,Summary!$D68,'BPC Data'!$B:$B,Summary!$C68)</f>
        <v>1072477.8400000001</v>
      </c>
      <c r="J68" s="53">
        <f ca="1">SUMIFS(OFFSET('BPC Data'!$F:$F,0,Summary!J$2),'BPC Data'!$E:$E,Summary!$D68,'BPC Data'!$B:$B,Summary!$C68)</f>
        <v>1108308.98</v>
      </c>
      <c r="K68" s="60">
        <f ca="1">SUMIFS(OFFSET('BPC Data'!$F:$F,0,Summary!K$2),'BPC Data'!$E:$E,Summary!$D68,'BPC Data'!$B:$B,Summary!$C68)</f>
        <v>1071728.46</v>
      </c>
      <c r="L68" s="53">
        <f ca="1">SUMIFS(OFFSET('BPC Data'!$F:$F,0,Summary!L$2),'BPC Data'!$E:$E,Summary!$D68,'BPC Data'!$B:$B,Summary!$C68)</f>
        <v>1109852.5</v>
      </c>
      <c r="M68" s="60">
        <f ca="1">SUMIFS(OFFSET('BPC Data'!$F:$F,0,Summary!M$2),'BPC Data'!$E:$E,Summary!$D68,'BPC Data'!$B:$B,Summary!$C68)</f>
        <v>1143840.67</v>
      </c>
      <c r="N68" s="53">
        <f ca="1">SUMIFS(OFFSET('BPC Data'!$F:$F,0,Summary!N$2),'BPC Data'!$E:$E,Summary!$D68,'BPC Data'!$B:$B,Summary!$C68)</f>
        <v>1071223.81</v>
      </c>
      <c r="O68" s="18">
        <f t="shared" ca="1" si="16"/>
        <v>8776360.9699999988</v>
      </c>
      <c r="P68" s="44"/>
      <c r="Q68" s="43"/>
    </row>
    <row r="69" spans="1:17" s="11" customFormat="1" x14ac:dyDescent="0.55000000000000004">
      <c r="A69" s="11">
        <f t="shared" si="15"/>
        <v>6</v>
      </c>
      <c r="B69"/>
      <c r="C69" t="str">
        <f>$F64</f>
        <v>Pacifica Nursing &amp; Rehab Ctr</v>
      </c>
      <c r="D69" s="3" t="str">
        <f t="shared" si="7"/>
        <v>T_BAD_DEBT - Tenant Bad Debt Expense</v>
      </c>
      <c r="E69"/>
      <c r="F69" s="14" t="str">
        <f>_xll.EVDES(D69)</f>
        <v>Tenant Bad Debt Expense</v>
      </c>
      <c r="G69" s="60">
        <f ca="1">SUMIFS(OFFSET('BPC Data'!$F:$F,0,Summary!G$2),'BPC Data'!$E:$E,Summary!$D69,'BPC Data'!$B:$B,Summary!$C69)</f>
        <v>-7156.34</v>
      </c>
      <c r="H69" s="53">
        <f ca="1">SUMIFS(OFFSET('BPC Data'!$F:$F,0,Summary!H$2),'BPC Data'!$E:$E,Summary!$D69,'BPC Data'!$B:$B,Summary!$C69)</f>
        <v>27741.61</v>
      </c>
      <c r="I69" s="60">
        <f ca="1">SUMIFS(OFFSET('BPC Data'!$F:$F,0,Summary!I$2),'BPC Data'!$E:$E,Summary!$D69,'BPC Data'!$B:$B,Summary!$C69)</f>
        <v>-19747.84</v>
      </c>
      <c r="J69" s="53">
        <f ca="1">SUMIFS(OFFSET('BPC Data'!$F:$F,0,Summary!J$2),'BPC Data'!$E:$E,Summary!$D69,'BPC Data'!$B:$B,Summary!$C69)</f>
        <v>-2902.65</v>
      </c>
      <c r="K69" s="60">
        <f ca="1">SUMIFS(OFFSET('BPC Data'!$F:$F,0,Summary!K$2),'BPC Data'!$E:$E,Summary!$D69,'BPC Data'!$B:$B,Summary!$C69)</f>
        <v>38599.79</v>
      </c>
      <c r="L69" s="53">
        <f ca="1">SUMIFS(OFFSET('BPC Data'!$F:$F,0,Summary!L$2),'BPC Data'!$E:$E,Summary!$D69,'BPC Data'!$B:$B,Summary!$C69)</f>
        <v>3197.66</v>
      </c>
      <c r="M69" s="60">
        <f ca="1">SUMIFS(OFFSET('BPC Data'!$F:$F,0,Summary!M$2),'BPC Data'!$E:$E,Summary!$D69,'BPC Data'!$B:$B,Summary!$C69)</f>
        <v>21053</v>
      </c>
      <c r="N69" s="53">
        <f ca="1">SUMIFS(OFFSET('BPC Data'!$F:$F,0,Summary!N$2),'BPC Data'!$E:$E,Summary!$D69,'BPC Data'!$B:$B,Summary!$C69)</f>
        <v>-21760.2</v>
      </c>
      <c r="O69" s="18">
        <f t="shared" ca="1" si="16"/>
        <v>39025.03</v>
      </c>
      <c r="P69" s="44"/>
      <c r="Q69" s="43"/>
    </row>
    <row r="70" spans="1:17" s="11" customFormat="1" x14ac:dyDescent="0.55000000000000004">
      <c r="A70" s="11">
        <f t="shared" si="15"/>
        <v>6</v>
      </c>
      <c r="B70"/>
      <c r="C70" t="str">
        <f>$F64</f>
        <v>Pacifica Nursing &amp; Rehab Ctr</v>
      </c>
      <c r="D70" s="2" t="str">
        <f t="shared" si="7"/>
        <v>T_EBITDARM - EBITDARM</v>
      </c>
      <c r="E70"/>
      <c r="F70" s="14" t="str">
        <f>_xll.EVDES(D70)</f>
        <v>EBITDARM</v>
      </c>
      <c r="G70" s="60">
        <f ca="1">SUMIFS(OFFSET('BPC Data'!$F:$F,0,Summary!G$2),'BPC Data'!$E:$E,Summary!$D70,'BPC Data'!$B:$B,Summary!$C70)</f>
        <v>270677.77</v>
      </c>
      <c r="H70" s="53">
        <f ca="1">SUMIFS(OFFSET('BPC Data'!$F:$F,0,Summary!H$2),'BPC Data'!$E:$E,Summary!$D70,'BPC Data'!$B:$B,Summary!$C70)</f>
        <v>260789.81</v>
      </c>
      <c r="I70" s="60">
        <f ca="1">SUMIFS(OFFSET('BPC Data'!$F:$F,0,Summary!I$2),'BPC Data'!$E:$E,Summary!$D70,'BPC Data'!$B:$B,Summary!$C70)</f>
        <v>318708.82</v>
      </c>
      <c r="J70" s="53">
        <f ca="1">SUMIFS(OFFSET('BPC Data'!$F:$F,0,Summary!J$2),'BPC Data'!$E:$E,Summary!$D70,'BPC Data'!$B:$B,Summary!$C70)</f>
        <v>311678.67</v>
      </c>
      <c r="K70" s="60">
        <f ca="1">SUMIFS(OFFSET('BPC Data'!$F:$F,0,Summary!K$2),'BPC Data'!$E:$E,Summary!$D70,'BPC Data'!$B:$B,Summary!$C70)</f>
        <v>221257.57</v>
      </c>
      <c r="L70" s="53">
        <f ca="1">SUMIFS(OFFSET('BPC Data'!$F:$F,0,Summary!L$2),'BPC Data'!$E:$E,Summary!$D70,'BPC Data'!$B:$B,Summary!$C70)</f>
        <v>261686.44</v>
      </c>
      <c r="M70" s="60">
        <f ca="1">SUMIFS(OFFSET('BPC Data'!$F:$F,0,Summary!M$2),'BPC Data'!$E:$E,Summary!$D70,'BPC Data'!$B:$B,Summary!$C70)</f>
        <v>239816.71</v>
      </c>
      <c r="N70" s="53">
        <f ca="1">SUMIFS(OFFSET('BPC Data'!$F:$F,0,Summary!N$2),'BPC Data'!$E:$E,Summary!$D70,'BPC Data'!$B:$B,Summary!$C70)</f>
        <v>218545.44</v>
      </c>
      <c r="O70" s="18">
        <f t="shared" ca="1" si="16"/>
        <v>2103161.23</v>
      </c>
      <c r="P70" s="44"/>
      <c r="Q70" s="43"/>
    </row>
    <row r="71" spans="1:17" s="11" customFormat="1" x14ac:dyDescent="0.55000000000000004">
      <c r="A71" s="11">
        <f t="shared" si="15"/>
        <v>6</v>
      </c>
      <c r="B71"/>
      <c r="C71" t="str">
        <f>$F64</f>
        <v>Pacifica Nursing &amp; Rehab Ctr</v>
      </c>
      <c r="D71" s="2" t="str">
        <f t="shared" si="7"/>
        <v>T_MGMT_FEE - Tenant Management Fee - Actual</v>
      </c>
      <c r="E71"/>
      <c r="F71" s="14" t="str">
        <f>_xll.EVDES(D71)</f>
        <v>Tenant Management Fee - Actual</v>
      </c>
      <c r="G71" s="60">
        <f ca="1">SUMIFS(OFFSET('BPC Data'!$F:$F,0,Summary!G$2),'BPC Data'!$E:$E,Summary!$D71,'BPC Data'!$B:$B,Summary!$C71)</f>
        <v>64810</v>
      </c>
      <c r="H71" s="53">
        <f ca="1">SUMIFS(OFFSET('BPC Data'!$F:$F,0,Summary!H$2),'BPC Data'!$E:$E,Summary!$D71,'BPC Data'!$B:$B,Summary!$C71)</f>
        <v>66829</v>
      </c>
      <c r="I71" s="60">
        <f ca="1">SUMIFS(OFFSET('BPC Data'!$F:$F,0,Summary!I$2),'BPC Data'!$E:$E,Summary!$D71,'BPC Data'!$B:$B,Summary!$C71)</f>
        <v>69690</v>
      </c>
      <c r="J71" s="53">
        <f ca="1">SUMIFS(OFFSET('BPC Data'!$F:$F,0,Summary!J$2),'BPC Data'!$E:$E,Summary!$D71,'BPC Data'!$B:$B,Summary!$C71)</f>
        <v>69559</v>
      </c>
      <c r="K71" s="60">
        <f ca="1">SUMIFS(OFFSET('BPC Data'!$F:$F,0,Summary!K$2),'BPC Data'!$E:$E,Summary!$D71,'BPC Data'!$B:$B,Summary!$C71)</f>
        <v>70999</v>
      </c>
      <c r="L71" s="53">
        <f ca="1">SUMIFS(OFFSET('BPC Data'!$F:$F,0,Summary!L$2),'BPC Data'!$E:$E,Summary!$D71,'BPC Data'!$B:$B,Summary!$C71)</f>
        <v>64649</v>
      </c>
      <c r="M71" s="60">
        <f ca="1">SUMIFS(OFFSET('BPC Data'!$F:$F,0,Summary!M$2),'BPC Data'!$E:$E,Summary!$D71,'BPC Data'!$B:$B,Summary!$C71)</f>
        <v>68576</v>
      </c>
      <c r="N71" s="53">
        <f ca="1">SUMIFS(OFFSET('BPC Data'!$F:$F,0,Summary!N$2),'BPC Data'!$E:$E,Summary!$D71,'BPC Data'!$B:$B,Summary!$C71)</f>
        <v>69182</v>
      </c>
      <c r="O71" s="18">
        <f t="shared" ca="1" si="16"/>
        <v>544294</v>
      </c>
      <c r="P71" s="44"/>
      <c r="Q71" s="43"/>
    </row>
    <row r="72" spans="1:17" s="11" customFormat="1" x14ac:dyDescent="0.55000000000000004">
      <c r="A72" s="11">
        <f t="shared" si="15"/>
        <v>6</v>
      </c>
      <c r="B72"/>
      <c r="C72" t="str">
        <f>$F64</f>
        <v>Pacifica Nursing &amp; Rehab Ctr</v>
      </c>
      <c r="D72" s="1" t="str">
        <f t="shared" si="7"/>
        <v>T_EBITDAR - EBITDAR</v>
      </c>
      <c r="E72"/>
      <c r="F72" s="14" t="str">
        <f>_xll.EVDES(D72)</f>
        <v>EBITDAR</v>
      </c>
      <c r="G72" s="60">
        <f ca="1">SUMIFS(OFFSET('BPC Data'!$F:$F,0,Summary!G$2),'BPC Data'!$E:$E,Summary!$D72,'BPC Data'!$B:$B,Summary!$C72)</f>
        <v>205867.77</v>
      </c>
      <c r="H72" s="53">
        <f ca="1">SUMIFS(OFFSET('BPC Data'!$F:$F,0,Summary!H$2),'BPC Data'!$E:$E,Summary!$D72,'BPC Data'!$B:$B,Summary!$C72)</f>
        <v>193960.81</v>
      </c>
      <c r="I72" s="60">
        <f ca="1">SUMIFS(OFFSET('BPC Data'!$F:$F,0,Summary!I$2),'BPC Data'!$E:$E,Summary!$D72,'BPC Data'!$B:$B,Summary!$C72)</f>
        <v>249018.82</v>
      </c>
      <c r="J72" s="53">
        <f ca="1">SUMIFS(OFFSET('BPC Data'!$F:$F,0,Summary!J$2),'BPC Data'!$E:$E,Summary!$D72,'BPC Data'!$B:$B,Summary!$C72)</f>
        <v>242119.67</v>
      </c>
      <c r="K72" s="60">
        <f ca="1">SUMIFS(OFFSET('BPC Data'!$F:$F,0,Summary!K$2),'BPC Data'!$E:$E,Summary!$D72,'BPC Data'!$B:$B,Summary!$C72)</f>
        <v>150258.57</v>
      </c>
      <c r="L72" s="53">
        <f ca="1">SUMIFS(OFFSET('BPC Data'!$F:$F,0,Summary!L$2),'BPC Data'!$E:$E,Summary!$D72,'BPC Data'!$B:$B,Summary!$C72)</f>
        <v>197037.44</v>
      </c>
      <c r="M72" s="60">
        <f ca="1">SUMIFS(OFFSET('BPC Data'!$F:$F,0,Summary!M$2),'BPC Data'!$E:$E,Summary!$D72,'BPC Data'!$B:$B,Summary!$C72)</f>
        <v>171240.71</v>
      </c>
      <c r="N72" s="53">
        <f ca="1">SUMIFS(OFFSET('BPC Data'!$F:$F,0,Summary!N$2),'BPC Data'!$E:$E,Summary!$D72,'BPC Data'!$B:$B,Summary!$C72)</f>
        <v>149363.44</v>
      </c>
      <c r="O72" s="18">
        <f t="shared" ca="1" si="16"/>
        <v>1558867.2299999997</v>
      </c>
      <c r="P72" s="44"/>
      <c r="Q72" s="43"/>
    </row>
    <row r="73" spans="1:17" s="11" customFormat="1" x14ac:dyDescent="0.55000000000000004">
      <c r="A73" s="11">
        <f t="shared" si="15"/>
        <v>6</v>
      </c>
      <c r="B73"/>
      <c r="C73" t="str">
        <f>$F64</f>
        <v>Pacifica Nursing &amp; Rehab Ctr</v>
      </c>
      <c r="D73" s="1" t="str">
        <f t="shared" si="7"/>
        <v>T_RENT_EXP - Tenant Rent Expense</v>
      </c>
      <c r="E73"/>
      <c r="F73" s="14" t="str">
        <f>_xll.EVDES(D73)</f>
        <v>Tenant Rent Expense</v>
      </c>
      <c r="G73" s="60">
        <f ca="1">SUMIFS(OFFSET('BPC Data'!$F:$F,0,Summary!G$2),'BPC Data'!$E:$E,Summary!$D73,'BPC Data'!$B:$B,Summary!$C73)</f>
        <v>211157.55</v>
      </c>
      <c r="H73" s="53">
        <f ca="1">SUMIFS(OFFSET('BPC Data'!$F:$F,0,Summary!H$2),'BPC Data'!$E:$E,Summary!$D73,'BPC Data'!$B:$B,Summary!$C73)</f>
        <v>211857.55</v>
      </c>
      <c r="I73" s="60">
        <f ca="1">SUMIFS(OFFSET('BPC Data'!$F:$F,0,Summary!I$2),'BPC Data'!$E:$E,Summary!$D73,'BPC Data'!$B:$B,Summary!$C73)</f>
        <v>211157.55</v>
      </c>
      <c r="J73" s="53">
        <f ca="1">SUMIFS(OFFSET('BPC Data'!$F:$F,0,Summary!J$2),'BPC Data'!$E:$E,Summary!$D73,'BPC Data'!$B:$B,Summary!$C73)</f>
        <v>211157.55</v>
      </c>
      <c r="K73" s="60">
        <f ca="1">SUMIFS(OFFSET('BPC Data'!$F:$F,0,Summary!K$2),'BPC Data'!$E:$E,Summary!$D73,'BPC Data'!$B:$B,Summary!$C73)</f>
        <v>211157.55</v>
      </c>
      <c r="L73" s="53">
        <f ca="1">SUMIFS(OFFSET('BPC Data'!$F:$F,0,Summary!L$2),'BPC Data'!$E:$E,Summary!$D73,'BPC Data'!$B:$B,Summary!$C73)</f>
        <v>211857.55</v>
      </c>
      <c r="M73" s="60">
        <f ca="1">SUMIFS(OFFSET('BPC Data'!$F:$F,0,Summary!M$2),'BPC Data'!$E:$E,Summary!$D73,'BPC Data'!$B:$B,Summary!$C73)</f>
        <v>211157.55</v>
      </c>
      <c r="N73" s="53">
        <f ca="1">SUMIFS(OFFSET('BPC Data'!$F:$F,0,Summary!N$2),'BPC Data'!$E:$E,Summary!$D73,'BPC Data'!$B:$B,Summary!$C73)</f>
        <v>211157.55</v>
      </c>
      <c r="O73" s="18">
        <f t="shared" ca="1" si="16"/>
        <v>1690660.4000000001</v>
      </c>
      <c r="P73" s="44"/>
      <c r="Q73" s="43"/>
    </row>
    <row r="74" spans="1:17" s="11" customFormat="1" x14ac:dyDescent="0.55000000000000004">
      <c r="A74" s="11">
        <f t="shared" si="15"/>
        <v>6</v>
      </c>
      <c r="B74"/>
      <c r="C74"/>
      <c r="D74" s="1" t="str">
        <f t="shared" si="7"/>
        <v>x</v>
      </c>
      <c r="E74"/>
      <c r="F74" s="14" t="s">
        <v>0</v>
      </c>
      <c r="G74" s="62">
        <f ca="1">SUMIFS(OFFSET('BPC Data'!$F:$F,0,Summary!G$2),'BPC Data'!$E:$E,Summary!$D74,'BPC Data'!$B:$B,Summary!$C74)</f>
        <v>0</v>
      </c>
      <c r="H74" s="55">
        <f ca="1">SUMIFS(OFFSET('BPC Data'!$F:$F,0,Summary!H$2),'BPC Data'!$E:$E,Summary!$D74,'BPC Data'!$B:$B,Summary!$C74)</f>
        <v>0</v>
      </c>
      <c r="I74" s="62">
        <f ca="1">SUMIFS(OFFSET('BPC Data'!$F:$F,0,Summary!I$2),'BPC Data'!$E:$E,Summary!$D74,'BPC Data'!$B:$B,Summary!$C74)</f>
        <v>0</v>
      </c>
      <c r="J74" s="55">
        <f ca="1">SUMIFS(OFFSET('BPC Data'!$F:$F,0,Summary!J$2),'BPC Data'!$E:$E,Summary!$D74,'BPC Data'!$B:$B,Summary!$C74)</f>
        <v>0</v>
      </c>
      <c r="K74" s="62">
        <f ca="1">SUMIFS(OFFSET('BPC Data'!$F:$F,0,Summary!K$2),'BPC Data'!$E:$E,Summary!$D74,'BPC Data'!$B:$B,Summary!$C74)</f>
        <v>0</v>
      </c>
      <c r="L74" s="55">
        <f ca="1">SUMIFS(OFFSET('BPC Data'!$F:$F,0,Summary!L$2),'BPC Data'!$E:$E,Summary!$D74,'BPC Data'!$B:$B,Summary!$C74)</f>
        <v>0</v>
      </c>
      <c r="M74" s="62">
        <f ca="1">SUMIFS(OFFSET('BPC Data'!$F:$F,0,Summary!M$2),'BPC Data'!$E:$E,Summary!$D74,'BPC Data'!$B:$B,Summary!$C74)</f>
        <v>0</v>
      </c>
      <c r="N74" s="55">
        <f ca="1">SUMIFS(OFFSET('BPC Data'!$F:$F,0,Summary!N$2),'BPC Data'!$E:$E,Summary!$D74,'BPC Data'!$B:$B,Summary!$C74)</f>
        <v>0</v>
      </c>
      <c r="O74" s="18">
        <f t="shared" ca="1" si="16"/>
        <v>0</v>
      </c>
      <c r="P74" s="44"/>
    </row>
    <row r="75" spans="1:17" s="11" customFormat="1" x14ac:dyDescent="0.55000000000000004">
      <c r="A75" s="11">
        <f>IF(AND(D75&lt;&gt;"",C75=""),A74+1,A74)</f>
        <v>7</v>
      </c>
      <c r="B75" s="4"/>
      <c r="C75" s="4"/>
      <c r="D75" s="4" t="str">
        <f t="shared" si="7"/>
        <v>x</v>
      </c>
      <c r="E75" s="4"/>
      <c r="F75" s="13" t="str">
        <f>INDEX(PropertyList!$D:$D,MATCH(Summary!$A75,PropertyList!$C:$C,0))</f>
        <v>Burien Nursing &amp; Rehab Center</v>
      </c>
      <c r="G75" s="59">
        <f ca="1">SUMIFS(OFFSET('BPC Data'!$F:$F,0,Summary!G$2),'BPC Data'!$E:$E,Summary!$D75,'BPC Data'!$B:$B,Summary!$C75)</f>
        <v>0</v>
      </c>
      <c r="H75" s="52">
        <f ca="1">SUMIFS(OFFSET('BPC Data'!$F:$F,0,Summary!H$2),'BPC Data'!$E:$E,Summary!$D75,'BPC Data'!$B:$B,Summary!$C75)</f>
        <v>0</v>
      </c>
      <c r="I75" s="59">
        <f ca="1">SUMIFS(OFFSET('BPC Data'!$F:$F,0,Summary!I$2),'BPC Data'!$E:$E,Summary!$D75,'BPC Data'!$B:$B,Summary!$C75)</f>
        <v>0</v>
      </c>
      <c r="J75" s="52">
        <f ca="1">SUMIFS(OFFSET('BPC Data'!$F:$F,0,Summary!J$2),'BPC Data'!$E:$E,Summary!$D75,'BPC Data'!$B:$B,Summary!$C75)</f>
        <v>0</v>
      </c>
      <c r="K75" s="59">
        <f ca="1">SUMIFS(OFFSET('BPC Data'!$F:$F,0,Summary!K$2),'BPC Data'!$E:$E,Summary!$D75,'BPC Data'!$B:$B,Summary!$C75)</f>
        <v>0</v>
      </c>
      <c r="L75" s="52">
        <f ca="1">SUMIFS(OFFSET('BPC Data'!$F:$F,0,Summary!L$2),'BPC Data'!$E:$E,Summary!$D75,'BPC Data'!$B:$B,Summary!$C75)</f>
        <v>0</v>
      </c>
      <c r="M75" s="59">
        <f ca="1">SUMIFS(OFFSET('BPC Data'!$F:$F,0,Summary!M$2),'BPC Data'!$E:$E,Summary!$D75,'BPC Data'!$B:$B,Summary!$C75)</f>
        <v>0</v>
      </c>
      <c r="N75" s="52">
        <f ca="1">SUMIFS(OFFSET('BPC Data'!$F:$F,0,Summary!N$2),'BPC Data'!$E:$E,Summary!$D75,'BPC Data'!$B:$B,Summary!$C75)</f>
        <v>0</v>
      </c>
      <c r="O75" s="18">
        <f t="shared" ca="1" si="16"/>
        <v>0</v>
      </c>
    </row>
    <row r="76" spans="1:17" s="11" customFormat="1" x14ac:dyDescent="0.55000000000000004">
      <c r="A76" s="11">
        <f>IF(AND(F76&lt;&gt;"",D76=""),A75+1,A75)</f>
        <v>7</v>
      </c>
      <c r="C76" t="str">
        <f>$F75</f>
        <v>Burien Nursing &amp; Rehab Center</v>
      </c>
      <c r="D76" s="3" t="str">
        <f t="shared" si="7"/>
        <v>PAY_PAT_DAYS - Total Payor Patient Days</v>
      </c>
      <c r="F76" s="14" t="str">
        <f>_xll.EVDES(D76)</f>
        <v>Total Payor Patient Days</v>
      </c>
      <c r="G76" s="60">
        <f ca="1">SUMIFS(OFFSET('BPC Data'!$F:$F,0,Summary!G$2),'BPC Data'!$E:$E,Summary!$D76,'BPC Data'!$B:$B,Summary!$C76)</f>
        <v>2363</v>
      </c>
      <c r="H76" s="53">
        <f ca="1">SUMIFS(OFFSET('BPC Data'!$F:$F,0,Summary!H$2),'BPC Data'!$E:$E,Summary!$D76,'BPC Data'!$B:$B,Summary!$C76)</f>
        <v>2152</v>
      </c>
      <c r="I76" s="60">
        <f ca="1">SUMIFS(OFFSET('BPC Data'!$F:$F,0,Summary!I$2),'BPC Data'!$E:$E,Summary!$D76,'BPC Data'!$B:$B,Summary!$C76)</f>
        <v>2323</v>
      </c>
      <c r="J76" s="53">
        <f ca="1">SUMIFS(OFFSET('BPC Data'!$F:$F,0,Summary!J$2),'BPC Data'!$E:$E,Summary!$D76,'BPC Data'!$B:$B,Summary!$C76)</f>
        <v>2222</v>
      </c>
      <c r="K76" s="60">
        <f ca="1">SUMIFS(OFFSET('BPC Data'!$F:$F,0,Summary!K$2),'BPC Data'!$E:$E,Summary!$D76,'BPC Data'!$B:$B,Summary!$C76)</f>
        <v>2262</v>
      </c>
      <c r="L76" s="53">
        <f ca="1">SUMIFS(OFFSET('BPC Data'!$F:$F,0,Summary!L$2),'BPC Data'!$E:$E,Summary!$D76,'BPC Data'!$B:$B,Summary!$C76)</f>
        <v>2297</v>
      </c>
      <c r="M76" s="60">
        <f ca="1">SUMIFS(OFFSET('BPC Data'!$F:$F,0,Summary!M$2),'BPC Data'!$E:$E,Summary!$D76,'BPC Data'!$B:$B,Summary!$C76)</f>
        <v>2446</v>
      </c>
      <c r="N76" s="53">
        <f ca="1">SUMIFS(OFFSET('BPC Data'!$F:$F,0,Summary!N$2),'BPC Data'!$E:$E,Summary!$D76,'BPC Data'!$B:$B,Summary!$C76)</f>
        <v>2515</v>
      </c>
      <c r="O76" s="18">
        <f t="shared" ca="1" si="16"/>
        <v>18580</v>
      </c>
    </row>
    <row r="77" spans="1:17" s="11" customFormat="1" x14ac:dyDescent="0.55000000000000004">
      <c r="A77" s="11">
        <f t="shared" ref="A77:A85" si="17">IF(AND(F77&lt;&gt;"",D77=""),A76+1,A76)</f>
        <v>7</v>
      </c>
      <c r="C77" t="str">
        <f>$F75</f>
        <v>Burien Nursing &amp; Rehab Center</v>
      </c>
      <c r="D77" s="3" t="str">
        <f t="shared" si="7"/>
        <v>A_BEDS_TOTAL - Total Available Beds</v>
      </c>
      <c r="F77" s="14" t="str">
        <f>_xll.EVDES(D77)</f>
        <v>Total Available Beds</v>
      </c>
      <c r="G77" s="60">
        <f ca="1">SUMIFS(OFFSET('BPC Data'!$F:$F,0,Summary!G$2),'BPC Data'!$E:$E,Summary!$D77,'BPC Data'!$B:$B,Summary!$C77)</f>
        <v>109</v>
      </c>
      <c r="H77" s="53">
        <f ca="1">SUMIFS(OFFSET('BPC Data'!$F:$F,0,Summary!H$2),'BPC Data'!$E:$E,Summary!$D77,'BPC Data'!$B:$B,Summary!$C77)</f>
        <v>109</v>
      </c>
      <c r="I77" s="60">
        <f ca="1">SUMIFS(OFFSET('BPC Data'!$F:$F,0,Summary!I$2),'BPC Data'!$E:$E,Summary!$D77,'BPC Data'!$B:$B,Summary!$C77)</f>
        <v>109</v>
      </c>
      <c r="J77" s="53">
        <f ca="1">SUMIFS(OFFSET('BPC Data'!$F:$F,0,Summary!J$2),'BPC Data'!$E:$E,Summary!$D77,'BPC Data'!$B:$B,Summary!$C77)</f>
        <v>109</v>
      </c>
      <c r="K77" s="60">
        <f ca="1">SUMIFS(OFFSET('BPC Data'!$F:$F,0,Summary!K$2),'BPC Data'!$E:$E,Summary!$D77,'BPC Data'!$B:$B,Summary!$C77)</f>
        <v>109</v>
      </c>
      <c r="L77" s="53">
        <f ca="1">SUMIFS(OFFSET('BPC Data'!$F:$F,0,Summary!L$2),'BPC Data'!$E:$E,Summary!$D77,'BPC Data'!$B:$B,Summary!$C77)</f>
        <v>109</v>
      </c>
      <c r="M77" s="60">
        <f ca="1">SUMIFS(OFFSET('BPC Data'!$F:$F,0,Summary!M$2),'BPC Data'!$E:$E,Summary!$D77,'BPC Data'!$B:$B,Summary!$C77)</f>
        <v>107</v>
      </c>
      <c r="N77" s="53">
        <f ca="1">SUMIFS(OFFSET('BPC Data'!$F:$F,0,Summary!N$2),'BPC Data'!$E:$E,Summary!$D77,'BPC Data'!$B:$B,Summary!$C77)</f>
        <v>107</v>
      </c>
      <c r="O77" s="18">
        <f ca="1">N77</f>
        <v>107</v>
      </c>
    </row>
    <row r="78" spans="1:17" s="11" customFormat="1" x14ac:dyDescent="0.55000000000000004">
      <c r="A78" s="11">
        <f t="shared" si="17"/>
        <v>7</v>
      </c>
      <c r="B78"/>
      <c r="C78" t="str">
        <f>$F75</f>
        <v>Burien Nursing &amp; Rehab Center</v>
      </c>
      <c r="D78" s="3" t="str">
        <f t="shared" si="7"/>
        <v>T_REVENUES - Total Tenant Revenues</v>
      </c>
      <c r="E78"/>
      <c r="F78" s="14" t="str">
        <f>_xll.EVDES(D78)</f>
        <v>Total Tenant Revenues</v>
      </c>
      <c r="G78" s="60">
        <f ca="1">SUMIFS(OFFSET('BPC Data'!$F:$F,0,Summary!G$2),'BPC Data'!$E:$E,Summary!$D78,'BPC Data'!$B:$B,Summary!$C78)</f>
        <v>1025048.36</v>
      </c>
      <c r="H78" s="53">
        <f ca="1">SUMIFS(OFFSET('BPC Data'!$F:$F,0,Summary!H$2),'BPC Data'!$E:$E,Summary!$D78,'BPC Data'!$B:$B,Summary!$C78)</f>
        <v>927393.5</v>
      </c>
      <c r="I78" s="60">
        <f ca="1">SUMIFS(OFFSET('BPC Data'!$F:$F,0,Summary!I$2),'BPC Data'!$E:$E,Summary!$D78,'BPC Data'!$B:$B,Summary!$C78)</f>
        <v>972514.68</v>
      </c>
      <c r="J78" s="53">
        <f ca="1">SUMIFS(OFFSET('BPC Data'!$F:$F,0,Summary!J$2),'BPC Data'!$E:$E,Summary!$D78,'BPC Data'!$B:$B,Summary!$C78)</f>
        <v>962098.03</v>
      </c>
      <c r="K78" s="60">
        <f ca="1">SUMIFS(OFFSET('BPC Data'!$F:$F,0,Summary!K$2),'BPC Data'!$E:$E,Summary!$D78,'BPC Data'!$B:$B,Summary!$C78)</f>
        <v>925075.95</v>
      </c>
      <c r="L78" s="53">
        <f ca="1">SUMIFS(OFFSET('BPC Data'!$F:$F,0,Summary!L$2),'BPC Data'!$E:$E,Summary!$D78,'BPC Data'!$B:$B,Summary!$C78)</f>
        <v>897490.07</v>
      </c>
      <c r="M78" s="60">
        <f ca="1">SUMIFS(OFFSET('BPC Data'!$F:$F,0,Summary!M$2),'BPC Data'!$E:$E,Summary!$D78,'BPC Data'!$B:$B,Summary!$C78)</f>
        <v>943156</v>
      </c>
      <c r="N78" s="53">
        <f ca="1">SUMIFS(OFFSET('BPC Data'!$F:$F,0,Summary!N$2),'BPC Data'!$E:$E,Summary!$D78,'BPC Data'!$B:$B,Summary!$C78)</f>
        <v>928697.67</v>
      </c>
      <c r="O78" s="18">
        <f t="shared" ref="O78:O87" ca="1" si="18">SUM(G78:N78)</f>
        <v>7581474.2600000007</v>
      </c>
    </row>
    <row r="79" spans="1:17" s="11" customFormat="1" x14ac:dyDescent="0.55000000000000004">
      <c r="A79" s="11">
        <f t="shared" si="17"/>
        <v>7</v>
      </c>
      <c r="B79"/>
      <c r="C79" t="str">
        <f>$F75</f>
        <v>Burien Nursing &amp; Rehab Center</v>
      </c>
      <c r="D79" s="3" t="str">
        <f t="shared" si="7"/>
        <v>T_OPEX - Tenant Operating Expenses</v>
      </c>
      <c r="E79"/>
      <c r="F79" s="14" t="str">
        <f>_xll.EVDES(D79)</f>
        <v>Tenant Operating Expenses</v>
      </c>
      <c r="G79" s="60">
        <f ca="1">SUMIFS(OFFSET('BPC Data'!$F:$F,0,Summary!G$2),'BPC Data'!$E:$E,Summary!$D79,'BPC Data'!$B:$B,Summary!$C79)</f>
        <v>914728.63</v>
      </c>
      <c r="H79" s="53">
        <f ca="1">SUMIFS(OFFSET('BPC Data'!$F:$F,0,Summary!H$2),'BPC Data'!$E:$E,Summary!$D79,'BPC Data'!$B:$B,Summary!$C79)</f>
        <v>824763.78</v>
      </c>
      <c r="I79" s="60">
        <f ca="1">SUMIFS(OFFSET('BPC Data'!$F:$F,0,Summary!I$2),'BPC Data'!$E:$E,Summary!$D79,'BPC Data'!$B:$B,Summary!$C79)</f>
        <v>897074.84</v>
      </c>
      <c r="J79" s="53">
        <f ca="1">SUMIFS(OFFSET('BPC Data'!$F:$F,0,Summary!J$2),'BPC Data'!$E:$E,Summary!$D79,'BPC Data'!$B:$B,Summary!$C79)</f>
        <v>867981.57</v>
      </c>
      <c r="K79" s="60">
        <f ca="1">SUMIFS(OFFSET('BPC Data'!$F:$F,0,Summary!K$2),'BPC Data'!$E:$E,Summary!$D79,'BPC Data'!$B:$B,Summary!$C79)</f>
        <v>782316.27</v>
      </c>
      <c r="L79" s="53">
        <f ca="1">SUMIFS(OFFSET('BPC Data'!$F:$F,0,Summary!L$2),'BPC Data'!$E:$E,Summary!$D79,'BPC Data'!$B:$B,Summary!$C79)</f>
        <v>802332.57</v>
      </c>
      <c r="M79" s="60">
        <f ca="1">SUMIFS(OFFSET('BPC Data'!$F:$F,0,Summary!M$2),'BPC Data'!$E:$E,Summary!$D79,'BPC Data'!$B:$B,Summary!$C79)</f>
        <v>856448.38</v>
      </c>
      <c r="N79" s="53">
        <f ca="1">SUMIFS(OFFSET('BPC Data'!$F:$F,0,Summary!N$2),'BPC Data'!$E:$E,Summary!$D79,'BPC Data'!$B:$B,Summary!$C79)</f>
        <v>879078.27</v>
      </c>
      <c r="O79" s="18">
        <f t="shared" ca="1" si="18"/>
        <v>6824724.3100000005</v>
      </c>
    </row>
    <row r="80" spans="1:17" s="11" customFormat="1" x14ac:dyDescent="0.55000000000000004">
      <c r="A80" s="11">
        <f t="shared" si="17"/>
        <v>7</v>
      </c>
      <c r="B80"/>
      <c r="C80" t="str">
        <f>$F75</f>
        <v>Burien Nursing &amp; Rehab Center</v>
      </c>
      <c r="D80" s="3" t="str">
        <f t="shared" si="7"/>
        <v>T_BAD_DEBT - Tenant Bad Debt Expense</v>
      </c>
      <c r="E80"/>
      <c r="F80" s="14" t="str">
        <f>_xll.EVDES(D80)</f>
        <v>Tenant Bad Debt Expense</v>
      </c>
      <c r="G80" s="60">
        <f ca="1">SUMIFS(OFFSET('BPC Data'!$F:$F,0,Summary!G$2),'BPC Data'!$E:$E,Summary!$D80,'BPC Data'!$B:$B,Summary!$C80)</f>
        <v>18862.87</v>
      </c>
      <c r="H80" s="53">
        <f ca="1">SUMIFS(OFFSET('BPC Data'!$F:$F,0,Summary!H$2),'BPC Data'!$E:$E,Summary!$D80,'BPC Data'!$B:$B,Summary!$C80)</f>
        <v>26394.11</v>
      </c>
      <c r="I80" s="60">
        <f ca="1">SUMIFS(OFFSET('BPC Data'!$F:$F,0,Summary!I$2),'BPC Data'!$E:$E,Summary!$D80,'BPC Data'!$B:$B,Summary!$C80)</f>
        <v>40517.919999999998</v>
      </c>
      <c r="J80" s="53">
        <f ca="1">SUMIFS(OFFSET('BPC Data'!$F:$F,0,Summary!J$2),'BPC Data'!$E:$E,Summary!$D80,'BPC Data'!$B:$B,Summary!$C80)</f>
        <v>22921.86</v>
      </c>
      <c r="K80" s="60">
        <f ca="1">SUMIFS(OFFSET('BPC Data'!$F:$F,0,Summary!K$2),'BPC Data'!$E:$E,Summary!$D80,'BPC Data'!$B:$B,Summary!$C80)</f>
        <v>13475.59</v>
      </c>
      <c r="L80" s="53">
        <f ca="1">SUMIFS(OFFSET('BPC Data'!$F:$F,0,Summary!L$2),'BPC Data'!$E:$E,Summary!$D80,'BPC Data'!$B:$B,Summary!$C80)</f>
        <v>2650.11</v>
      </c>
      <c r="M80" s="60">
        <f ca="1">SUMIFS(OFFSET('BPC Data'!$F:$F,0,Summary!M$2),'BPC Data'!$E:$E,Summary!$D80,'BPC Data'!$B:$B,Summary!$C80)</f>
        <v>19923.3</v>
      </c>
      <c r="N80" s="53">
        <f ca="1">SUMIFS(OFFSET('BPC Data'!$F:$F,0,Summary!N$2),'BPC Data'!$E:$E,Summary!$D80,'BPC Data'!$B:$B,Summary!$C80)</f>
        <v>5907.05</v>
      </c>
      <c r="O80" s="18">
        <f t="shared" ca="1" si="18"/>
        <v>150652.80999999997</v>
      </c>
    </row>
    <row r="81" spans="1:15" s="11" customFormat="1" x14ac:dyDescent="0.55000000000000004">
      <c r="A81" s="11">
        <f t="shared" si="17"/>
        <v>7</v>
      </c>
      <c r="B81"/>
      <c r="C81" t="str">
        <f>$F75</f>
        <v>Burien Nursing &amp; Rehab Center</v>
      </c>
      <c r="D81" s="2" t="str">
        <f t="shared" si="7"/>
        <v>T_EBITDARM - EBITDARM</v>
      </c>
      <c r="E81"/>
      <c r="F81" s="14" t="str">
        <f>_xll.EVDES(D81)</f>
        <v>EBITDARM</v>
      </c>
      <c r="G81" s="60">
        <f ca="1">SUMIFS(OFFSET('BPC Data'!$F:$F,0,Summary!G$2),'BPC Data'!$E:$E,Summary!$D81,'BPC Data'!$B:$B,Summary!$C81)</f>
        <v>110319.73</v>
      </c>
      <c r="H81" s="53">
        <f ca="1">SUMIFS(OFFSET('BPC Data'!$F:$F,0,Summary!H$2),'BPC Data'!$E:$E,Summary!$D81,'BPC Data'!$B:$B,Summary!$C81)</f>
        <v>102629.72</v>
      </c>
      <c r="I81" s="60">
        <f ca="1">SUMIFS(OFFSET('BPC Data'!$F:$F,0,Summary!I$2),'BPC Data'!$E:$E,Summary!$D81,'BPC Data'!$B:$B,Summary!$C81)</f>
        <v>75439.839999999895</v>
      </c>
      <c r="J81" s="53">
        <f ca="1">SUMIFS(OFFSET('BPC Data'!$F:$F,0,Summary!J$2),'BPC Data'!$E:$E,Summary!$D81,'BPC Data'!$B:$B,Summary!$C81)</f>
        <v>94116.46</v>
      </c>
      <c r="K81" s="60">
        <f ca="1">SUMIFS(OFFSET('BPC Data'!$F:$F,0,Summary!K$2),'BPC Data'!$E:$E,Summary!$D81,'BPC Data'!$B:$B,Summary!$C81)</f>
        <v>142759.67999999999</v>
      </c>
      <c r="L81" s="53">
        <f ca="1">SUMIFS(OFFSET('BPC Data'!$F:$F,0,Summary!L$2),'BPC Data'!$E:$E,Summary!$D81,'BPC Data'!$B:$B,Summary!$C81)</f>
        <v>95157.5</v>
      </c>
      <c r="M81" s="60">
        <f ca="1">SUMIFS(OFFSET('BPC Data'!$F:$F,0,Summary!M$2),'BPC Data'!$E:$E,Summary!$D81,'BPC Data'!$B:$B,Summary!$C81)</f>
        <v>86707.62</v>
      </c>
      <c r="N81" s="53">
        <f ca="1">SUMIFS(OFFSET('BPC Data'!$F:$F,0,Summary!N$2),'BPC Data'!$E:$E,Summary!$D81,'BPC Data'!$B:$B,Summary!$C81)</f>
        <v>49619.4</v>
      </c>
      <c r="O81" s="18">
        <f t="shared" ca="1" si="18"/>
        <v>756749.95</v>
      </c>
    </row>
    <row r="82" spans="1:15" s="11" customFormat="1" x14ac:dyDescent="0.55000000000000004">
      <c r="A82" s="11">
        <f t="shared" si="17"/>
        <v>7</v>
      </c>
      <c r="B82"/>
      <c r="C82" t="str">
        <f>$F75</f>
        <v>Burien Nursing &amp; Rehab Center</v>
      </c>
      <c r="D82" s="2" t="str">
        <f t="shared" si="7"/>
        <v>T_MGMT_FEE - Tenant Management Fee - Actual</v>
      </c>
      <c r="E82"/>
      <c r="F82" s="14" t="str">
        <f>_xll.EVDES(D82)</f>
        <v>Tenant Management Fee - Actual</v>
      </c>
      <c r="G82" s="60">
        <f ca="1">SUMIFS(OFFSET('BPC Data'!$F:$F,0,Summary!G$2),'BPC Data'!$E:$E,Summary!$D82,'BPC Data'!$B:$B,Summary!$C82)</f>
        <v>50818</v>
      </c>
      <c r="H82" s="53">
        <f ca="1">SUMIFS(OFFSET('BPC Data'!$F:$F,0,Summary!H$2),'BPC Data'!$E:$E,Summary!$D82,'BPC Data'!$B:$B,Summary!$C82)</f>
        <v>51252</v>
      </c>
      <c r="I82" s="60">
        <f ca="1">SUMIFS(OFFSET('BPC Data'!$F:$F,0,Summary!I$2),'BPC Data'!$E:$E,Summary!$D82,'BPC Data'!$B:$B,Summary!$C82)</f>
        <v>46369</v>
      </c>
      <c r="J82" s="53">
        <f ca="1">SUMIFS(OFFSET('BPC Data'!$F:$F,0,Summary!J$2),'BPC Data'!$E:$E,Summary!$D82,'BPC Data'!$B:$B,Summary!$C82)</f>
        <v>48625</v>
      </c>
      <c r="K82" s="60">
        <f ca="1">SUMIFS(OFFSET('BPC Data'!$F:$F,0,Summary!K$2),'BPC Data'!$E:$E,Summary!$D82,'BPC Data'!$B:$B,Summary!$C82)</f>
        <v>48104</v>
      </c>
      <c r="L82" s="53">
        <f ca="1">SUMIFS(OFFSET('BPC Data'!$F:$F,0,Summary!L$2),'BPC Data'!$E:$E,Summary!$D82,'BPC Data'!$B:$B,Summary!$C82)</f>
        <v>46253</v>
      </c>
      <c r="M82" s="60">
        <f ca="1">SUMIFS(OFFSET('BPC Data'!$F:$F,0,Summary!M$2),'BPC Data'!$E:$E,Summary!$D82,'BPC Data'!$B:$B,Summary!$C82)</f>
        <v>44874</v>
      </c>
      <c r="N82" s="53">
        <f ca="1">SUMIFS(OFFSET('BPC Data'!$F:$F,0,Summary!N$2),'BPC Data'!$E:$E,Summary!$D82,'BPC Data'!$B:$B,Summary!$C82)</f>
        <v>47157</v>
      </c>
      <c r="O82" s="18">
        <f t="shared" ca="1" si="18"/>
        <v>383452</v>
      </c>
    </row>
    <row r="83" spans="1:15" s="11" customFormat="1" x14ac:dyDescent="0.55000000000000004">
      <c r="A83" s="11">
        <f t="shared" si="17"/>
        <v>7</v>
      </c>
      <c r="B83"/>
      <c r="C83" t="str">
        <f>$F75</f>
        <v>Burien Nursing &amp; Rehab Center</v>
      </c>
      <c r="D83" s="1" t="str">
        <f t="shared" si="7"/>
        <v>T_EBITDAR - EBITDAR</v>
      </c>
      <c r="E83"/>
      <c r="F83" s="14" t="str">
        <f>_xll.EVDES(D83)</f>
        <v>EBITDAR</v>
      </c>
      <c r="G83" s="60">
        <f ca="1">SUMIFS(OFFSET('BPC Data'!$F:$F,0,Summary!G$2),'BPC Data'!$E:$E,Summary!$D83,'BPC Data'!$B:$B,Summary!$C83)</f>
        <v>59501.7300000002</v>
      </c>
      <c r="H83" s="53">
        <f ca="1">SUMIFS(OFFSET('BPC Data'!$F:$F,0,Summary!H$2),'BPC Data'!$E:$E,Summary!$D83,'BPC Data'!$B:$B,Summary!$C83)</f>
        <v>51377.720000000103</v>
      </c>
      <c r="I83" s="60">
        <f ca="1">SUMIFS(OFFSET('BPC Data'!$F:$F,0,Summary!I$2),'BPC Data'!$E:$E,Summary!$D83,'BPC Data'!$B:$B,Summary!$C83)</f>
        <v>29070.839999999898</v>
      </c>
      <c r="J83" s="53">
        <f ca="1">SUMIFS(OFFSET('BPC Data'!$F:$F,0,Summary!J$2),'BPC Data'!$E:$E,Summary!$D83,'BPC Data'!$B:$B,Summary!$C83)</f>
        <v>45491.46</v>
      </c>
      <c r="K83" s="60">
        <f ca="1">SUMIFS(OFFSET('BPC Data'!$F:$F,0,Summary!K$2),'BPC Data'!$E:$E,Summary!$D83,'BPC Data'!$B:$B,Summary!$C83)</f>
        <v>94655.680000000095</v>
      </c>
      <c r="L83" s="53">
        <f ca="1">SUMIFS(OFFSET('BPC Data'!$F:$F,0,Summary!L$2),'BPC Data'!$E:$E,Summary!$D83,'BPC Data'!$B:$B,Summary!$C83)</f>
        <v>48904.5</v>
      </c>
      <c r="M83" s="60">
        <f ca="1">SUMIFS(OFFSET('BPC Data'!$F:$F,0,Summary!M$2),'BPC Data'!$E:$E,Summary!$D83,'BPC Data'!$B:$B,Summary!$C83)</f>
        <v>41833.620000000003</v>
      </c>
      <c r="N83" s="53">
        <f ca="1">SUMIFS(OFFSET('BPC Data'!$F:$F,0,Summary!N$2),'BPC Data'!$E:$E,Summary!$D83,'BPC Data'!$B:$B,Summary!$C83)</f>
        <v>2462.4000000000201</v>
      </c>
      <c r="O83" s="18">
        <f t="shared" ca="1" si="18"/>
        <v>373297.9500000003</v>
      </c>
    </row>
    <row r="84" spans="1:15" s="11" customFormat="1" x14ac:dyDescent="0.55000000000000004">
      <c r="A84" s="11">
        <f t="shared" si="17"/>
        <v>7</v>
      </c>
      <c r="B84"/>
      <c r="C84" t="str">
        <f>$F75</f>
        <v>Burien Nursing &amp; Rehab Center</v>
      </c>
      <c r="D84" s="1" t="str">
        <f t="shared" si="7"/>
        <v>T_RENT_EXP - Tenant Rent Expense</v>
      </c>
      <c r="E84"/>
      <c r="F84" s="14" t="str">
        <f>_xll.EVDES(D84)</f>
        <v>Tenant Rent Expense</v>
      </c>
      <c r="G84" s="60">
        <f ca="1">SUMIFS(OFFSET('BPC Data'!$F:$F,0,Summary!G$2),'BPC Data'!$E:$E,Summary!$D84,'BPC Data'!$B:$B,Summary!$C84)</f>
        <v>132067.13</v>
      </c>
      <c r="H84" s="53">
        <f ca="1">SUMIFS(OFFSET('BPC Data'!$F:$F,0,Summary!H$2),'BPC Data'!$E:$E,Summary!$D84,'BPC Data'!$B:$B,Summary!$C84)</f>
        <v>132067.13</v>
      </c>
      <c r="I84" s="60">
        <f ca="1">SUMIFS(OFFSET('BPC Data'!$F:$F,0,Summary!I$2),'BPC Data'!$E:$E,Summary!$D84,'BPC Data'!$B:$B,Summary!$C84)</f>
        <v>132067.13</v>
      </c>
      <c r="J84" s="53">
        <f ca="1">SUMIFS(OFFSET('BPC Data'!$F:$F,0,Summary!J$2),'BPC Data'!$E:$E,Summary!$D84,'BPC Data'!$B:$B,Summary!$C84)</f>
        <v>132067.13</v>
      </c>
      <c r="K84" s="60">
        <f ca="1">SUMIFS(OFFSET('BPC Data'!$F:$F,0,Summary!K$2),'BPC Data'!$E:$E,Summary!$D84,'BPC Data'!$B:$B,Summary!$C84)</f>
        <v>132067.13</v>
      </c>
      <c r="L84" s="53">
        <f ca="1">SUMIFS(OFFSET('BPC Data'!$F:$F,0,Summary!L$2),'BPC Data'!$E:$E,Summary!$D84,'BPC Data'!$B:$B,Summary!$C84)</f>
        <v>132067.13</v>
      </c>
      <c r="M84" s="60">
        <f ca="1">SUMIFS(OFFSET('BPC Data'!$F:$F,0,Summary!M$2),'BPC Data'!$E:$E,Summary!$D84,'BPC Data'!$B:$B,Summary!$C84)</f>
        <v>132067.13</v>
      </c>
      <c r="N84" s="53">
        <f ca="1">SUMIFS(OFFSET('BPC Data'!$F:$F,0,Summary!N$2),'BPC Data'!$E:$E,Summary!$D84,'BPC Data'!$B:$B,Summary!$C84)</f>
        <v>132067.13</v>
      </c>
      <c r="O84" s="18">
        <f t="shared" ca="1" si="18"/>
        <v>1056537.04</v>
      </c>
    </row>
    <row r="85" spans="1:15" s="11" customFormat="1" x14ac:dyDescent="0.55000000000000004">
      <c r="A85" s="11">
        <f t="shared" si="17"/>
        <v>7</v>
      </c>
      <c r="B85"/>
      <c r="C85"/>
      <c r="D85" s="1" t="str">
        <f t="shared" si="7"/>
        <v>x</v>
      </c>
      <c r="E85"/>
      <c r="F85" s="14" t="s">
        <v>0</v>
      </c>
      <c r="G85" s="61">
        <f ca="1">SUMIFS(OFFSET('BPC Data'!$F:$F,0,Summary!G$2),'BPC Data'!$E:$E,Summary!$D85,'BPC Data'!$B:$B,Summary!$C85)</f>
        <v>0</v>
      </c>
      <c r="H85" s="54">
        <f ca="1">SUMIFS(OFFSET('BPC Data'!$F:$F,0,Summary!H$2),'BPC Data'!$E:$E,Summary!$D85,'BPC Data'!$B:$B,Summary!$C85)</f>
        <v>0</v>
      </c>
      <c r="I85" s="61">
        <f ca="1">SUMIFS(OFFSET('BPC Data'!$F:$F,0,Summary!I$2),'BPC Data'!$E:$E,Summary!$D85,'BPC Data'!$B:$B,Summary!$C85)</f>
        <v>0</v>
      </c>
      <c r="J85" s="54">
        <f ca="1">SUMIFS(OFFSET('BPC Data'!$F:$F,0,Summary!J$2),'BPC Data'!$E:$E,Summary!$D85,'BPC Data'!$B:$B,Summary!$C85)</f>
        <v>0</v>
      </c>
      <c r="K85" s="61">
        <f ca="1">SUMIFS(OFFSET('BPC Data'!$F:$F,0,Summary!K$2),'BPC Data'!$E:$E,Summary!$D85,'BPC Data'!$B:$B,Summary!$C85)</f>
        <v>0</v>
      </c>
      <c r="L85" s="54">
        <f ca="1">SUMIFS(OFFSET('BPC Data'!$F:$F,0,Summary!L$2),'BPC Data'!$E:$E,Summary!$D85,'BPC Data'!$B:$B,Summary!$C85)</f>
        <v>0</v>
      </c>
      <c r="M85" s="61">
        <f ca="1">SUMIFS(OFFSET('BPC Data'!$F:$F,0,Summary!M$2),'BPC Data'!$E:$E,Summary!$D85,'BPC Data'!$B:$B,Summary!$C85)</f>
        <v>0</v>
      </c>
      <c r="N85" s="54">
        <f ca="1">SUMIFS(OFFSET('BPC Data'!$F:$F,0,Summary!N$2),'BPC Data'!$E:$E,Summary!$D85,'BPC Data'!$B:$B,Summary!$C85)</f>
        <v>0</v>
      </c>
      <c r="O85" s="18">
        <f t="shared" ca="1" si="18"/>
        <v>0</v>
      </c>
    </row>
    <row r="86" spans="1:15" s="11" customFormat="1" x14ac:dyDescent="0.55000000000000004">
      <c r="A86" s="11">
        <f>IF(AND(D86&lt;&gt;"",C86=""),A85+1,A85)</f>
        <v>8</v>
      </c>
      <c r="B86" s="4"/>
      <c r="C86" s="4"/>
      <c r="D86" s="4" t="str">
        <f t="shared" ref="D86:D149" si="19">$D75</f>
        <v>x</v>
      </c>
      <c r="E86" s="4"/>
      <c r="F86" s="13" t="str">
        <f>INDEX(PropertyList!$D:$D,MATCH(Summary!$A86,PropertyList!$C:$C,0))</f>
        <v>Park West Care Center</v>
      </c>
      <c r="G86" s="59">
        <f ca="1">SUMIFS(OFFSET('BPC Data'!$F:$F,0,Summary!G$2),'BPC Data'!$E:$E,Summary!$D86,'BPC Data'!$B:$B,Summary!$C86)</f>
        <v>0</v>
      </c>
      <c r="H86" s="52">
        <f ca="1">SUMIFS(OFFSET('BPC Data'!$F:$F,0,Summary!H$2),'BPC Data'!$E:$E,Summary!$D86,'BPC Data'!$B:$B,Summary!$C86)</f>
        <v>0</v>
      </c>
      <c r="I86" s="59">
        <f ca="1">SUMIFS(OFFSET('BPC Data'!$F:$F,0,Summary!I$2),'BPC Data'!$E:$E,Summary!$D86,'BPC Data'!$B:$B,Summary!$C86)</f>
        <v>0</v>
      </c>
      <c r="J86" s="52">
        <f ca="1">SUMIFS(OFFSET('BPC Data'!$F:$F,0,Summary!J$2),'BPC Data'!$E:$E,Summary!$D86,'BPC Data'!$B:$B,Summary!$C86)</f>
        <v>0</v>
      </c>
      <c r="K86" s="59">
        <f ca="1">SUMIFS(OFFSET('BPC Data'!$F:$F,0,Summary!K$2),'BPC Data'!$E:$E,Summary!$D86,'BPC Data'!$B:$B,Summary!$C86)</f>
        <v>0</v>
      </c>
      <c r="L86" s="52">
        <f ca="1">SUMIFS(OFFSET('BPC Data'!$F:$F,0,Summary!L$2),'BPC Data'!$E:$E,Summary!$D86,'BPC Data'!$B:$B,Summary!$C86)</f>
        <v>0</v>
      </c>
      <c r="M86" s="59">
        <f ca="1">SUMIFS(OFFSET('BPC Data'!$F:$F,0,Summary!M$2),'BPC Data'!$E:$E,Summary!$D86,'BPC Data'!$B:$B,Summary!$C86)</f>
        <v>0</v>
      </c>
      <c r="N86" s="52">
        <f ca="1">SUMIFS(OFFSET('BPC Data'!$F:$F,0,Summary!N$2),'BPC Data'!$E:$E,Summary!$D86,'BPC Data'!$B:$B,Summary!$C86)</f>
        <v>0</v>
      </c>
      <c r="O86" s="18">
        <f t="shared" ca="1" si="18"/>
        <v>0</v>
      </c>
    </row>
    <row r="87" spans="1:15" s="11" customFormat="1" x14ac:dyDescent="0.55000000000000004">
      <c r="A87" s="11">
        <f>IF(AND(F87&lt;&gt;"",D87=""),A86+1,A86)</f>
        <v>8</v>
      </c>
      <c r="C87" t="str">
        <f>$F86</f>
        <v>Park West Care Center</v>
      </c>
      <c r="D87" s="3" t="str">
        <f t="shared" si="19"/>
        <v>PAY_PAT_DAYS - Total Payor Patient Days</v>
      </c>
      <c r="F87" s="14" t="str">
        <f>_xll.EVDES(D87)</f>
        <v>Total Payor Patient Days</v>
      </c>
      <c r="G87" s="60">
        <f ca="1">SUMIFS(OFFSET('BPC Data'!$F:$F,0,Summary!G$2),'BPC Data'!$E:$E,Summary!$D87,'BPC Data'!$B:$B,Summary!$C87)</f>
        <v>2322</v>
      </c>
      <c r="H87" s="53">
        <f ca="1">SUMIFS(OFFSET('BPC Data'!$F:$F,0,Summary!H$2),'BPC Data'!$E:$E,Summary!$D87,'BPC Data'!$B:$B,Summary!$C87)</f>
        <v>2282</v>
      </c>
      <c r="I87" s="60">
        <f ca="1">SUMIFS(OFFSET('BPC Data'!$F:$F,0,Summary!I$2),'BPC Data'!$E:$E,Summary!$D87,'BPC Data'!$B:$B,Summary!$C87)</f>
        <v>2511</v>
      </c>
      <c r="J87" s="53">
        <f ca="1">SUMIFS(OFFSET('BPC Data'!$F:$F,0,Summary!J$2),'BPC Data'!$E:$E,Summary!$D87,'BPC Data'!$B:$B,Summary!$C87)</f>
        <v>2451</v>
      </c>
      <c r="K87" s="60">
        <f ca="1">SUMIFS(OFFSET('BPC Data'!$F:$F,0,Summary!K$2),'BPC Data'!$E:$E,Summary!$D87,'BPC Data'!$B:$B,Summary!$C87)</f>
        <v>2500</v>
      </c>
      <c r="L87" s="53">
        <f ca="1">SUMIFS(OFFSET('BPC Data'!$F:$F,0,Summary!L$2),'BPC Data'!$E:$E,Summary!$D87,'BPC Data'!$B:$B,Summary!$C87)</f>
        <v>2566</v>
      </c>
      <c r="M87" s="60">
        <f ca="1">SUMIFS(OFFSET('BPC Data'!$F:$F,0,Summary!M$2),'BPC Data'!$E:$E,Summary!$D87,'BPC Data'!$B:$B,Summary!$C87)</f>
        <v>2586</v>
      </c>
      <c r="N87" s="53">
        <f ca="1">SUMIFS(OFFSET('BPC Data'!$F:$F,0,Summary!N$2),'BPC Data'!$E:$E,Summary!$D87,'BPC Data'!$B:$B,Summary!$C87)</f>
        <v>2561</v>
      </c>
      <c r="O87" s="18">
        <f t="shared" ca="1" si="18"/>
        <v>19779</v>
      </c>
    </row>
    <row r="88" spans="1:15" s="11" customFormat="1" x14ac:dyDescent="0.55000000000000004">
      <c r="A88" s="11">
        <f t="shared" ref="A88:A96" si="20">IF(AND(F88&lt;&gt;"",D88=""),A87+1,A87)</f>
        <v>8</v>
      </c>
      <c r="C88" t="str">
        <f>$F86</f>
        <v>Park West Care Center</v>
      </c>
      <c r="D88" s="3" t="str">
        <f t="shared" si="19"/>
        <v>A_BEDS_TOTAL - Total Available Beds</v>
      </c>
      <c r="F88" s="14" t="str">
        <f>_xll.EVDES(D88)</f>
        <v>Total Available Beds</v>
      </c>
      <c r="G88" s="60">
        <f ca="1">SUMIFS(OFFSET('BPC Data'!$F:$F,0,Summary!G$2),'BPC Data'!$E:$E,Summary!$D88,'BPC Data'!$B:$B,Summary!$C88)</f>
        <v>115</v>
      </c>
      <c r="H88" s="53">
        <f ca="1">SUMIFS(OFFSET('BPC Data'!$F:$F,0,Summary!H$2),'BPC Data'!$E:$E,Summary!$D88,'BPC Data'!$B:$B,Summary!$C88)</f>
        <v>115</v>
      </c>
      <c r="I88" s="60">
        <f ca="1">SUMIFS(OFFSET('BPC Data'!$F:$F,0,Summary!I$2),'BPC Data'!$E:$E,Summary!$D88,'BPC Data'!$B:$B,Summary!$C88)</f>
        <v>115</v>
      </c>
      <c r="J88" s="53">
        <f ca="1">SUMIFS(OFFSET('BPC Data'!$F:$F,0,Summary!J$2),'BPC Data'!$E:$E,Summary!$D88,'BPC Data'!$B:$B,Summary!$C88)</f>
        <v>115</v>
      </c>
      <c r="K88" s="60">
        <f ca="1">SUMIFS(OFFSET('BPC Data'!$F:$F,0,Summary!K$2),'BPC Data'!$E:$E,Summary!$D88,'BPC Data'!$B:$B,Summary!$C88)</f>
        <v>115</v>
      </c>
      <c r="L88" s="53">
        <f ca="1">SUMIFS(OFFSET('BPC Data'!$F:$F,0,Summary!L$2),'BPC Data'!$E:$E,Summary!$D88,'BPC Data'!$B:$B,Summary!$C88)</f>
        <v>115</v>
      </c>
      <c r="M88" s="60">
        <f ca="1">SUMIFS(OFFSET('BPC Data'!$F:$F,0,Summary!M$2),'BPC Data'!$E:$E,Summary!$D88,'BPC Data'!$B:$B,Summary!$C88)</f>
        <v>115</v>
      </c>
      <c r="N88" s="53">
        <f ca="1">SUMIFS(OFFSET('BPC Data'!$F:$F,0,Summary!N$2),'BPC Data'!$E:$E,Summary!$D88,'BPC Data'!$B:$B,Summary!$C88)</f>
        <v>115</v>
      </c>
      <c r="O88" s="18">
        <f ca="1">N88</f>
        <v>115</v>
      </c>
    </row>
    <row r="89" spans="1:15" s="11" customFormat="1" x14ac:dyDescent="0.55000000000000004">
      <c r="A89" s="11">
        <f t="shared" si="20"/>
        <v>8</v>
      </c>
      <c r="B89"/>
      <c r="C89" t="str">
        <f>$F86</f>
        <v>Park West Care Center</v>
      </c>
      <c r="D89" s="3" t="str">
        <f t="shared" si="19"/>
        <v>T_REVENUES - Total Tenant Revenues</v>
      </c>
      <c r="E89"/>
      <c r="F89" s="14" t="str">
        <f>_xll.EVDES(D89)</f>
        <v>Total Tenant Revenues</v>
      </c>
      <c r="G89" s="60">
        <f ca="1">SUMIFS(OFFSET('BPC Data'!$F:$F,0,Summary!G$2),'BPC Data'!$E:$E,Summary!$D89,'BPC Data'!$B:$B,Summary!$C89)</f>
        <v>880830.47</v>
      </c>
      <c r="H89" s="53">
        <f ca="1">SUMIFS(OFFSET('BPC Data'!$F:$F,0,Summary!H$2),'BPC Data'!$E:$E,Summary!$D89,'BPC Data'!$B:$B,Summary!$C89)</f>
        <v>803201.55</v>
      </c>
      <c r="I89" s="60">
        <f ca="1">SUMIFS(OFFSET('BPC Data'!$F:$F,0,Summary!I$2),'BPC Data'!$E:$E,Summary!$D89,'BPC Data'!$B:$B,Summary!$C89)</f>
        <v>862356.34</v>
      </c>
      <c r="J89" s="53">
        <f ca="1">SUMIFS(OFFSET('BPC Data'!$F:$F,0,Summary!J$2),'BPC Data'!$E:$E,Summary!$D89,'BPC Data'!$B:$B,Summary!$C89)</f>
        <v>836836.96</v>
      </c>
      <c r="K89" s="60">
        <f ca="1">SUMIFS(OFFSET('BPC Data'!$F:$F,0,Summary!K$2),'BPC Data'!$E:$E,Summary!$D89,'BPC Data'!$B:$B,Summary!$C89)</f>
        <v>835284.52</v>
      </c>
      <c r="L89" s="53">
        <f ca="1">SUMIFS(OFFSET('BPC Data'!$F:$F,0,Summary!L$2),'BPC Data'!$E:$E,Summary!$D89,'BPC Data'!$B:$B,Summary!$C89)</f>
        <v>870116.9</v>
      </c>
      <c r="M89" s="60">
        <f ca="1">SUMIFS(OFFSET('BPC Data'!$F:$F,0,Summary!M$2),'BPC Data'!$E:$E,Summary!$D89,'BPC Data'!$B:$B,Summary!$C89)</f>
        <v>845206.1</v>
      </c>
      <c r="N89" s="53">
        <f ca="1">SUMIFS(OFFSET('BPC Data'!$F:$F,0,Summary!N$2),'BPC Data'!$E:$E,Summary!$D89,'BPC Data'!$B:$B,Summary!$C89)</f>
        <v>793128.68</v>
      </c>
      <c r="O89" s="18">
        <f t="shared" ref="O89:O98" ca="1" si="21">SUM(G89:N89)</f>
        <v>6726961.5199999996</v>
      </c>
    </row>
    <row r="90" spans="1:15" s="11" customFormat="1" x14ac:dyDescent="0.55000000000000004">
      <c r="A90" s="11">
        <f t="shared" si="20"/>
        <v>8</v>
      </c>
      <c r="B90"/>
      <c r="C90" t="str">
        <f>$F86</f>
        <v>Park West Care Center</v>
      </c>
      <c r="D90" s="3" t="str">
        <f t="shared" si="19"/>
        <v>T_OPEX - Tenant Operating Expenses</v>
      </c>
      <c r="E90"/>
      <c r="F90" s="14" t="str">
        <f>_xll.EVDES(D90)</f>
        <v>Tenant Operating Expenses</v>
      </c>
      <c r="G90" s="60">
        <f ca="1">SUMIFS(OFFSET('BPC Data'!$F:$F,0,Summary!G$2),'BPC Data'!$E:$E,Summary!$D90,'BPC Data'!$B:$B,Summary!$C90)</f>
        <v>834601.35</v>
      </c>
      <c r="H90" s="53">
        <f ca="1">SUMIFS(OFFSET('BPC Data'!$F:$F,0,Summary!H$2),'BPC Data'!$E:$E,Summary!$D90,'BPC Data'!$B:$B,Summary!$C90)</f>
        <v>749813.01</v>
      </c>
      <c r="I90" s="60">
        <f ca="1">SUMIFS(OFFSET('BPC Data'!$F:$F,0,Summary!I$2),'BPC Data'!$E:$E,Summary!$D90,'BPC Data'!$B:$B,Summary!$C90)</f>
        <v>901677.64</v>
      </c>
      <c r="J90" s="53">
        <f ca="1">SUMIFS(OFFSET('BPC Data'!$F:$F,0,Summary!J$2),'BPC Data'!$E:$E,Summary!$D90,'BPC Data'!$B:$B,Summary!$C90)</f>
        <v>843111.6</v>
      </c>
      <c r="K90" s="60">
        <f ca="1">SUMIFS(OFFSET('BPC Data'!$F:$F,0,Summary!K$2),'BPC Data'!$E:$E,Summary!$D90,'BPC Data'!$B:$B,Summary!$C90)</f>
        <v>839214.12</v>
      </c>
      <c r="L90" s="53">
        <f ca="1">SUMIFS(OFFSET('BPC Data'!$F:$F,0,Summary!L$2),'BPC Data'!$E:$E,Summary!$D90,'BPC Data'!$B:$B,Summary!$C90)</f>
        <v>889986.67</v>
      </c>
      <c r="M90" s="60">
        <f ca="1">SUMIFS(OFFSET('BPC Data'!$F:$F,0,Summary!M$2),'BPC Data'!$E:$E,Summary!$D90,'BPC Data'!$B:$B,Summary!$C90)</f>
        <v>919245.82</v>
      </c>
      <c r="N90" s="53">
        <f ca="1">SUMIFS(OFFSET('BPC Data'!$F:$F,0,Summary!N$2),'BPC Data'!$E:$E,Summary!$D90,'BPC Data'!$B:$B,Summary!$C90)</f>
        <v>897325.98</v>
      </c>
      <c r="O90" s="18">
        <f t="shared" ca="1" si="21"/>
        <v>6874976.1900000013</v>
      </c>
    </row>
    <row r="91" spans="1:15" s="11" customFormat="1" x14ac:dyDescent="0.55000000000000004">
      <c r="A91" s="11">
        <f t="shared" si="20"/>
        <v>8</v>
      </c>
      <c r="B91"/>
      <c r="C91" t="str">
        <f>$F86</f>
        <v>Park West Care Center</v>
      </c>
      <c r="D91" s="3" t="str">
        <f t="shared" si="19"/>
        <v>T_BAD_DEBT - Tenant Bad Debt Expense</v>
      </c>
      <c r="E91"/>
      <c r="F91" s="14" t="str">
        <f>_xll.EVDES(D91)</f>
        <v>Tenant Bad Debt Expense</v>
      </c>
      <c r="G91" s="60">
        <f ca="1">SUMIFS(OFFSET('BPC Data'!$F:$F,0,Summary!G$2),'BPC Data'!$E:$E,Summary!$D91,'BPC Data'!$B:$B,Summary!$C91)</f>
        <v>-26712.58</v>
      </c>
      <c r="H91" s="53">
        <f ca="1">SUMIFS(OFFSET('BPC Data'!$F:$F,0,Summary!H$2),'BPC Data'!$E:$E,Summary!$D91,'BPC Data'!$B:$B,Summary!$C91)</f>
        <v>20505.990000000002</v>
      </c>
      <c r="I91" s="60">
        <f ca="1">SUMIFS(OFFSET('BPC Data'!$F:$F,0,Summary!I$2),'BPC Data'!$E:$E,Summary!$D91,'BPC Data'!$B:$B,Summary!$C91)</f>
        <v>11195.82</v>
      </c>
      <c r="J91" s="53">
        <f ca="1">SUMIFS(OFFSET('BPC Data'!$F:$F,0,Summary!J$2),'BPC Data'!$E:$E,Summary!$D91,'BPC Data'!$B:$B,Summary!$C91)</f>
        <v>-10475.35</v>
      </c>
      <c r="K91" s="60">
        <f ca="1">SUMIFS(OFFSET('BPC Data'!$F:$F,0,Summary!K$2),'BPC Data'!$E:$E,Summary!$D91,'BPC Data'!$B:$B,Summary!$C91)</f>
        <v>22548.87</v>
      </c>
      <c r="L91" s="53">
        <f ca="1">SUMIFS(OFFSET('BPC Data'!$F:$F,0,Summary!L$2),'BPC Data'!$E:$E,Summary!$D91,'BPC Data'!$B:$B,Summary!$C91)</f>
        <v>34849.56</v>
      </c>
      <c r="M91" s="60">
        <f ca="1">SUMIFS(OFFSET('BPC Data'!$F:$F,0,Summary!M$2),'BPC Data'!$E:$E,Summary!$D91,'BPC Data'!$B:$B,Summary!$C91)</f>
        <v>4194.04</v>
      </c>
      <c r="N91" s="53">
        <f ca="1">SUMIFS(OFFSET('BPC Data'!$F:$F,0,Summary!N$2),'BPC Data'!$E:$E,Summary!$D91,'BPC Data'!$B:$B,Summary!$C91)</f>
        <v>-33425.72</v>
      </c>
      <c r="O91" s="18">
        <f t="shared" ca="1" si="21"/>
        <v>22680.629999999997</v>
      </c>
    </row>
    <row r="92" spans="1:15" s="11" customFormat="1" x14ac:dyDescent="0.55000000000000004">
      <c r="A92" s="11">
        <f t="shared" si="20"/>
        <v>8</v>
      </c>
      <c r="B92"/>
      <c r="C92" t="str">
        <f>$F86</f>
        <v>Park West Care Center</v>
      </c>
      <c r="D92" s="2" t="str">
        <f t="shared" si="19"/>
        <v>T_EBITDARM - EBITDARM</v>
      </c>
      <c r="E92"/>
      <c r="F92" s="14" t="str">
        <f>_xll.EVDES(D92)</f>
        <v>EBITDARM</v>
      </c>
      <c r="G92" s="60">
        <f ca="1">SUMIFS(OFFSET('BPC Data'!$F:$F,0,Summary!G$2),'BPC Data'!$E:$E,Summary!$D92,'BPC Data'!$B:$B,Summary!$C92)</f>
        <v>46229.119999999901</v>
      </c>
      <c r="H92" s="53">
        <f ca="1">SUMIFS(OFFSET('BPC Data'!$F:$F,0,Summary!H$2),'BPC Data'!$E:$E,Summary!$D92,'BPC Data'!$B:$B,Summary!$C92)</f>
        <v>53388.539999999797</v>
      </c>
      <c r="I92" s="60">
        <f ca="1">SUMIFS(OFFSET('BPC Data'!$F:$F,0,Summary!I$2),'BPC Data'!$E:$E,Summary!$D92,'BPC Data'!$B:$B,Summary!$C92)</f>
        <v>-39321.300000000003</v>
      </c>
      <c r="J92" s="53">
        <f ca="1">SUMIFS(OFFSET('BPC Data'!$F:$F,0,Summary!J$2),'BPC Data'!$E:$E,Summary!$D92,'BPC Data'!$B:$B,Summary!$C92)</f>
        <v>-6274.6400000000103</v>
      </c>
      <c r="K92" s="60">
        <f ca="1">SUMIFS(OFFSET('BPC Data'!$F:$F,0,Summary!K$2),'BPC Data'!$E:$E,Summary!$D92,'BPC Data'!$B:$B,Summary!$C92)</f>
        <v>-3929.5999999999799</v>
      </c>
      <c r="L92" s="53">
        <f ca="1">SUMIFS(OFFSET('BPC Data'!$F:$F,0,Summary!L$2),'BPC Data'!$E:$E,Summary!$D92,'BPC Data'!$B:$B,Summary!$C92)</f>
        <v>-19869.77</v>
      </c>
      <c r="M92" s="60">
        <f ca="1">SUMIFS(OFFSET('BPC Data'!$F:$F,0,Summary!M$2),'BPC Data'!$E:$E,Summary!$D92,'BPC Data'!$B:$B,Summary!$C92)</f>
        <v>-74039.72</v>
      </c>
      <c r="N92" s="53">
        <f ca="1">SUMIFS(OFFSET('BPC Data'!$F:$F,0,Summary!N$2),'BPC Data'!$E:$E,Summary!$D92,'BPC Data'!$B:$B,Summary!$C92)</f>
        <v>-104197.3</v>
      </c>
      <c r="O92" s="18">
        <f t="shared" ca="1" si="21"/>
        <v>-148014.6700000003</v>
      </c>
    </row>
    <row r="93" spans="1:15" s="11" customFormat="1" x14ac:dyDescent="0.55000000000000004">
      <c r="A93" s="11">
        <f t="shared" si="20"/>
        <v>8</v>
      </c>
      <c r="B93"/>
      <c r="C93" t="str">
        <f>$F86</f>
        <v>Park West Care Center</v>
      </c>
      <c r="D93" s="2" t="str">
        <f t="shared" si="19"/>
        <v>T_MGMT_FEE - Tenant Management Fee - Actual</v>
      </c>
      <c r="E93"/>
      <c r="F93" s="14" t="str">
        <f>_xll.EVDES(D93)</f>
        <v>Tenant Management Fee - Actual</v>
      </c>
      <c r="G93" s="60">
        <f ca="1">SUMIFS(OFFSET('BPC Data'!$F:$F,0,Summary!G$2),'BPC Data'!$E:$E,Summary!$D93,'BPC Data'!$B:$B,Summary!$C93)</f>
        <v>60626</v>
      </c>
      <c r="H93" s="53">
        <f ca="1">SUMIFS(OFFSET('BPC Data'!$F:$F,0,Summary!H$2),'BPC Data'!$E:$E,Summary!$D93,'BPC Data'!$B:$B,Summary!$C93)</f>
        <v>44041</v>
      </c>
      <c r="I93" s="60">
        <f ca="1">SUMIFS(OFFSET('BPC Data'!$F:$F,0,Summary!I$2),'BPC Data'!$E:$E,Summary!$D93,'BPC Data'!$B:$B,Summary!$C93)</f>
        <v>40160</v>
      </c>
      <c r="J93" s="53">
        <f ca="1">SUMIFS(OFFSET('BPC Data'!$F:$F,0,Summary!J$2),'BPC Data'!$E:$E,Summary!$D93,'BPC Data'!$B:$B,Summary!$C93)</f>
        <v>43117</v>
      </c>
      <c r="K93" s="60">
        <f ca="1">SUMIFS(OFFSET('BPC Data'!$F:$F,0,Summary!K$2),'BPC Data'!$E:$E,Summary!$D93,'BPC Data'!$B:$B,Summary!$C93)</f>
        <v>41841</v>
      </c>
      <c r="L93" s="53">
        <f ca="1">SUMIFS(OFFSET('BPC Data'!$F:$F,0,Summary!L$2),'BPC Data'!$E:$E,Summary!$D93,'BPC Data'!$B:$B,Summary!$C93)</f>
        <v>41764</v>
      </c>
      <c r="M93" s="60">
        <f ca="1">SUMIFS(OFFSET('BPC Data'!$F:$F,0,Summary!M$2),'BPC Data'!$E:$E,Summary!$D93,'BPC Data'!$B:$B,Summary!$C93)</f>
        <v>43505</v>
      </c>
      <c r="N93" s="53">
        <f ca="1">SUMIFS(OFFSET('BPC Data'!$F:$F,0,Summary!N$2),'BPC Data'!$E:$E,Summary!$D93,'BPC Data'!$B:$B,Summary!$C93)</f>
        <v>42260</v>
      </c>
      <c r="O93" s="18">
        <f t="shared" ca="1" si="21"/>
        <v>357314</v>
      </c>
    </row>
    <row r="94" spans="1:15" s="11" customFormat="1" x14ac:dyDescent="0.55000000000000004">
      <c r="A94" s="11">
        <f t="shared" si="20"/>
        <v>8</v>
      </c>
      <c r="B94"/>
      <c r="C94" t="str">
        <f>$F86</f>
        <v>Park West Care Center</v>
      </c>
      <c r="D94" s="1" t="str">
        <f t="shared" si="19"/>
        <v>T_EBITDAR - EBITDAR</v>
      </c>
      <c r="E94"/>
      <c r="F94" s="14" t="str">
        <f>_xll.EVDES(D94)</f>
        <v>EBITDAR</v>
      </c>
      <c r="G94" s="60">
        <f ca="1">SUMIFS(OFFSET('BPC Data'!$F:$F,0,Summary!G$2),'BPC Data'!$E:$E,Summary!$D94,'BPC Data'!$B:$B,Summary!$C94)</f>
        <v>-14396.880000000099</v>
      </c>
      <c r="H94" s="53">
        <f ca="1">SUMIFS(OFFSET('BPC Data'!$F:$F,0,Summary!H$2),'BPC Data'!$E:$E,Summary!$D94,'BPC Data'!$B:$B,Summary!$C94)</f>
        <v>9347.5399999998008</v>
      </c>
      <c r="I94" s="60">
        <f ca="1">SUMIFS(OFFSET('BPC Data'!$F:$F,0,Summary!I$2),'BPC Data'!$E:$E,Summary!$D94,'BPC Data'!$B:$B,Summary!$C94)</f>
        <v>-79481.3</v>
      </c>
      <c r="J94" s="53">
        <f ca="1">SUMIFS(OFFSET('BPC Data'!$F:$F,0,Summary!J$2),'BPC Data'!$E:$E,Summary!$D94,'BPC Data'!$B:$B,Summary!$C94)</f>
        <v>-49391.64</v>
      </c>
      <c r="K94" s="60">
        <f ca="1">SUMIFS(OFFSET('BPC Data'!$F:$F,0,Summary!K$2),'BPC Data'!$E:$E,Summary!$D94,'BPC Data'!$B:$B,Summary!$C94)</f>
        <v>-45770.6</v>
      </c>
      <c r="L94" s="53">
        <f ca="1">SUMIFS(OFFSET('BPC Data'!$F:$F,0,Summary!L$2),'BPC Data'!$E:$E,Summary!$D94,'BPC Data'!$B:$B,Summary!$C94)</f>
        <v>-61633.77</v>
      </c>
      <c r="M94" s="60">
        <f ca="1">SUMIFS(OFFSET('BPC Data'!$F:$F,0,Summary!M$2),'BPC Data'!$E:$E,Summary!$D94,'BPC Data'!$B:$B,Summary!$C94)</f>
        <v>-117544.72</v>
      </c>
      <c r="N94" s="53">
        <f ca="1">SUMIFS(OFFSET('BPC Data'!$F:$F,0,Summary!N$2),'BPC Data'!$E:$E,Summary!$D94,'BPC Data'!$B:$B,Summary!$C94)</f>
        <v>-146457.29999999999</v>
      </c>
      <c r="O94" s="18">
        <f t="shared" ca="1" si="21"/>
        <v>-505328.67000000033</v>
      </c>
    </row>
    <row r="95" spans="1:15" s="11" customFormat="1" x14ac:dyDescent="0.55000000000000004">
      <c r="A95" s="11">
        <f t="shared" si="20"/>
        <v>8</v>
      </c>
      <c r="B95"/>
      <c r="C95" t="str">
        <f>$F86</f>
        <v>Park West Care Center</v>
      </c>
      <c r="D95" s="1" t="str">
        <f t="shared" si="19"/>
        <v>T_RENT_EXP - Tenant Rent Expense</v>
      </c>
      <c r="E95"/>
      <c r="F95" s="14" t="str">
        <f>_xll.EVDES(D95)</f>
        <v>Tenant Rent Expense</v>
      </c>
      <c r="G95" s="60">
        <f ca="1">SUMIFS(OFFSET('BPC Data'!$F:$F,0,Summary!G$2),'BPC Data'!$E:$E,Summary!$D95,'BPC Data'!$B:$B,Summary!$C95)</f>
        <v>92185.47</v>
      </c>
      <c r="H95" s="53">
        <f ca="1">SUMIFS(OFFSET('BPC Data'!$F:$F,0,Summary!H$2),'BPC Data'!$E:$E,Summary!$D95,'BPC Data'!$B:$B,Summary!$C95)</f>
        <v>92185.47</v>
      </c>
      <c r="I95" s="60">
        <f ca="1">SUMIFS(OFFSET('BPC Data'!$F:$F,0,Summary!I$2),'BPC Data'!$E:$E,Summary!$D95,'BPC Data'!$B:$B,Summary!$C95)</f>
        <v>92185.47</v>
      </c>
      <c r="J95" s="53">
        <f ca="1">SUMIFS(OFFSET('BPC Data'!$F:$F,0,Summary!J$2),'BPC Data'!$E:$E,Summary!$D95,'BPC Data'!$B:$B,Summary!$C95)</f>
        <v>92185.47</v>
      </c>
      <c r="K95" s="60">
        <f ca="1">SUMIFS(OFFSET('BPC Data'!$F:$F,0,Summary!K$2),'BPC Data'!$E:$E,Summary!$D95,'BPC Data'!$B:$B,Summary!$C95)</f>
        <v>92185.47</v>
      </c>
      <c r="L95" s="53">
        <f ca="1">SUMIFS(OFFSET('BPC Data'!$F:$F,0,Summary!L$2),'BPC Data'!$E:$E,Summary!$D95,'BPC Data'!$B:$B,Summary!$C95)</f>
        <v>92185.47</v>
      </c>
      <c r="M95" s="60">
        <f ca="1">SUMIFS(OFFSET('BPC Data'!$F:$F,0,Summary!M$2),'BPC Data'!$E:$E,Summary!$D95,'BPC Data'!$B:$B,Summary!$C95)</f>
        <v>92185.47</v>
      </c>
      <c r="N95" s="53">
        <f ca="1">SUMIFS(OFFSET('BPC Data'!$F:$F,0,Summary!N$2),'BPC Data'!$E:$E,Summary!$D95,'BPC Data'!$B:$B,Summary!$C95)</f>
        <v>92185.47</v>
      </c>
      <c r="O95" s="18">
        <f t="shared" ca="1" si="21"/>
        <v>737483.75999999989</v>
      </c>
    </row>
    <row r="96" spans="1:15" s="11" customFormat="1" x14ac:dyDescent="0.55000000000000004">
      <c r="A96" s="11">
        <f t="shared" si="20"/>
        <v>8</v>
      </c>
      <c r="B96"/>
      <c r="C96"/>
      <c r="D96" s="1" t="str">
        <f t="shared" si="19"/>
        <v>x</v>
      </c>
      <c r="E96"/>
      <c r="F96" s="14" t="s">
        <v>0</v>
      </c>
      <c r="G96" s="61">
        <f ca="1">SUMIFS(OFFSET('BPC Data'!$F:$F,0,Summary!G$2),'BPC Data'!$E:$E,Summary!$D96,'BPC Data'!$B:$B,Summary!$C96)</f>
        <v>0</v>
      </c>
      <c r="H96" s="54">
        <f ca="1">SUMIFS(OFFSET('BPC Data'!$F:$F,0,Summary!H$2),'BPC Data'!$E:$E,Summary!$D96,'BPC Data'!$B:$B,Summary!$C96)</f>
        <v>0</v>
      </c>
      <c r="I96" s="61">
        <f ca="1">SUMIFS(OFFSET('BPC Data'!$F:$F,0,Summary!I$2),'BPC Data'!$E:$E,Summary!$D96,'BPC Data'!$B:$B,Summary!$C96)</f>
        <v>0</v>
      </c>
      <c r="J96" s="54">
        <f ca="1">SUMIFS(OFFSET('BPC Data'!$F:$F,0,Summary!J$2),'BPC Data'!$E:$E,Summary!$D96,'BPC Data'!$B:$B,Summary!$C96)</f>
        <v>0</v>
      </c>
      <c r="K96" s="61">
        <f ca="1">SUMIFS(OFFSET('BPC Data'!$F:$F,0,Summary!K$2),'BPC Data'!$E:$E,Summary!$D96,'BPC Data'!$B:$B,Summary!$C96)</f>
        <v>0</v>
      </c>
      <c r="L96" s="54">
        <f ca="1">SUMIFS(OFFSET('BPC Data'!$F:$F,0,Summary!L$2),'BPC Data'!$E:$E,Summary!$D96,'BPC Data'!$B:$B,Summary!$C96)</f>
        <v>0</v>
      </c>
      <c r="M96" s="61">
        <f ca="1">SUMIFS(OFFSET('BPC Data'!$F:$F,0,Summary!M$2),'BPC Data'!$E:$E,Summary!$D96,'BPC Data'!$B:$B,Summary!$C96)</f>
        <v>0</v>
      </c>
      <c r="N96" s="54">
        <f ca="1">SUMIFS(OFFSET('BPC Data'!$F:$F,0,Summary!N$2),'BPC Data'!$E:$E,Summary!$D96,'BPC Data'!$B:$B,Summary!$C96)</f>
        <v>0</v>
      </c>
      <c r="O96" s="18">
        <f t="shared" ca="1" si="21"/>
        <v>0</v>
      </c>
    </row>
    <row r="97" spans="1:15" s="11" customFormat="1" x14ac:dyDescent="0.55000000000000004">
      <c r="A97" s="11">
        <f>IF(AND(D97&lt;&gt;"",C97=""),A96+1,A96)</f>
        <v>9</v>
      </c>
      <c r="B97" s="4"/>
      <c r="C97" s="4"/>
      <c r="D97" s="4" t="str">
        <f t="shared" si="19"/>
        <v>x</v>
      </c>
      <c r="E97" s="4"/>
      <c r="F97" s="13" t="str">
        <f>INDEX(PropertyList!$D:$D,MATCH(Summary!$A97,PropertyList!$C:$C,0))</f>
        <v>Beachside Nursing Center</v>
      </c>
      <c r="G97" s="59">
        <f ca="1">SUMIFS(OFFSET('BPC Data'!$F:$F,0,Summary!G$2),'BPC Data'!$E:$E,Summary!$D97,'BPC Data'!$B:$B,Summary!$C97)</f>
        <v>0</v>
      </c>
      <c r="H97" s="52">
        <f ca="1">SUMIFS(OFFSET('BPC Data'!$F:$F,0,Summary!H$2),'BPC Data'!$E:$E,Summary!$D97,'BPC Data'!$B:$B,Summary!$C97)</f>
        <v>0</v>
      </c>
      <c r="I97" s="59">
        <f ca="1">SUMIFS(OFFSET('BPC Data'!$F:$F,0,Summary!I$2),'BPC Data'!$E:$E,Summary!$D97,'BPC Data'!$B:$B,Summary!$C97)</f>
        <v>0</v>
      </c>
      <c r="J97" s="52">
        <f ca="1">SUMIFS(OFFSET('BPC Data'!$F:$F,0,Summary!J$2),'BPC Data'!$E:$E,Summary!$D97,'BPC Data'!$B:$B,Summary!$C97)</f>
        <v>0</v>
      </c>
      <c r="K97" s="59">
        <f ca="1">SUMIFS(OFFSET('BPC Data'!$F:$F,0,Summary!K$2),'BPC Data'!$E:$E,Summary!$D97,'BPC Data'!$B:$B,Summary!$C97)</f>
        <v>0</v>
      </c>
      <c r="L97" s="52">
        <f ca="1">SUMIFS(OFFSET('BPC Data'!$F:$F,0,Summary!L$2),'BPC Data'!$E:$E,Summary!$D97,'BPC Data'!$B:$B,Summary!$C97)</f>
        <v>0</v>
      </c>
      <c r="M97" s="59">
        <f ca="1">SUMIFS(OFFSET('BPC Data'!$F:$F,0,Summary!M$2),'BPC Data'!$E:$E,Summary!$D97,'BPC Data'!$B:$B,Summary!$C97)</f>
        <v>0</v>
      </c>
      <c r="N97" s="52">
        <f ca="1">SUMIFS(OFFSET('BPC Data'!$F:$F,0,Summary!N$2),'BPC Data'!$E:$E,Summary!$D97,'BPC Data'!$B:$B,Summary!$C97)</f>
        <v>0</v>
      </c>
      <c r="O97" s="18">
        <f t="shared" ca="1" si="21"/>
        <v>0</v>
      </c>
    </row>
    <row r="98" spans="1:15" s="11" customFormat="1" x14ac:dyDescent="0.55000000000000004">
      <c r="A98" s="11">
        <f>IF(AND(F98&lt;&gt;"",D98=""),A97+1,A97)</f>
        <v>9</v>
      </c>
      <c r="C98" t="str">
        <f>$F97</f>
        <v>Beachside Nursing Center</v>
      </c>
      <c r="D98" s="3" t="str">
        <f t="shared" si="19"/>
        <v>PAY_PAT_DAYS - Total Payor Patient Days</v>
      </c>
      <c r="F98" s="14" t="str">
        <f>_xll.EVDES(D98)</f>
        <v>Total Payor Patient Days</v>
      </c>
      <c r="G98" s="60">
        <f ca="1">SUMIFS(OFFSET('BPC Data'!$F:$F,0,Summary!G$2),'BPC Data'!$E:$E,Summary!$D98,'BPC Data'!$B:$B,Summary!$C98)</f>
        <v>1471</v>
      </c>
      <c r="H98" s="53">
        <f ca="1">SUMIFS(OFFSET('BPC Data'!$F:$F,0,Summary!H$2),'BPC Data'!$E:$E,Summary!$D98,'BPC Data'!$B:$B,Summary!$C98)</f>
        <v>1286</v>
      </c>
      <c r="I98" s="60">
        <f ca="1">SUMIFS(OFFSET('BPC Data'!$F:$F,0,Summary!I$2),'BPC Data'!$E:$E,Summary!$D98,'BPC Data'!$B:$B,Summary!$C98)</f>
        <v>1525</v>
      </c>
      <c r="J98" s="53">
        <f ca="1">SUMIFS(OFFSET('BPC Data'!$F:$F,0,Summary!J$2),'BPC Data'!$E:$E,Summary!$D98,'BPC Data'!$B:$B,Summary!$C98)</f>
        <v>1404</v>
      </c>
      <c r="K98" s="60">
        <f ca="1">SUMIFS(OFFSET('BPC Data'!$F:$F,0,Summary!K$2),'BPC Data'!$E:$E,Summary!$D98,'BPC Data'!$B:$B,Summary!$C98)</f>
        <v>1378</v>
      </c>
      <c r="L98" s="53">
        <f ca="1">SUMIFS(OFFSET('BPC Data'!$F:$F,0,Summary!L$2),'BPC Data'!$E:$E,Summary!$D98,'BPC Data'!$B:$B,Summary!$C98)</f>
        <v>1297</v>
      </c>
      <c r="M98" s="60">
        <f ca="1">SUMIFS(OFFSET('BPC Data'!$F:$F,0,Summary!M$2),'BPC Data'!$E:$E,Summary!$D98,'BPC Data'!$B:$B,Summary!$C98)</f>
        <v>1508</v>
      </c>
      <c r="N98" s="53">
        <f ca="1">SUMIFS(OFFSET('BPC Data'!$F:$F,0,Summary!N$2),'BPC Data'!$E:$E,Summary!$D98,'BPC Data'!$B:$B,Summary!$C98)</f>
        <v>1531</v>
      </c>
      <c r="O98" s="18">
        <f t="shared" ca="1" si="21"/>
        <v>11400</v>
      </c>
    </row>
    <row r="99" spans="1:15" s="11" customFormat="1" x14ac:dyDescent="0.55000000000000004">
      <c r="A99" s="11">
        <f t="shared" ref="A99:A107" si="22">IF(AND(F99&lt;&gt;"",D99=""),A98+1,A98)</f>
        <v>9</v>
      </c>
      <c r="C99" t="str">
        <f>$F97</f>
        <v>Beachside Nursing Center</v>
      </c>
      <c r="D99" s="3" t="str">
        <f t="shared" si="19"/>
        <v>A_BEDS_TOTAL - Total Available Beds</v>
      </c>
      <c r="F99" s="14" t="str">
        <f>_xll.EVDES(D99)</f>
        <v>Total Available Beds</v>
      </c>
      <c r="G99" s="60">
        <f ca="1">SUMIFS(OFFSET('BPC Data'!$F:$F,0,Summary!G$2),'BPC Data'!$E:$E,Summary!$D99,'BPC Data'!$B:$B,Summary!$C99)</f>
        <v>59</v>
      </c>
      <c r="H99" s="53">
        <f ca="1">SUMIFS(OFFSET('BPC Data'!$F:$F,0,Summary!H$2),'BPC Data'!$E:$E,Summary!$D99,'BPC Data'!$B:$B,Summary!$C99)</f>
        <v>59</v>
      </c>
      <c r="I99" s="60">
        <f ca="1">SUMIFS(OFFSET('BPC Data'!$F:$F,0,Summary!I$2),'BPC Data'!$E:$E,Summary!$D99,'BPC Data'!$B:$B,Summary!$C99)</f>
        <v>59</v>
      </c>
      <c r="J99" s="53">
        <f ca="1">SUMIFS(OFFSET('BPC Data'!$F:$F,0,Summary!J$2),'BPC Data'!$E:$E,Summary!$D99,'BPC Data'!$B:$B,Summary!$C99)</f>
        <v>59</v>
      </c>
      <c r="K99" s="60">
        <f ca="1">SUMIFS(OFFSET('BPC Data'!$F:$F,0,Summary!K$2),'BPC Data'!$E:$E,Summary!$D99,'BPC Data'!$B:$B,Summary!$C99)</f>
        <v>59</v>
      </c>
      <c r="L99" s="53">
        <f ca="1">SUMIFS(OFFSET('BPC Data'!$F:$F,0,Summary!L$2),'BPC Data'!$E:$E,Summary!$D99,'BPC Data'!$B:$B,Summary!$C99)</f>
        <v>59</v>
      </c>
      <c r="M99" s="60">
        <f ca="1">SUMIFS(OFFSET('BPC Data'!$F:$F,0,Summary!M$2),'BPC Data'!$E:$E,Summary!$D99,'BPC Data'!$B:$B,Summary!$C99)</f>
        <v>59</v>
      </c>
      <c r="N99" s="53">
        <f ca="1">SUMIFS(OFFSET('BPC Data'!$F:$F,0,Summary!N$2),'BPC Data'!$E:$E,Summary!$D99,'BPC Data'!$B:$B,Summary!$C99)</f>
        <v>59</v>
      </c>
      <c r="O99" s="18">
        <f ca="1">N99</f>
        <v>59</v>
      </c>
    </row>
    <row r="100" spans="1:15" s="11" customFormat="1" x14ac:dyDescent="0.55000000000000004">
      <c r="A100" s="11">
        <f t="shared" si="22"/>
        <v>9</v>
      </c>
      <c r="B100"/>
      <c r="C100" t="str">
        <f>$F97</f>
        <v>Beachside Nursing Center</v>
      </c>
      <c r="D100" s="3" t="str">
        <f t="shared" si="19"/>
        <v>T_REVENUES - Total Tenant Revenues</v>
      </c>
      <c r="E100"/>
      <c r="F100" s="14" t="str">
        <f>_xll.EVDES(D100)</f>
        <v>Total Tenant Revenues</v>
      </c>
      <c r="G100" s="60">
        <f ca="1">SUMIFS(OFFSET('BPC Data'!$F:$F,0,Summary!G$2),'BPC Data'!$E:$E,Summary!$D100,'BPC Data'!$B:$B,Summary!$C100)</f>
        <v>839219.9</v>
      </c>
      <c r="H100" s="53">
        <f ca="1">SUMIFS(OFFSET('BPC Data'!$F:$F,0,Summary!H$2),'BPC Data'!$E:$E,Summary!$D100,'BPC Data'!$B:$B,Summary!$C100)</f>
        <v>738389.31</v>
      </c>
      <c r="I100" s="60">
        <f ca="1">SUMIFS(OFFSET('BPC Data'!$F:$F,0,Summary!I$2),'BPC Data'!$E:$E,Summary!$D100,'BPC Data'!$B:$B,Summary!$C100)</f>
        <v>878914.93</v>
      </c>
      <c r="J100" s="53">
        <f ca="1">SUMIFS(OFFSET('BPC Data'!$F:$F,0,Summary!J$2),'BPC Data'!$E:$E,Summary!$D100,'BPC Data'!$B:$B,Summary!$C100)</f>
        <v>800917.57</v>
      </c>
      <c r="K100" s="60">
        <f ca="1">SUMIFS(OFFSET('BPC Data'!$F:$F,0,Summary!K$2),'BPC Data'!$E:$E,Summary!$D100,'BPC Data'!$B:$B,Summary!$C100)</f>
        <v>841549.33</v>
      </c>
      <c r="L100" s="53">
        <f ca="1">SUMIFS(OFFSET('BPC Data'!$F:$F,0,Summary!L$2),'BPC Data'!$E:$E,Summary!$D100,'BPC Data'!$B:$B,Summary!$C100)</f>
        <v>733965.13</v>
      </c>
      <c r="M100" s="60">
        <f ca="1">SUMIFS(OFFSET('BPC Data'!$F:$F,0,Summary!M$2),'BPC Data'!$E:$E,Summary!$D100,'BPC Data'!$B:$B,Summary!$C100)</f>
        <v>844277.9</v>
      </c>
      <c r="N100" s="53">
        <f ca="1">SUMIFS(OFFSET('BPC Data'!$F:$F,0,Summary!N$2),'BPC Data'!$E:$E,Summary!$D100,'BPC Data'!$B:$B,Summary!$C100)</f>
        <v>863620.72</v>
      </c>
      <c r="O100" s="18">
        <f t="shared" ref="O100:O109" ca="1" si="23">SUM(G100:N100)</f>
        <v>6540854.79</v>
      </c>
    </row>
    <row r="101" spans="1:15" s="11" customFormat="1" x14ac:dyDescent="0.55000000000000004">
      <c r="A101" s="11">
        <f t="shared" si="22"/>
        <v>9</v>
      </c>
      <c r="B101"/>
      <c r="C101" t="str">
        <f>$F97</f>
        <v>Beachside Nursing Center</v>
      </c>
      <c r="D101" s="3" t="str">
        <f t="shared" si="19"/>
        <v>T_OPEX - Tenant Operating Expenses</v>
      </c>
      <c r="E101"/>
      <c r="F101" s="14" t="str">
        <f>_xll.EVDES(D101)</f>
        <v>Tenant Operating Expenses</v>
      </c>
      <c r="G101" s="60">
        <f ca="1">SUMIFS(OFFSET('BPC Data'!$F:$F,0,Summary!G$2),'BPC Data'!$E:$E,Summary!$D101,'BPC Data'!$B:$B,Summary!$C101)</f>
        <v>540783.1</v>
      </c>
      <c r="H101" s="53">
        <f ca="1">SUMIFS(OFFSET('BPC Data'!$F:$F,0,Summary!H$2),'BPC Data'!$E:$E,Summary!$D101,'BPC Data'!$B:$B,Summary!$C101)</f>
        <v>629884.11</v>
      </c>
      <c r="I101" s="60">
        <f ca="1">SUMIFS(OFFSET('BPC Data'!$F:$F,0,Summary!I$2),'BPC Data'!$E:$E,Summary!$D101,'BPC Data'!$B:$B,Summary!$C101)</f>
        <v>645516.6</v>
      </c>
      <c r="J101" s="53">
        <f ca="1">SUMIFS(OFFSET('BPC Data'!$F:$F,0,Summary!J$2),'BPC Data'!$E:$E,Summary!$D101,'BPC Data'!$B:$B,Summary!$C101)</f>
        <v>644548.9</v>
      </c>
      <c r="K101" s="60">
        <f ca="1">SUMIFS(OFFSET('BPC Data'!$F:$F,0,Summary!K$2),'BPC Data'!$E:$E,Summary!$D101,'BPC Data'!$B:$B,Summary!$C101)</f>
        <v>648958.61</v>
      </c>
      <c r="L101" s="53">
        <f ca="1">SUMIFS(OFFSET('BPC Data'!$F:$F,0,Summary!L$2),'BPC Data'!$E:$E,Summary!$D101,'BPC Data'!$B:$B,Summary!$C101)</f>
        <v>626801.56000000006</v>
      </c>
      <c r="M101" s="60">
        <f ca="1">SUMIFS(OFFSET('BPC Data'!$F:$F,0,Summary!M$2),'BPC Data'!$E:$E,Summary!$D101,'BPC Data'!$B:$B,Summary!$C101)</f>
        <v>591816.92000000004</v>
      </c>
      <c r="N101" s="53">
        <f ca="1">SUMIFS(OFFSET('BPC Data'!$F:$F,0,Summary!N$2),'BPC Data'!$E:$E,Summary!$D101,'BPC Data'!$B:$B,Summary!$C101)</f>
        <v>641181.31999999995</v>
      </c>
      <c r="O101" s="18">
        <f t="shared" ca="1" si="23"/>
        <v>4969491.12</v>
      </c>
    </row>
    <row r="102" spans="1:15" s="11" customFormat="1" x14ac:dyDescent="0.55000000000000004">
      <c r="A102" s="11">
        <f t="shared" si="22"/>
        <v>9</v>
      </c>
      <c r="B102"/>
      <c r="C102" t="str">
        <f>$F97</f>
        <v>Beachside Nursing Center</v>
      </c>
      <c r="D102" s="3" t="str">
        <f t="shared" si="19"/>
        <v>T_BAD_DEBT - Tenant Bad Debt Expense</v>
      </c>
      <c r="E102"/>
      <c r="F102" s="14" t="str">
        <f>_xll.EVDES(D102)</f>
        <v>Tenant Bad Debt Expense</v>
      </c>
      <c r="G102" s="60">
        <f ca="1">SUMIFS(OFFSET('BPC Data'!$F:$F,0,Summary!G$2),'BPC Data'!$E:$E,Summary!$D102,'BPC Data'!$B:$B,Summary!$C102)</f>
        <v>6665.58</v>
      </c>
      <c r="H102" s="53">
        <f ca="1">SUMIFS(OFFSET('BPC Data'!$F:$F,0,Summary!H$2),'BPC Data'!$E:$E,Summary!$D102,'BPC Data'!$B:$B,Summary!$C102)</f>
        <v>10680.11</v>
      </c>
      <c r="I102" s="60">
        <f ca="1">SUMIFS(OFFSET('BPC Data'!$F:$F,0,Summary!I$2),'BPC Data'!$E:$E,Summary!$D102,'BPC Data'!$B:$B,Summary!$C102)</f>
        <v>11346.77</v>
      </c>
      <c r="J102" s="53">
        <f ca="1">SUMIFS(OFFSET('BPC Data'!$F:$F,0,Summary!J$2),'BPC Data'!$E:$E,Summary!$D102,'BPC Data'!$B:$B,Summary!$C102)</f>
        <v>-12175.13</v>
      </c>
      <c r="K102" s="60">
        <f ca="1">SUMIFS(OFFSET('BPC Data'!$F:$F,0,Summary!K$2),'BPC Data'!$E:$E,Summary!$D102,'BPC Data'!$B:$B,Summary!$C102)</f>
        <v>-3446.21</v>
      </c>
      <c r="L102" s="53">
        <f ca="1">SUMIFS(OFFSET('BPC Data'!$F:$F,0,Summary!L$2),'BPC Data'!$E:$E,Summary!$D102,'BPC Data'!$B:$B,Summary!$C102)</f>
        <v>11299.14</v>
      </c>
      <c r="M102" s="60">
        <f ca="1">SUMIFS(OFFSET('BPC Data'!$F:$F,0,Summary!M$2),'BPC Data'!$E:$E,Summary!$D102,'BPC Data'!$B:$B,Summary!$C102)</f>
        <v>15536.15</v>
      </c>
      <c r="N102" s="53">
        <f ca="1">SUMIFS(OFFSET('BPC Data'!$F:$F,0,Summary!N$2),'BPC Data'!$E:$E,Summary!$D102,'BPC Data'!$B:$B,Summary!$C102)</f>
        <v>1421.67</v>
      </c>
      <c r="O102" s="18">
        <f t="shared" ca="1" si="23"/>
        <v>41328.080000000002</v>
      </c>
    </row>
    <row r="103" spans="1:15" s="11" customFormat="1" x14ac:dyDescent="0.55000000000000004">
      <c r="A103" s="11">
        <f t="shared" si="22"/>
        <v>9</v>
      </c>
      <c r="B103"/>
      <c r="C103" t="str">
        <f>$F97</f>
        <v>Beachside Nursing Center</v>
      </c>
      <c r="D103" s="2" t="str">
        <f t="shared" si="19"/>
        <v>T_EBITDARM - EBITDARM</v>
      </c>
      <c r="E103"/>
      <c r="F103" s="14" t="str">
        <f>_xll.EVDES(D103)</f>
        <v>EBITDARM</v>
      </c>
      <c r="G103" s="60">
        <f ca="1">SUMIFS(OFFSET('BPC Data'!$F:$F,0,Summary!G$2),'BPC Data'!$E:$E,Summary!$D103,'BPC Data'!$B:$B,Summary!$C103)</f>
        <v>298436.8</v>
      </c>
      <c r="H103" s="53">
        <f ca="1">SUMIFS(OFFSET('BPC Data'!$F:$F,0,Summary!H$2),'BPC Data'!$E:$E,Summary!$D103,'BPC Data'!$B:$B,Summary!$C103)</f>
        <v>108505.2</v>
      </c>
      <c r="I103" s="60">
        <f ca="1">SUMIFS(OFFSET('BPC Data'!$F:$F,0,Summary!I$2),'BPC Data'!$E:$E,Summary!$D103,'BPC Data'!$B:$B,Summary!$C103)</f>
        <v>233398.33</v>
      </c>
      <c r="J103" s="53">
        <f ca="1">SUMIFS(OFFSET('BPC Data'!$F:$F,0,Summary!J$2),'BPC Data'!$E:$E,Summary!$D103,'BPC Data'!$B:$B,Summary!$C103)</f>
        <v>156368.67000000001</v>
      </c>
      <c r="K103" s="60">
        <f ca="1">SUMIFS(OFFSET('BPC Data'!$F:$F,0,Summary!K$2),'BPC Data'!$E:$E,Summary!$D103,'BPC Data'!$B:$B,Summary!$C103)</f>
        <v>192590.72</v>
      </c>
      <c r="L103" s="53">
        <f ca="1">SUMIFS(OFFSET('BPC Data'!$F:$F,0,Summary!L$2),'BPC Data'!$E:$E,Summary!$D103,'BPC Data'!$B:$B,Summary!$C103)</f>
        <v>107163.57</v>
      </c>
      <c r="M103" s="60">
        <f ca="1">SUMIFS(OFFSET('BPC Data'!$F:$F,0,Summary!M$2),'BPC Data'!$E:$E,Summary!$D103,'BPC Data'!$B:$B,Summary!$C103)</f>
        <v>252460.98</v>
      </c>
      <c r="N103" s="53">
        <f ca="1">SUMIFS(OFFSET('BPC Data'!$F:$F,0,Summary!N$2),'BPC Data'!$E:$E,Summary!$D103,'BPC Data'!$B:$B,Summary!$C103)</f>
        <v>222439.4</v>
      </c>
      <c r="O103" s="18">
        <f t="shared" ca="1" si="23"/>
        <v>1571363.67</v>
      </c>
    </row>
    <row r="104" spans="1:15" s="11" customFormat="1" x14ac:dyDescent="0.55000000000000004">
      <c r="A104" s="11">
        <f t="shared" si="22"/>
        <v>9</v>
      </c>
      <c r="B104"/>
      <c r="C104" t="str">
        <f>$F97</f>
        <v>Beachside Nursing Center</v>
      </c>
      <c r="D104" s="2" t="str">
        <f t="shared" si="19"/>
        <v>T_MGMT_FEE - Tenant Management Fee - Actual</v>
      </c>
      <c r="E104"/>
      <c r="F104" s="14" t="str">
        <f>_xll.EVDES(D104)</f>
        <v>Tenant Management Fee - Actual</v>
      </c>
      <c r="G104" s="60">
        <f ca="1">SUMIFS(OFFSET('BPC Data'!$F:$F,0,Summary!G$2),'BPC Data'!$E:$E,Summary!$D104,'BPC Data'!$B:$B,Summary!$C104)</f>
        <v>37048</v>
      </c>
      <c r="H104" s="53">
        <f ca="1">SUMIFS(OFFSET('BPC Data'!$F:$F,0,Summary!H$2),'BPC Data'!$E:$E,Summary!$D104,'BPC Data'!$B:$B,Summary!$C104)</f>
        <v>41960</v>
      </c>
      <c r="I104" s="60">
        <f ca="1">SUMIFS(OFFSET('BPC Data'!$F:$F,0,Summary!I$2),'BPC Data'!$E:$E,Summary!$D104,'BPC Data'!$B:$B,Summary!$C104)</f>
        <v>36919</v>
      </c>
      <c r="J104" s="53">
        <f ca="1">SUMIFS(OFFSET('BPC Data'!$F:$F,0,Summary!J$2),'BPC Data'!$E:$E,Summary!$D104,'BPC Data'!$B:$B,Summary!$C104)</f>
        <v>43945</v>
      </c>
      <c r="K104" s="60">
        <f ca="1">SUMIFS(OFFSET('BPC Data'!$F:$F,0,Summary!K$2),'BPC Data'!$E:$E,Summary!$D104,'BPC Data'!$B:$B,Summary!$C104)</f>
        <v>40045</v>
      </c>
      <c r="L104" s="53">
        <f ca="1">SUMIFS(OFFSET('BPC Data'!$F:$F,0,Summary!L$2),'BPC Data'!$E:$E,Summary!$D104,'BPC Data'!$B:$B,Summary!$C104)</f>
        <v>41827</v>
      </c>
      <c r="M104" s="60">
        <f ca="1">SUMIFS(OFFSET('BPC Data'!$F:$F,0,Summary!M$2),'BPC Data'!$E:$E,Summary!$D104,'BPC Data'!$B:$B,Summary!$C104)</f>
        <v>36698</v>
      </c>
      <c r="N104" s="53">
        <f ca="1">SUMIFS(OFFSET('BPC Data'!$F:$F,0,Summary!N$2),'BPC Data'!$E:$E,Summary!$D104,'BPC Data'!$B:$B,Summary!$C104)</f>
        <v>42213</v>
      </c>
      <c r="O104" s="18">
        <f t="shared" ca="1" si="23"/>
        <v>320655</v>
      </c>
    </row>
    <row r="105" spans="1:15" s="11" customFormat="1" x14ac:dyDescent="0.55000000000000004">
      <c r="A105" s="11">
        <f t="shared" si="22"/>
        <v>9</v>
      </c>
      <c r="B105"/>
      <c r="C105" t="str">
        <f>$F97</f>
        <v>Beachside Nursing Center</v>
      </c>
      <c r="D105" s="1" t="str">
        <f t="shared" si="19"/>
        <v>T_EBITDAR - EBITDAR</v>
      </c>
      <c r="E105"/>
      <c r="F105" s="14" t="str">
        <f>_xll.EVDES(D105)</f>
        <v>EBITDAR</v>
      </c>
      <c r="G105" s="60">
        <f ca="1">SUMIFS(OFFSET('BPC Data'!$F:$F,0,Summary!G$2),'BPC Data'!$E:$E,Summary!$D105,'BPC Data'!$B:$B,Summary!$C105)</f>
        <v>261388.79999999999</v>
      </c>
      <c r="H105" s="53">
        <f ca="1">SUMIFS(OFFSET('BPC Data'!$F:$F,0,Summary!H$2),'BPC Data'!$E:$E,Summary!$D105,'BPC Data'!$B:$B,Summary!$C105)</f>
        <v>66545.200000000099</v>
      </c>
      <c r="I105" s="60">
        <f ca="1">SUMIFS(OFFSET('BPC Data'!$F:$F,0,Summary!I$2),'BPC Data'!$E:$E,Summary!$D105,'BPC Data'!$B:$B,Summary!$C105)</f>
        <v>196479.33</v>
      </c>
      <c r="J105" s="53">
        <f ca="1">SUMIFS(OFFSET('BPC Data'!$F:$F,0,Summary!J$2),'BPC Data'!$E:$E,Summary!$D105,'BPC Data'!$B:$B,Summary!$C105)</f>
        <v>112423.67</v>
      </c>
      <c r="K105" s="60">
        <f ca="1">SUMIFS(OFFSET('BPC Data'!$F:$F,0,Summary!K$2),'BPC Data'!$E:$E,Summary!$D105,'BPC Data'!$B:$B,Summary!$C105)</f>
        <v>152545.72</v>
      </c>
      <c r="L105" s="53">
        <f ca="1">SUMIFS(OFFSET('BPC Data'!$F:$F,0,Summary!L$2),'BPC Data'!$E:$E,Summary!$D105,'BPC Data'!$B:$B,Summary!$C105)</f>
        <v>65336.570000000102</v>
      </c>
      <c r="M105" s="60">
        <f ca="1">SUMIFS(OFFSET('BPC Data'!$F:$F,0,Summary!M$2),'BPC Data'!$E:$E,Summary!$D105,'BPC Data'!$B:$B,Summary!$C105)</f>
        <v>215762.98</v>
      </c>
      <c r="N105" s="53">
        <f ca="1">SUMIFS(OFFSET('BPC Data'!$F:$F,0,Summary!N$2),'BPC Data'!$E:$E,Summary!$D105,'BPC Data'!$B:$B,Summary!$C105)</f>
        <v>180226.4</v>
      </c>
      <c r="O105" s="18">
        <f t="shared" ca="1" si="23"/>
        <v>1250708.6700000002</v>
      </c>
    </row>
    <row r="106" spans="1:15" s="11" customFormat="1" x14ac:dyDescent="0.55000000000000004">
      <c r="A106" s="11">
        <f t="shared" si="22"/>
        <v>9</v>
      </c>
      <c r="B106"/>
      <c r="C106" t="str">
        <f>$F97</f>
        <v>Beachside Nursing Center</v>
      </c>
      <c r="D106" s="1" t="str">
        <f t="shared" si="19"/>
        <v>T_RENT_EXP - Tenant Rent Expense</v>
      </c>
      <c r="E106"/>
      <c r="F106" s="14" t="str">
        <f>_xll.EVDES(D106)</f>
        <v>Tenant Rent Expense</v>
      </c>
      <c r="G106" s="60">
        <f ca="1">SUMIFS(OFFSET('BPC Data'!$F:$F,0,Summary!G$2),'BPC Data'!$E:$E,Summary!$D106,'BPC Data'!$B:$B,Summary!$C106)</f>
        <v>88647.75</v>
      </c>
      <c r="H106" s="53">
        <f ca="1">SUMIFS(OFFSET('BPC Data'!$F:$F,0,Summary!H$2),'BPC Data'!$E:$E,Summary!$D106,'BPC Data'!$B:$B,Summary!$C106)</f>
        <v>88647.75</v>
      </c>
      <c r="I106" s="60">
        <f ca="1">SUMIFS(OFFSET('BPC Data'!$F:$F,0,Summary!I$2),'BPC Data'!$E:$E,Summary!$D106,'BPC Data'!$B:$B,Summary!$C106)</f>
        <v>88647.75</v>
      </c>
      <c r="J106" s="53">
        <f ca="1">SUMIFS(OFFSET('BPC Data'!$F:$F,0,Summary!J$2),'BPC Data'!$E:$E,Summary!$D106,'BPC Data'!$B:$B,Summary!$C106)</f>
        <v>88647.75</v>
      </c>
      <c r="K106" s="60">
        <f ca="1">SUMIFS(OFFSET('BPC Data'!$F:$F,0,Summary!K$2),'BPC Data'!$E:$E,Summary!$D106,'BPC Data'!$B:$B,Summary!$C106)</f>
        <v>88647.75</v>
      </c>
      <c r="L106" s="53">
        <f ca="1">SUMIFS(OFFSET('BPC Data'!$F:$F,0,Summary!L$2),'BPC Data'!$E:$E,Summary!$D106,'BPC Data'!$B:$B,Summary!$C106)</f>
        <v>88647.75</v>
      </c>
      <c r="M106" s="60">
        <f ca="1">SUMIFS(OFFSET('BPC Data'!$F:$F,0,Summary!M$2),'BPC Data'!$E:$E,Summary!$D106,'BPC Data'!$B:$B,Summary!$C106)</f>
        <v>88163.95</v>
      </c>
      <c r="N106" s="53">
        <f ca="1">SUMIFS(OFFSET('BPC Data'!$F:$F,0,Summary!N$2),'BPC Data'!$E:$E,Summary!$D106,'BPC Data'!$B:$B,Summary!$C106)</f>
        <v>88405.85</v>
      </c>
      <c r="O106" s="18">
        <f t="shared" ca="1" si="23"/>
        <v>708456.29999999993</v>
      </c>
    </row>
    <row r="107" spans="1:15" s="11" customFormat="1" x14ac:dyDescent="0.55000000000000004">
      <c r="A107" s="11">
        <f t="shared" si="22"/>
        <v>9</v>
      </c>
      <c r="B107"/>
      <c r="C107"/>
      <c r="D107" s="1" t="str">
        <f t="shared" si="19"/>
        <v>x</v>
      </c>
      <c r="E107"/>
      <c r="F107" s="14" t="s">
        <v>0</v>
      </c>
      <c r="G107" s="61">
        <f ca="1">SUMIFS(OFFSET('BPC Data'!$F:$F,0,Summary!G$2),'BPC Data'!$E:$E,Summary!$D107,'BPC Data'!$B:$B,Summary!$C107)</f>
        <v>0</v>
      </c>
      <c r="H107" s="54">
        <f ca="1">SUMIFS(OFFSET('BPC Data'!$F:$F,0,Summary!H$2),'BPC Data'!$E:$E,Summary!$D107,'BPC Data'!$B:$B,Summary!$C107)</f>
        <v>0</v>
      </c>
      <c r="I107" s="61">
        <f ca="1">SUMIFS(OFFSET('BPC Data'!$F:$F,0,Summary!I$2),'BPC Data'!$E:$E,Summary!$D107,'BPC Data'!$B:$B,Summary!$C107)</f>
        <v>0</v>
      </c>
      <c r="J107" s="54">
        <f ca="1">SUMIFS(OFFSET('BPC Data'!$F:$F,0,Summary!J$2),'BPC Data'!$E:$E,Summary!$D107,'BPC Data'!$B:$B,Summary!$C107)</f>
        <v>0</v>
      </c>
      <c r="K107" s="61">
        <f ca="1">SUMIFS(OFFSET('BPC Data'!$F:$F,0,Summary!K$2),'BPC Data'!$E:$E,Summary!$D107,'BPC Data'!$B:$B,Summary!$C107)</f>
        <v>0</v>
      </c>
      <c r="L107" s="54">
        <f ca="1">SUMIFS(OFFSET('BPC Data'!$F:$F,0,Summary!L$2),'BPC Data'!$E:$E,Summary!$D107,'BPC Data'!$B:$B,Summary!$C107)</f>
        <v>0</v>
      </c>
      <c r="M107" s="61">
        <f ca="1">SUMIFS(OFFSET('BPC Data'!$F:$F,0,Summary!M$2),'BPC Data'!$E:$E,Summary!$D107,'BPC Data'!$B:$B,Summary!$C107)</f>
        <v>0</v>
      </c>
      <c r="N107" s="54">
        <f ca="1">SUMIFS(OFFSET('BPC Data'!$F:$F,0,Summary!N$2),'BPC Data'!$E:$E,Summary!$D107,'BPC Data'!$B:$B,Summary!$C107)</f>
        <v>0</v>
      </c>
      <c r="O107" s="18">
        <f t="shared" ca="1" si="23"/>
        <v>0</v>
      </c>
    </row>
    <row r="108" spans="1:15" s="11" customFormat="1" x14ac:dyDescent="0.55000000000000004">
      <c r="A108" s="11">
        <f>IF(AND(D108&lt;&gt;"",C108=""),A107+1,A107)</f>
        <v>10</v>
      </c>
      <c r="B108" s="4"/>
      <c r="C108" s="4"/>
      <c r="D108" s="4" t="str">
        <f t="shared" si="19"/>
        <v>x</v>
      </c>
      <c r="E108" s="4"/>
      <c r="F108" s="13" t="str">
        <f>INDEX(PropertyList!$D:$D,MATCH(Summary!$A108,PropertyList!$C:$C,0))</f>
        <v>Chatsworth Park Health Care</v>
      </c>
      <c r="G108" s="59">
        <f ca="1">SUMIFS(OFFSET('BPC Data'!$F:$F,0,Summary!G$2),'BPC Data'!$E:$E,Summary!$D108,'BPC Data'!$B:$B,Summary!$C108)</f>
        <v>0</v>
      </c>
      <c r="H108" s="52">
        <f ca="1">SUMIFS(OFFSET('BPC Data'!$F:$F,0,Summary!H$2),'BPC Data'!$E:$E,Summary!$D108,'BPC Data'!$B:$B,Summary!$C108)</f>
        <v>0</v>
      </c>
      <c r="I108" s="59">
        <f ca="1">SUMIFS(OFFSET('BPC Data'!$F:$F,0,Summary!I$2),'BPC Data'!$E:$E,Summary!$D108,'BPC Data'!$B:$B,Summary!$C108)</f>
        <v>0</v>
      </c>
      <c r="J108" s="52">
        <f ca="1">SUMIFS(OFFSET('BPC Data'!$F:$F,0,Summary!J$2),'BPC Data'!$E:$E,Summary!$D108,'BPC Data'!$B:$B,Summary!$C108)</f>
        <v>0</v>
      </c>
      <c r="K108" s="59">
        <f ca="1">SUMIFS(OFFSET('BPC Data'!$F:$F,0,Summary!K$2),'BPC Data'!$E:$E,Summary!$D108,'BPC Data'!$B:$B,Summary!$C108)</f>
        <v>0</v>
      </c>
      <c r="L108" s="52">
        <f ca="1">SUMIFS(OFFSET('BPC Data'!$F:$F,0,Summary!L$2),'BPC Data'!$E:$E,Summary!$D108,'BPC Data'!$B:$B,Summary!$C108)</f>
        <v>0</v>
      </c>
      <c r="M108" s="59">
        <f ca="1">SUMIFS(OFFSET('BPC Data'!$F:$F,0,Summary!M$2),'BPC Data'!$E:$E,Summary!$D108,'BPC Data'!$B:$B,Summary!$C108)</f>
        <v>0</v>
      </c>
      <c r="N108" s="52">
        <f ca="1">SUMIFS(OFFSET('BPC Data'!$F:$F,0,Summary!N$2),'BPC Data'!$E:$E,Summary!$D108,'BPC Data'!$B:$B,Summary!$C108)</f>
        <v>0</v>
      </c>
      <c r="O108" s="18">
        <f t="shared" ca="1" si="23"/>
        <v>0</v>
      </c>
    </row>
    <row r="109" spans="1:15" s="11" customFormat="1" x14ac:dyDescent="0.55000000000000004">
      <c r="A109" s="11">
        <f>IF(AND(F109&lt;&gt;"",D109=""),A108+1,A108)</f>
        <v>10</v>
      </c>
      <c r="C109" t="str">
        <f>$F108</f>
        <v>Chatsworth Park Health Care</v>
      </c>
      <c r="D109" s="3" t="str">
        <f t="shared" si="19"/>
        <v>PAY_PAT_DAYS - Total Payor Patient Days</v>
      </c>
      <c r="F109" s="14" t="str">
        <f>_xll.EVDES(D109)</f>
        <v>Total Payor Patient Days</v>
      </c>
      <c r="G109" s="60">
        <f ca="1">SUMIFS(OFFSET('BPC Data'!$F:$F,0,Summary!G$2),'BPC Data'!$E:$E,Summary!$D109,'BPC Data'!$B:$B,Summary!$C109)</f>
        <v>2366</v>
      </c>
      <c r="H109" s="53">
        <f ca="1">SUMIFS(OFFSET('BPC Data'!$F:$F,0,Summary!H$2),'BPC Data'!$E:$E,Summary!$D109,'BPC Data'!$B:$B,Summary!$C109)</f>
        <v>2270</v>
      </c>
      <c r="I109" s="60">
        <f ca="1">SUMIFS(OFFSET('BPC Data'!$F:$F,0,Summary!I$2),'BPC Data'!$E:$E,Summary!$D109,'BPC Data'!$B:$B,Summary!$C109)</f>
        <v>2761</v>
      </c>
      <c r="J109" s="53">
        <f ca="1">SUMIFS(OFFSET('BPC Data'!$F:$F,0,Summary!J$2),'BPC Data'!$E:$E,Summary!$D109,'BPC Data'!$B:$B,Summary!$C109)</f>
        <v>2674</v>
      </c>
      <c r="K109" s="60">
        <f ca="1">SUMIFS(OFFSET('BPC Data'!$F:$F,0,Summary!K$2),'BPC Data'!$E:$E,Summary!$D109,'BPC Data'!$B:$B,Summary!$C109)</f>
        <v>2864</v>
      </c>
      <c r="L109" s="53">
        <f ca="1">SUMIFS(OFFSET('BPC Data'!$F:$F,0,Summary!L$2),'BPC Data'!$E:$E,Summary!$D109,'BPC Data'!$B:$B,Summary!$C109)</f>
        <v>3028</v>
      </c>
      <c r="M109" s="60">
        <f ca="1">SUMIFS(OFFSET('BPC Data'!$F:$F,0,Summary!M$2),'BPC Data'!$E:$E,Summary!$D109,'BPC Data'!$B:$B,Summary!$C109)</f>
        <v>3385</v>
      </c>
      <c r="N109" s="53">
        <f ca="1">SUMIFS(OFFSET('BPC Data'!$F:$F,0,Summary!N$2),'BPC Data'!$E:$E,Summary!$D109,'BPC Data'!$B:$B,Summary!$C109)</f>
        <v>3091</v>
      </c>
      <c r="O109" s="18">
        <f t="shared" ca="1" si="23"/>
        <v>22439</v>
      </c>
    </row>
    <row r="110" spans="1:15" s="11" customFormat="1" x14ac:dyDescent="0.55000000000000004">
      <c r="A110" s="11">
        <f t="shared" ref="A110:A118" si="24">IF(AND(F110&lt;&gt;"",D110=""),A109+1,A109)</f>
        <v>10</v>
      </c>
      <c r="C110" t="str">
        <f>$F108</f>
        <v>Chatsworth Park Health Care</v>
      </c>
      <c r="D110" s="3" t="str">
        <f t="shared" si="19"/>
        <v>A_BEDS_TOTAL - Total Available Beds</v>
      </c>
      <c r="F110" s="14" t="str">
        <f>_xll.EVDES(D110)</f>
        <v>Total Available Beds</v>
      </c>
      <c r="G110" s="60">
        <f ca="1">SUMIFS(OFFSET('BPC Data'!$F:$F,0,Summary!G$2),'BPC Data'!$E:$E,Summary!$D110,'BPC Data'!$B:$B,Summary!$C110)</f>
        <v>128</v>
      </c>
      <c r="H110" s="53">
        <f ca="1">SUMIFS(OFFSET('BPC Data'!$F:$F,0,Summary!H$2),'BPC Data'!$E:$E,Summary!$D110,'BPC Data'!$B:$B,Summary!$C110)</f>
        <v>128</v>
      </c>
      <c r="I110" s="60">
        <f ca="1">SUMIFS(OFFSET('BPC Data'!$F:$F,0,Summary!I$2),'BPC Data'!$E:$E,Summary!$D110,'BPC Data'!$B:$B,Summary!$C110)</f>
        <v>128</v>
      </c>
      <c r="J110" s="53">
        <f ca="1">SUMIFS(OFFSET('BPC Data'!$F:$F,0,Summary!J$2),'BPC Data'!$E:$E,Summary!$D110,'BPC Data'!$B:$B,Summary!$C110)</f>
        <v>128</v>
      </c>
      <c r="K110" s="60">
        <f ca="1">SUMIFS(OFFSET('BPC Data'!$F:$F,0,Summary!K$2),'BPC Data'!$E:$E,Summary!$D110,'BPC Data'!$B:$B,Summary!$C110)</f>
        <v>128</v>
      </c>
      <c r="L110" s="53">
        <f ca="1">SUMIFS(OFFSET('BPC Data'!$F:$F,0,Summary!L$2),'BPC Data'!$E:$E,Summary!$D110,'BPC Data'!$B:$B,Summary!$C110)</f>
        <v>128</v>
      </c>
      <c r="M110" s="60">
        <f ca="1">SUMIFS(OFFSET('BPC Data'!$F:$F,0,Summary!M$2),'BPC Data'!$E:$E,Summary!$D110,'BPC Data'!$B:$B,Summary!$C110)</f>
        <v>128</v>
      </c>
      <c r="N110" s="53">
        <f ca="1">SUMIFS(OFFSET('BPC Data'!$F:$F,0,Summary!N$2),'BPC Data'!$E:$E,Summary!$D110,'BPC Data'!$B:$B,Summary!$C110)</f>
        <v>128</v>
      </c>
      <c r="O110" s="18">
        <f ca="1">N110</f>
        <v>128</v>
      </c>
    </row>
    <row r="111" spans="1:15" s="11" customFormat="1" x14ac:dyDescent="0.55000000000000004">
      <c r="A111" s="11">
        <f t="shared" si="24"/>
        <v>10</v>
      </c>
      <c r="B111"/>
      <c r="C111" t="str">
        <f>$F108</f>
        <v>Chatsworth Park Health Care</v>
      </c>
      <c r="D111" s="3" t="str">
        <f t="shared" si="19"/>
        <v>T_REVENUES - Total Tenant Revenues</v>
      </c>
      <c r="E111"/>
      <c r="F111" s="14" t="str">
        <f>_xll.EVDES(D111)</f>
        <v>Total Tenant Revenues</v>
      </c>
      <c r="G111" s="60">
        <f ca="1">SUMIFS(OFFSET('BPC Data'!$F:$F,0,Summary!G$2),'BPC Data'!$E:$E,Summary!$D111,'BPC Data'!$B:$B,Summary!$C111)</f>
        <v>925019.6</v>
      </c>
      <c r="H111" s="53">
        <f ca="1">SUMIFS(OFFSET('BPC Data'!$F:$F,0,Summary!H$2),'BPC Data'!$E:$E,Summary!$D111,'BPC Data'!$B:$B,Summary!$C111)</f>
        <v>926728.17</v>
      </c>
      <c r="I111" s="60">
        <f ca="1">SUMIFS(OFFSET('BPC Data'!$F:$F,0,Summary!I$2),'BPC Data'!$E:$E,Summary!$D111,'BPC Data'!$B:$B,Summary!$C111)</f>
        <v>1197759.75</v>
      </c>
      <c r="J111" s="53">
        <f ca="1">SUMIFS(OFFSET('BPC Data'!$F:$F,0,Summary!J$2),'BPC Data'!$E:$E,Summary!$D111,'BPC Data'!$B:$B,Summary!$C111)</f>
        <v>1062794.08</v>
      </c>
      <c r="K111" s="60">
        <f ca="1">SUMIFS(OFFSET('BPC Data'!$F:$F,0,Summary!K$2),'BPC Data'!$E:$E,Summary!$D111,'BPC Data'!$B:$B,Summary!$C111)</f>
        <v>1159546.8999999999</v>
      </c>
      <c r="L111" s="53">
        <f ca="1">SUMIFS(OFFSET('BPC Data'!$F:$F,0,Summary!L$2),'BPC Data'!$E:$E,Summary!$D111,'BPC Data'!$B:$B,Summary!$C111)</f>
        <v>1293413.3999999999</v>
      </c>
      <c r="M111" s="60">
        <f ca="1">SUMIFS(OFFSET('BPC Data'!$F:$F,0,Summary!M$2),'BPC Data'!$E:$E,Summary!$D111,'BPC Data'!$B:$B,Summary!$C111)</f>
        <v>1442963.41</v>
      </c>
      <c r="N111" s="53">
        <f ca="1">SUMIFS(OFFSET('BPC Data'!$F:$F,0,Summary!N$2),'BPC Data'!$E:$E,Summary!$D111,'BPC Data'!$B:$B,Summary!$C111)</f>
        <v>1312678.83</v>
      </c>
      <c r="O111" s="18">
        <f t="shared" ref="O111:O120" ca="1" si="25">SUM(G111:N111)</f>
        <v>9320904.1400000006</v>
      </c>
    </row>
    <row r="112" spans="1:15" s="11" customFormat="1" x14ac:dyDescent="0.55000000000000004">
      <c r="A112" s="11">
        <f t="shared" si="24"/>
        <v>10</v>
      </c>
      <c r="B112"/>
      <c r="C112" t="str">
        <f>$F108</f>
        <v>Chatsworth Park Health Care</v>
      </c>
      <c r="D112" s="3" t="str">
        <f t="shared" si="19"/>
        <v>T_OPEX - Tenant Operating Expenses</v>
      </c>
      <c r="E112"/>
      <c r="F112" s="14" t="str">
        <f>_xll.EVDES(D112)</f>
        <v>Tenant Operating Expenses</v>
      </c>
      <c r="G112" s="60">
        <f ca="1">SUMIFS(OFFSET('BPC Data'!$F:$F,0,Summary!G$2),'BPC Data'!$E:$E,Summary!$D112,'BPC Data'!$B:$B,Summary!$C112)</f>
        <v>884905.63</v>
      </c>
      <c r="H112" s="53">
        <f ca="1">SUMIFS(OFFSET('BPC Data'!$F:$F,0,Summary!H$2),'BPC Data'!$E:$E,Summary!$D112,'BPC Data'!$B:$B,Summary!$C112)</f>
        <v>851460.31</v>
      </c>
      <c r="I112" s="60">
        <f ca="1">SUMIFS(OFFSET('BPC Data'!$F:$F,0,Summary!I$2),'BPC Data'!$E:$E,Summary!$D112,'BPC Data'!$B:$B,Summary!$C112)</f>
        <v>941603.09</v>
      </c>
      <c r="J112" s="53">
        <f ca="1">SUMIFS(OFFSET('BPC Data'!$F:$F,0,Summary!J$2),'BPC Data'!$E:$E,Summary!$D112,'BPC Data'!$B:$B,Summary!$C112)</f>
        <v>926376.21</v>
      </c>
      <c r="K112" s="60">
        <f ca="1">SUMIFS(OFFSET('BPC Data'!$F:$F,0,Summary!K$2),'BPC Data'!$E:$E,Summary!$D112,'BPC Data'!$B:$B,Summary!$C112)</f>
        <v>894760.25</v>
      </c>
      <c r="L112" s="53">
        <f ca="1">SUMIFS(OFFSET('BPC Data'!$F:$F,0,Summary!L$2),'BPC Data'!$E:$E,Summary!$D112,'BPC Data'!$B:$B,Summary!$C112)</f>
        <v>1035109.36</v>
      </c>
      <c r="M112" s="60">
        <f ca="1">SUMIFS(OFFSET('BPC Data'!$F:$F,0,Summary!M$2),'BPC Data'!$E:$E,Summary!$D112,'BPC Data'!$B:$B,Summary!$C112)</f>
        <v>1107627.55</v>
      </c>
      <c r="N112" s="53">
        <f ca="1">SUMIFS(OFFSET('BPC Data'!$F:$F,0,Summary!N$2),'BPC Data'!$E:$E,Summary!$D112,'BPC Data'!$B:$B,Summary!$C112)</f>
        <v>1063621.9099999999</v>
      </c>
      <c r="O112" s="18">
        <f t="shared" ca="1" si="25"/>
        <v>7705464.3100000005</v>
      </c>
    </row>
    <row r="113" spans="1:15" s="11" customFormat="1" x14ac:dyDescent="0.55000000000000004">
      <c r="A113" s="11">
        <f t="shared" si="24"/>
        <v>10</v>
      </c>
      <c r="B113"/>
      <c r="C113" t="str">
        <f>$F108</f>
        <v>Chatsworth Park Health Care</v>
      </c>
      <c r="D113" s="3" t="str">
        <f t="shared" si="19"/>
        <v>T_BAD_DEBT - Tenant Bad Debt Expense</v>
      </c>
      <c r="E113"/>
      <c r="F113" s="14" t="str">
        <f>_xll.EVDES(D113)</f>
        <v>Tenant Bad Debt Expense</v>
      </c>
      <c r="G113" s="60">
        <f ca="1">SUMIFS(OFFSET('BPC Data'!$F:$F,0,Summary!G$2),'BPC Data'!$E:$E,Summary!$D113,'BPC Data'!$B:$B,Summary!$C113)</f>
        <v>53138.55</v>
      </c>
      <c r="H113" s="53">
        <f ca="1">SUMIFS(OFFSET('BPC Data'!$F:$F,0,Summary!H$2),'BPC Data'!$E:$E,Summary!$D113,'BPC Data'!$B:$B,Summary!$C113)</f>
        <v>36236.53</v>
      </c>
      <c r="I113" s="60">
        <f ca="1">SUMIFS(OFFSET('BPC Data'!$F:$F,0,Summary!I$2),'BPC Data'!$E:$E,Summary!$D113,'BPC Data'!$B:$B,Summary!$C113)</f>
        <v>30076.77</v>
      </c>
      <c r="J113" s="53">
        <f ca="1">SUMIFS(OFFSET('BPC Data'!$F:$F,0,Summary!J$2),'BPC Data'!$E:$E,Summary!$D113,'BPC Data'!$B:$B,Summary!$C113)</f>
        <v>-7581.61</v>
      </c>
      <c r="K113" s="60">
        <f ca="1">SUMIFS(OFFSET('BPC Data'!$F:$F,0,Summary!K$2),'BPC Data'!$E:$E,Summary!$D113,'BPC Data'!$B:$B,Summary!$C113)</f>
        <v>-24231.14</v>
      </c>
      <c r="L113" s="53">
        <f ca="1">SUMIFS(OFFSET('BPC Data'!$F:$F,0,Summary!L$2),'BPC Data'!$E:$E,Summary!$D113,'BPC Data'!$B:$B,Summary!$C113)</f>
        <v>24164.83</v>
      </c>
      <c r="M113" s="60">
        <f ca="1">SUMIFS(OFFSET('BPC Data'!$F:$F,0,Summary!M$2),'BPC Data'!$E:$E,Summary!$D113,'BPC Data'!$B:$B,Summary!$C113)</f>
        <v>4988.8500000000004</v>
      </c>
      <c r="N113" s="53">
        <f ca="1">SUMIFS(OFFSET('BPC Data'!$F:$F,0,Summary!N$2),'BPC Data'!$E:$E,Summary!$D113,'BPC Data'!$B:$B,Summary!$C113)</f>
        <v>41897.81</v>
      </c>
      <c r="O113" s="18">
        <f t="shared" ca="1" si="25"/>
        <v>158690.59000000003</v>
      </c>
    </row>
    <row r="114" spans="1:15" s="11" customFormat="1" x14ac:dyDescent="0.55000000000000004">
      <c r="A114" s="11">
        <f t="shared" si="24"/>
        <v>10</v>
      </c>
      <c r="B114"/>
      <c r="C114" t="str">
        <f>$F108</f>
        <v>Chatsworth Park Health Care</v>
      </c>
      <c r="D114" s="2" t="str">
        <f t="shared" si="19"/>
        <v>T_EBITDARM - EBITDARM</v>
      </c>
      <c r="E114"/>
      <c r="F114" s="14" t="str">
        <f>_xll.EVDES(D114)</f>
        <v>EBITDARM</v>
      </c>
      <c r="G114" s="60">
        <f ca="1">SUMIFS(OFFSET('BPC Data'!$F:$F,0,Summary!G$2),'BPC Data'!$E:$E,Summary!$D114,'BPC Data'!$B:$B,Summary!$C114)</f>
        <v>40113.97</v>
      </c>
      <c r="H114" s="53">
        <f ca="1">SUMIFS(OFFSET('BPC Data'!$F:$F,0,Summary!H$2),'BPC Data'!$E:$E,Summary!$D114,'BPC Data'!$B:$B,Summary!$C114)</f>
        <v>75267.860000000102</v>
      </c>
      <c r="I114" s="60">
        <f ca="1">SUMIFS(OFFSET('BPC Data'!$F:$F,0,Summary!I$2),'BPC Data'!$E:$E,Summary!$D114,'BPC Data'!$B:$B,Summary!$C114)</f>
        <v>256156.66</v>
      </c>
      <c r="J114" s="53">
        <f ca="1">SUMIFS(OFFSET('BPC Data'!$F:$F,0,Summary!J$2),'BPC Data'!$E:$E,Summary!$D114,'BPC Data'!$B:$B,Summary!$C114)</f>
        <v>136417.87</v>
      </c>
      <c r="K114" s="60">
        <f ca="1">SUMIFS(OFFSET('BPC Data'!$F:$F,0,Summary!K$2),'BPC Data'!$E:$E,Summary!$D114,'BPC Data'!$B:$B,Summary!$C114)</f>
        <v>264786.65000000002</v>
      </c>
      <c r="L114" s="53">
        <f ca="1">SUMIFS(OFFSET('BPC Data'!$F:$F,0,Summary!L$2),'BPC Data'!$E:$E,Summary!$D114,'BPC Data'!$B:$B,Summary!$C114)</f>
        <v>258304.04</v>
      </c>
      <c r="M114" s="60">
        <f ca="1">SUMIFS(OFFSET('BPC Data'!$F:$F,0,Summary!M$2),'BPC Data'!$E:$E,Summary!$D114,'BPC Data'!$B:$B,Summary!$C114)</f>
        <v>335335.86</v>
      </c>
      <c r="N114" s="53">
        <f ca="1">SUMIFS(OFFSET('BPC Data'!$F:$F,0,Summary!N$2),'BPC Data'!$E:$E,Summary!$D114,'BPC Data'!$B:$B,Summary!$C114)</f>
        <v>249056.92</v>
      </c>
      <c r="O114" s="18">
        <f t="shared" ca="1" si="25"/>
        <v>1615439.83</v>
      </c>
    </row>
    <row r="115" spans="1:15" s="11" customFormat="1" x14ac:dyDescent="0.55000000000000004">
      <c r="A115" s="11">
        <f t="shared" si="24"/>
        <v>10</v>
      </c>
      <c r="B115"/>
      <c r="C115" t="str">
        <f>$F108</f>
        <v>Chatsworth Park Health Care</v>
      </c>
      <c r="D115" s="2" t="str">
        <f t="shared" si="19"/>
        <v>T_MGMT_FEE - Tenant Management Fee - Actual</v>
      </c>
      <c r="E115"/>
      <c r="F115" s="14" t="str">
        <f>_xll.EVDES(D115)</f>
        <v>Tenant Management Fee - Actual</v>
      </c>
      <c r="G115" s="60">
        <f ca="1">SUMIFS(OFFSET('BPC Data'!$F:$F,0,Summary!G$2),'BPC Data'!$E:$E,Summary!$D115,'BPC Data'!$B:$B,Summary!$C115)</f>
        <v>36485</v>
      </c>
      <c r="H115" s="53">
        <f ca="1">SUMIFS(OFFSET('BPC Data'!$F:$F,0,Summary!H$2),'BPC Data'!$E:$E,Summary!$D115,'BPC Data'!$B:$B,Summary!$C115)</f>
        <v>46250</v>
      </c>
      <c r="I115" s="60">
        <f ca="1">SUMIFS(OFFSET('BPC Data'!$F:$F,0,Summary!I$2),'BPC Data'!$E:$E,Summary!$D115,'BPC Data'!$B:$B,Summary!$C115)</f>
        <v>46336</v>
      </c>
      <c r="J115" s="53">
        <f ca="1">SUMIFS(OFFSET('BPC Data'!$F:$F,0,Summary!J$2),'BPC Data'!$E:$E,Summary!$D115,'BPC Data'!$B:$B,Summary!$C115)</f>
        <v>59887</v>
      </c>
      <c r="K115" s="60">
        <f ca="1">SUMIFS(OFFSET('BPC Data'!$F:$F,0,Summary!K$2),'BPC Data'!$E:$E,Summary!$D115,'BPC Data'!$B:$B,Summary!$C115)</f>
        <v>53139</v>
      </c>
      <c r="L115" s="53">
        <f ca="1">SUMIFS(OFFSET('BPC Data'!$F:$F,0,Summary!L$2),'BPC Data'!$E:$E,Summary!$D115,'BPC Data'!$B:$B,Summary!$C115)</f>
        <v>57977</v>
      </c>
      <c r="M115" s="60">
        <f ca="1">SUMIFS(OFFSET('BPC Data'!$F:$F,0,Summary!M$2),'BPC Data'!$E:$E,Summary!$D115,'BPC Data'!$B:$B,Summary!$C115)</f>
        <v>64670</v>
      </c>
      <c r="N115" s="53">
        <f ca="1">SUMIFS(OFFSET('BPC Data'!$F:$F,0,Summary!N$2),'BPC Data'!$E:$E,Summary!$D115,'BPC Data'!$B:$B,Summary!$C115)</f>
        <v>72148</v>
      </c>
      <c r="O115" s="18">
        <f t="shared" ca="1" si="25"/>
        <v>436892</v>
      </c>
    </row>
    <row r="116" spans="1:15" s="11" customFormat="1" x14ac:dyDescent="0.55000000000000004">
      <c r="A116" s="11">
        <f t="shared" si="24"/>
        <v>10</v>
      </c>
      <c r="B116"/>
      <c r="C116" t="str">
        <f>$F108</f>
        <v>Chatsworth Park Health Care</v>
      </c>
      <c r="D116" s="1" t="str">
        <f t="shared" si="19"/>
        <v>T_EBITDAR - EBITDAR</v>
      </c>
      <c r="E116"/>
      <c r="F116" s="14" t="str">
        <f>_xll.EVDES(D116)</f>
        <v>EBITDAR</v>
      </c>
      <c r="G116" s="60">
        <f ca="1">SUMIFS(OFFSET('BPC Data'!$F:$F,0,Summary!G$2),'BPC Data'!$E:$E,Summary!$D116,'BPC Data'!$B:$B,Summary!$C116)</f>
        <v>3628.9699999999698</v>
      </c>
      <c r="H116" s="53">
        <f ca="1">SUMIFS(OFFSET('BPC Data'!$F:$F,0,Summary!H$2),'BPC Data'!$E:$E,Summary!$D116,'BPC Data'!$B:$B,Summary!$C116)</f>
        <v>29017.860000000099</v>
      </c>
      <c r="I116" s="60">
        <f ca="1">SUMIFS(OFFSET('BPC Data'!$F:$F,0,Summary!I$2),'BPC Data'!$E:$E,Summary!$D116,'BPC Data'!$B:$B,Summary!$C116)</f>
        <v>209820.66</v>
      </c>
      <c r="J116" s="53">
        <f ca="1">SUMIFS(OFFSET('BPC Data'!$F:$F,0,Summary!J$2),'BPC Data'!$E:$E,Summary!$D116,'BPC Data'!$B:$B,Summary!$C116)</f>
        <v>76530.87</v>
      </c>
      <c r="K116" s="60">
        <f ca="1">SUMIFS(OFFSET('BPC Data'!$F:$F,0,Summary!K$2),'BPC Data'!$E:$E,Summary!$D116,'BPC Data'!$B:$B,Summary!$C116)</f>
        <v>211647.65</v>
      </c>
      <c r="L116" s="53">
        <f ca="1">SUMIFS(OFFSET('BPC Data'!$F:$F,0,Summary!L$2),'BPC Data'!$E:$E,Summary!$D116,'BPC Data'!$B:$B,Summary!$C116)</f>
        <v>200327.04000000001</v>
      </c>
      <c r="M116" s="60">
        <f ca="1">SUMIFS(OFFSET('BPC Data'!$F:$F,0,Summary!M$2),'BPC Data'!$E:$E,Summary!$D116,'BPC Data'!$B:$B,Summary!$C116)</f>
        <v>270665.86</v>
      </c>
      <c r="N116" s="53">
        <f ca="1">SUMIFS(OFFSET('BPC Data'!$F:$F,0,Summary!N$2),'BPC Data'!$E:$E,Summary!$D116,'BPC Data'!$B:$B,Summary!$C116)</f>
        <v>176908.92</v>
      </c>
      <c r="O116" s="18">
        <f t="shared" ca="1" si="25"/>
        <v>1178547.83</v>
      </c>
    </row>
    <row r="117" spans="1:15" s="11" customFormat="1" x14ac:dyDescent="0.55000000000000004">
      <c r="A117" s="11">
        <f t="shared" si="24"/>
        <v>10</v>
      </c>
      <c r="B117"/>
      <c r="C117" t="str">
        <f>$F108</f>
        <v>Chatsworth Park Health Care</v>
      </c>
      <c r="D117" s="1" t="str">
        <f t="shared" si="19"/>
        <v>T_RENT_EXP - Tenant Rent Expense</v>
      </c>
      <c r="E117"/>
      <c r="F117" s="14" t="str">
        <f>_xll.EVDES(D117)</f>
        <v>Tenant Rent Expense</v>
      </c>
      <c r="G117" s="60">
        <f ca="1">SUMIFS(OFFSET('BPC Data'!$F:$F,0,Summary!G$2),'BPC Data'!$E:$E,Summary!$D117,'BPC Data'!$B:$B,Summary!$C117)</f>
        <v>179469.53</v>
      </c>
      <c r="H117" s="53">
        <f ca="1">SUMIFS(OFFSET('BPC Data'!$F:$F,0,Summary!H$2),'BPC Data'!$E:$E,Summary!$D117,'BPC Data'!$B:$B,Summary!$C117)</f>
        <v>179469.53</v>
      </c>
      <c r="I117" s="60">
        <f ca="1">SUMIFS(OFFSET('BPC Data'!$F:$F,0,Summary!I$2),'BPC Data'!$E:$E,Summary!$D117,'BPC Data'!$B:$B,Summary!$C117)</f>
        <v>179469.53</v>
      </c>
      <c r="J117" s="53">
        <f ca="1">SUMIFS(OFFSET('BPC Data'!$F:$F,0,Summary!J$2),'BPC Data'!$E:$E,Summary!$D117,'BPC Data'!$B:$B,Summary!$C117)</f>
        <v>179469.53</v>
      </c>
      <c r="K117" s="60">
        <f ca="1">SUMIFS(OFFSET('BPC Data'!$F:$F,0,Summary!K$2),'BPC Data'!$E:$E,Summary!$D117,'BPC Data'!$B:$B,Summary!$C117)</f>
        <v>179469.53</v>
      </c>
      <c r="L117" s="53">
        <f ca="1">SUMIFS(OFFSET('BPC Data'!$F:$F,0,Summary!L$2),'BPC Data'!$E:$E,Summary!$D117,'BPC Data'!$B:$B,Summary!$C117)</f>
        <v>179469.53</v>
      </c>
      <c r="M117" s="60">
        <f ca="1">SUMIFS(OFFSET('BPC Data'!$F:$F,0,Summary!M$2),'BPC Data'!$E:$E,Summary!$D117,'BPC Data'!$B:$B,Summary!$C117)</f>
        <v>179469.53</v>
      </c>
      <c r="N117" s="53">
        <f ca="1">SUMIFS(OFFSET('BPC Data'!$F:$F,0,Summary!N$2),'BPC Data'!$E:$E,Summary!$D117,'BPC Data'!$B:$B,Summary!$C117)</f>
        <v>179469.53</v>
      </c>
      <c r="O117" s="18">
        <f t="shared" ca="1" si="25"/>
        <v>1435756.24</v>
      </c>
    </row>
    <row r="118" spans="1:15" s="11" customFormat="1" x14ac:dyDescent="0.55000000000000004">
      <c r="A118" s="11">
        <f t="shared" si="24"/>
        <v>10</v>
      </c>
      <c r="B118"/>
      <c r="C118"/>
      <c r="D118" s="1" t="str">
        <f t="shared" si="19"/>
        <v>x</v>
      </c>
      <c r="E118"/>
      <c r="F118" s="14" t="s">
        <v>0</v>
      </c>
      <c r="G118" s="62">
        <f ca="1">SUMIFS(OFFSET('BPC Data'!$F:$F,0,Summary!G$2),'BPC Data'!$E:$E,Summary!$D118,'BPC Data'!$B:$B,Summary!$C118)</f>
        <v>0</v>
      </c>
      <c r="H118" s="55">
        <f ca="1">SUMIFS(OFFSET('BPC Data'!$F:$F,0,Summary!H$2),'BPC Data'!$E:$E,Summary!$D118,'BPC Data'!$B:$B,Summary!$C118)</f>
        <v>0</v>
      </c>
      <c r="I118" s="62">
        <f ca="1">SUMIFS(OFFSET('BPC Data'!$F:$F,0,Summary!I$2),'BPC Data'!$E:$E,Summary!$D118,'BPC Data'!$B:$B,Summary!$C118)</f>
        <v>0</v>
      </c>
      <c r="J118" s="55">
        <f ca="1">SUMIFS(OFFSET('BPC Data'!$F:$F,0,Summary!J$2),'BPC Data'!$E:$E,Summary!$D118,'BPC Data'!$B:$B,Summary!$C118)</f>
        <v>0</v>
      </c>
      <c r="K118" s="62">
        <f ca="1">SUMIFS(OFFSET('BPC Data'!$F:$F,0,Summary!K$2),'BPC Data'!$E:$E,Summary!$D118,'BPC Data'!$B:$B,Summary!$C118)</f>
        <v>0</v>
      </c>
      <c r="L118" s="55">
        <f ca="1">SUMIFS(OFFSET('BPC Data'!$F:$F,0,Summary!L$2),'BPC Data'!$E:$E,Summary!$D118,'BPC Data'!$B:$B,Summary!$C118)</f>
        <v>0</v>
      </c>
      <c r="M118" s="62">
        <f ca="1">SUMIFS(OFFSET('BPC Data'!$F:$F,0,Summary!M$2),'BPC Data'!$E:$E,Summary!$D118,'BPC Data'!$B:$B,Summary!$C118)</f>
        <v>0</v>
      </c>
      <c r="N118" s="55">
        <f ca="1">SUMIFS(OFFSET('BPC Data'!$F:$F,0,Summary!N$2),'BPC Data'!$E:$E,Summary!$D118,'BPC Data'!$B:$B,Summary!$C118)</f>
        <v>0</v>
      </c>
      <c r="O118" s="18">
        <f t="shared" ca="1" si="25"/>
        <v>0</v>
      </c>
    </row>
    <row r="119" spans="1:15" s="11" customFormat="1" x14ac:dyDescent="0.55000000000000004">
      <c r="A119" s="11">
        <f>IF(AND(D119&lt;&gt;"",C119=""),A118+1,A118)</f>
        <v>11</v>
      </c>
      <c r="B119" s="4"/>
      <c r="C119" s="4"/>
      <c r="D119" s="4" t="str">
        <f t="shared" si="19"/>
        <v>x</v>
      </c>
      <c r="E119" s="4"/>
      <c r="F119" s="13" t="str">
        <f>INDEX(PropertyList!$D:$D,MATCH(Summary!$A119,PropertyList!$C:$C,0))</f>
        <v>Cottonwood Post-Acute Rehab</v>
      </c>
      <c r="G119" s="59">
        <f ca="1">SUMIFS(OFFSET('BPC Data'!$F:$F,0,Summary!G$2),'BPC Data'!$E:$E,Summary!$D119,'BPC Data'!$B:$B,Summary!$C119)</f>
        <v>0</v>
      </c>
      <c r="H119" s="52">
        <f ca="1">SUMIFS(OFFSET('BPC Data'!$F:$F,0,Summary!H$2),'BPC Data'!$E:$E,Summary!$D119,'BPC Data'!$B:$B,Summary!$C119)</f>
        <v>0</v>
      </c>
      <c r="I119" s="59">
        <f ca="1">SUMIFS(OFFSET('BPC Data'!$F:$F,0,Summary!I$2),'BPC Data'!$E:$E,Summary!$D119,'BPC Data'!$B:$B,Summary!$C119)</f>
        <v>0</v>
      </c>
      <c r="J119" s="52">
        <f ca="1">SUMIFS(OFFSET('BPC Data'!$F:$F,0,Summary!J$2),'BPC Data'!$E:$E,Summary!$D119,'BPC Data'!$B:$B,Summary!$C119)</f>
        <v>0</v>
      </c>
      <c r="K119" s="59">
        <f ca="1">SUMIFS(OFFSET('BPC Data'!$F:$F,0,Summary!K$2),'BPC Data'!$E:$E,Summary!$D119,'BPC Data'!$B:$B,Summary!$C119)</f>
        <v>0</v>
      </c>
      <c r="L119" s="52">
        <f ca="1">SUMIFS(OFFSET('BPC Data'!$F:$F,0,Summary!L$2),'BPC Data'!$E:$E,Summary!$D119,'BPC Data'!$B:$B,Summary!$C119)</f>
        <v>0</v>
      </c>
      <c r="M119" s="59">
        <f ca="1">SUMIFS(OFFSET('BPC Data'!$F:$F,0,Summary!M$2),'BPC Data'!$E:$E,Summary!$D119,'BPC Data'!$B:$B,Summary!$C119)</f>
        <v>0</v>
      </c>
      <c r="N119" s="52">
        <f ca="1">SUMIFS(OFFSET('BPC Data'!$F:$F,0,Summary!N$2),'BPC Data'!$E:$E,Summary!$D119,'BPC Data'!$B:$B,Summary!$C119)</f>
        <v>0</v>
      </c>
      <c r="O119" s="18">
        <f t="shared" ca="1" si="25"/>
        <v>0</v>
      </c>
    </row>
    <row r="120" spans="1:15" s="11" customFormat="1" x14ac:dyDescent="0.55000000000000004">
      <c r="A120" s="11">
        <f>IF(AND(F120&lt;&gt;"",D120=""),A119+1,A119)</f>
        <v>11</v>
      </c>
      <c r="C120" t="str">
        <f>$F119</f>
        <v>Cottonwood Post-Acute Rehab</v>
      </c>
      <c r="D120" s="3" t="str">
        <f t="shared" si="19"/>
        <v>PAY_PAT_DAYS - Total Payor Patient Days</v>
      </c>
      <c r="F120" s="14" t="str">
        <f>_xll.EVDES(D120)</f>
        <v>Total Payor Patient Days</v>
      </c>
      <c r="G120" s="60">
        <f ca="1">SUMIFS(OFFSET('BPC Data'!$F:$F,0,Summary!G$2),'BPC Data'!$E:$E,Summary!$D120,'BPC Data'!$B:$B,Summary!$C120)</f>
        <v>2393</v>
      </c>
      <c r="H120" s="53">
        <f ca="1">SUMIFS(OFFSET('BPC Data'!$F:$F,0,Summary!H$2),'BPC Data'!$E:$E,Summary!$D120,'BPC Data'!$B:$B,Summary!$C120)</f>
        <v>2113</v>
      </c>
      <c r="I120" s="60">
        <f ca="1">SUMIFS(OFFSET('BPC Data'!$F:$F,0,Summary!I$2),'BPC Data'!$E:$E,Summary!$D120,'BPC Data'!$B:$B,Summary!$C120)</f>
        <v>2313</v>
      </c>
      <c r="J120" s="53">
        <f ca="1">SUMIFS(OFFSET('BPC Data'!$F:$F,0,Summary!J$2),'BPC Data'!$E:$E,Summary!$D120,'BPC Data'!$B:$B,Summary!$C120)</f>
        <v>2340</v>
      </c>
      <c r="K120" s="60">
        <f ca="1">SUMIFS(OFFSET('BPC Data'!$F:$F,0,Summary!K$2),'BPC Data'!$E:$E,Summary!$D120,'BPC Data'!$B:$B,Summary!$C120)</f>
        <v>2635</v>
      </c>
      <c r="L120" s="53">
        <f ca="1">SUMIFS(OFFSET('BPC Data'!$F:$F,0,Summary!L$2),'BPC Data'!$E:$E,Summary!$D120,'BPC Data'!$B:$B,Summary!$C120)</f>
        <v>2450</v>
      </c>
      <c r="M120" s="60">
        <f ca="1">SUMIFS(OFFSET('BPC Data'!$F:$F,0,Summary!M$2),'BPC Data'!$E:$E,Summary!$D120,'BPC Data'!$B:$B,Summary!$C120)</f>
        <v>2460</v>
      </c>
      <c r="N120" s="53">
        <f ca="1">SUMIFS(OFFSET('BPC Data'!$F:$F,0,Summary!N$2),'BPC Data'!$E:$E,Summary!$D120,'BPC Data'!$B:$B,Summary!$C120)</f>
        <v>2238</v>
      </c>
      <c r="O120" s="18">
        <f t="shared" ca="1" si="25"/>
        <v>18942</v>
      </c>
    </row>
    <row r="121" spans="1:15" s="11" customFormat="1" x14ac:dyDescent="0.55000000000000004">
      <c r="A121" s="11">
        <f t="shared" ref="A121:A129" si="26">IF(AND(F121&lt;&gt;"",D121=""),A120+1,A120)</f>
        <v>11</v>
      </c>
      <c r="C121" t="str">
        <f>$F119</f>
        <v>Cottonwood Post-Acute Rehab</v>
      </c>
      <c r="D121" s="3" t="str">
        <f t="shared" si="19"/>
        <v>A_BEDS_TOTAL - Total Available Beds</v>
      </c>
      <c r="F121" s="14" t="str">
        <f>_xll.EVDES(D121)</f>
        <v>Total Available Beds</v>
      </c>
      <c r="G121" s="60">
        <f ca="1">SUMIFS(OFFSET('BPC Data'!$F:$F,0,Summary!G$2),'BPC Data'!$E:$E,Summary!$D121,'BPC Data'!$B:$B,Summary!$C121)</f>
        <v>98</v>
      </c>
      <c r="H121" s="53">
        <f ca="1">SUMIFS(OFFSET('BPC Data'!$F:$F,0,Summary!H$2),'BPC Data'!$E:$E,Summary!$D121,'BPC Data'!$B:$B,Summary!$C121)</f>
        <v>98</v>
      </c>
      <c r="I121" s="60">
        <f ca="1">SUMIFS(OFFSET('BPC Data'!$F:$F,0,Summary!I$2),'BPC Data'!$E:$E,Summary!$D121,'BPC Data'!$B:$B,Summary!$C121)</f>
        <v>98</v>
      </c>
      <c r="J121" s="53">
        <f ca="1">SUMIFS(OFFSET('BPC Data'!$F:$F,0,Summary!J$2),'BPC Data'!$E:$E,Summary!$D121,'BPC Data'!$B:$B,Summary!$C121)</f>
        <v>98</v>
      </c>
      <c r="K121" s="60">
        <f ca="1">SUMIFS(OFFSET('BPC Data'!$F:$F,0,Summary!K$2),'BPC Data'!$E:$E,Summary!$D121,'BPC Data'!$B:$B,Summary!$C121)</f>
        <v>98</v>
      </c>
      <c r="L121" s="53">
        <f ca="1">SUMIFS(OFFSET('BPC Data'!$F:$F,0,Summary!L$2),'BPC Data'!$E:$E,Summary!$D121,'BPC Data'!$B:$B,Summary!$C121)</f>
        <v>98</v>
      </c>
      <c r="M121" s="60">
        <f ca="1">SUMIFS(OFFSET('BPC Data'!$F:$F,0,Summary!M$2),'BPC Data'!$E:$E,Summary!$D121,'BPC Data'!$B:$B,Summary!$C121)</f>
        <v>98</v>
      </c>
      <c r="N121" s="53">
        <f ca="1">SUMIFS(OFFSET('BPC Data'!$F:$F,0,Summary!N$2),'BPC Data'!$E:$E,Summary!$D121,'BPC Data'!$B:$B,Summary!$C121)</f>
        <v>98</v>
      </c>
      <c r="O121" s="18">
        <f ca="1">N121</f>
        <v>98</v>
      </c>
    </row>
    <row r="122" spans="1:15" s="11" customFormat="1" x14ac:dyDescent="0.55000000000000004">
      <c r="A122" s="11">
        <f t="shared" si="26"/>
        <v>11</v>
      </c>
      <c r="B122"/>
      <c r="C122" t="str">
        <f>$F119</f>
        <v>Cottonwood Post-Acute Rehab</v>
      </c>
      <c r="D122" s="3" t="str">
        <f t="shared" si="19"/>
        <v>T_REVENUES - Total Tenant Revenues</v>
      </c>
      <c r="E122"/>
      <c r="F122" s="14" t="str">
        <f>_xll.EVDES(D122)</f>
        <v>Total Tenant Revenues</v>
      </c>
      <c r="G122" s="60">
        <f ca="1">SUMIFS(OFFSET('BPC Data'!$F:$F,0,Summary!G$2),'BPC Data'!$E:$E,Summary!$D122,'BPC Data'!$B:$B,Summary!$C122)</f>
        <v>1022427.06</v>
      </c>
      <c r="H122" s="53">
        <f ca="1">SUMIFS(OFFSET('BPC Data'!$F:$F,0,Summary!H$2),'BPC Data'!$E:$E,Summary!$D122,'BPC Data'!$B:$B,Summary!$C122)</f>
        <v>779327.93</v>
      </c>
      <c r="I122" s="60">
        <f ca="1">SUMIFS(OFFSET('BPC Data'!$F:$F,0,Summary!I$2),'BPC Data'!$E:$E,Summary!$D122,'BPC Data'!$B:$B,Summary!$C122)</f>
        <v>975503.84</v>
      </c>
      <c r="J122" s="53">
        <f ca="1">SUMIFS(OFFSET('BPC Data'!$F:$F,0,Summary!J$2),'BPC Data'!$E:$E,Summary!$D122,'BPC Data'!$B:$B,Summary!$C122)</f>
        <v>929831.7</v>
      </c>
      <c r="K122" s="60">
        <f ca="1">SUMIFS(OFFSET('BPC Data'!$F:$F,0,Summary!K$2),'BPC Data'!$E:$E,Summary!$D122,'BPC Data'!$B:$B,Summary!$C122)</f>
        <v>1077877.75</v>
      </c>
      <c r="L122" s="53">
        <f ca="1">SUMIFS(OFFSET('BPC Data'!$F:$F,0,Summary!L$2),'BPC Data'!$E:$E,Summary!$D122,'BPC Data'!$B:$B,Summary!$C122)</f>
        <v>1045043.31</v>
      </c>
      <c r="M122" s="60">
        <f ca="1">SUMIFS(OFFSET('BPC Data'!$F:$F,0,Summary!M$2),'BPC Data'!$E:$E,Summary!$D122,'BPC Data'!$B:$B,Summary!$C122)</f>
        <v>1227329.47</v>
      </c>
      <c r="N122" s="53">
        <f ca="1">SUMIFS(OFFSET('BPC Data'!$F:$F,0,Summary!N$2),'BPC Data'!$E:$E,Summary!$D122,'BPC Data'!$B:$B,Summary!$C122)</f>
        <v>1106968.25</v>
      </c>
      <c r="O122" s="18">
        <f t="shared" ref="O122:O131" ca="1" si="27">SUM(G122:N122)</f>
        <v>8164309.3099999996</v>
      </c>
    </row>
    <row r="123" spans="1:15" s="11" customFormat="1" x14ac:dyDescent="0.55000000000000004">
      <c r="A123" s="11">
        <f t="shared" si="26"/>
        <v>11</v>
      </c>
      <c r="B123"/>
      <c r="C123" t="str">
        <f>$F119</f>
        <v>Cottonwood Post-Acute Rehab</v>
      </c>
      <c r="D123" s="3" t="str">
        <f t="shared" si="19"/>
        <v>T_OPEX - Tenant Operating Expenses</v>
      </c>
      <c r="E123"/>
      <c r="F123" s="14" t="str">
        <f>_xll.EVDES(D123)</f>
        <v>Tenant Operating Expenses</v>
      </c>
      <c r="G123" s="60">
        <f ca="1">SUMIFS(OFFSET('BPC Data'!$F:$F,0,Summary!G$2),'BPC Data'!$E:$E,Summary!$D123,'BPC Data'!$B:$B,Summary!$C123)</f>
        <v>836785.81</v>
      </c>
      <c r="H123" s="53">
        <f ca="1">SUMIFS(OFFSET('BPC Data'!$F:$F,0,Summary!H$2),'BPC Data'!$E:$E,Summary!$D123,'BPC Data'!$B:$B,Summary!$C123)</f>
        <v>764959.89</v>
      </c>
      <c r="I123" s="60">
        <f ca="1">SUMIFS(OFFSET('BPC Data'!$F:$F,0,Summary!I$2),'BPC Data'!$E:$E,Summary!$D123,'BPC Data'!$B:$B,Summary!$C123)</f>
        <v>821207.55</v>
      </c>
      <c r="J123" s="53">
        <f ca="1">SUMIFS(OFFSET('BPC Data'!$F:$F,0,Summary!J$2),'BPC Data'!$E:$E,Summary!$D123,'BPC Data'!$B:$B,Summary!$C123)</f>
        <v>802252.56</v>
      </c>
      <c r="K123" s="60">
        <f ca="1">SUMIFS(OFFSET('BPC Data'!$F:$F,0,Summary!K$2),'BPC Data'!$E:$E,Summary!$D123,'BPC Data'!$B:$B,Summary!$C123)</f>
        <v>756342.73</v>
      </c>
      <c r="L123" s="53">
        <f ca="1">SUMIFS(OFFSET('BPC Data'!$F:$F,0,Summary!L$2),'BPC Data'!$E:$E,Summary!$D123,'BPC Data'!$B:$B,Summary!$C123)</f>
        <v>865664.43</v>
      </c>
      <c r="M123" s="60">
        <f ca="1">SUMIFS(OFFSET('BPC Data'!$F:$F,0,Summary!M$2),'BPC Data'!$E:$E,Summary!$D123,'BPC Data'!$B:$B,Summary!$C123)</f>
        <v>856995.99</v>
      </c>
      <c r="N123" s="53">
        <f ca="1">SUMIFS(OFFSET('BPC Data'!$F:$F,0,Summary!N$2),'BPC Data'!$E:$E,Summary!$D123,'BPC Data'!$B:$B,Summary!$C123)</f>
        <v>963212.72</v>
      </c>
      <c r="O123" s="18">
        <f t="shared" ca="1" si="27"/>
        <v>6667421.6799999997</v>
      </c>
    </row>
    <row r="124" spans="1:15" s="11" customFormat="1" x14ac:dyDescent="0.55000000000000004">
      <c r="A124" s="11">
        <f t="shared" si="26"/>
        <v>11</v>
      </c>
      <c r="B124"/>
      <c r="C124" t="str">
        <f>$F119</f>
        <v>Cottonwood Post-Acute Rehab</v>
      </c>
      <c r="D124" s="3" t="str">
        <f t="shared" si="19"/>
        <v>T_BAD_DEBT - Tenant Bad Debt Expense</v>
      </c>
      <c r="E124"/>
      <c r="F124" s="14" t="str">
        <f>_xll.EVDES(D124)</f>
        <v>Tenant Bad Debt Expense</v>
      </c>
      <c r="G124" s="60">
        <f ca="1">SUMIFS(OFFSET('BPC Data'!$F:$F,0,Summary!G$2),'BPC Data'!$E:$E,Summary!$D124,'BPC Data'!$B:$B,Summary!$C124)</f>
        <v>-12058.37</v>
      </c>
      <c r="H124" s="53">
        <f ca="1">SUMIFS(OFFSET('BPC Data'!$F:$F,0,Summary!H$2),'BPC Data'!$E:$E,Summary!$D124,'BPC Data'!$B:$B,Summary!$C124)</f>
        <v>-28106.13</v>
      </c>
      <c r="I124" s="60">
        <f ca="1">SUMIFS(OFFSET('BPC Data'!$F:$F,0,Summary!I$2),'BPC Data'!$E:$E,Summary!$D124,'BPC Data'!$B:$B,Summary!$C124)</f>
        <v>19346.22</v>
      </c>
      <c r="J124" s="53">
        <f ca="1">SUMIFS(OFFSET('BPC Data'!$F:$F,0,Summary!J$2),'BPC Data'!$E:$E,Summary!$D124,'BPC Data'!$B:$B,Summary!$C124)</f>
        <v>38940.68</v>
      </c>
      <c r="K124" s="60">
        <f ca="1">SUMIFS(OFFSET('BPC Data'!$F:$F,0,Summary!K$2),'BPC Data'!$E:$E,Summary!$D124,'BPC Data'!$B:$B,Summary!$C124)</f>
        <v>-19946.310000000001</v>
      </c>
      <c r="L124" s="53">
        <f ca="1">SUMIFS(OFFSET('BPC Data'!$F:$F,0,Summary!L$2),'BPC Data'!$E:$E,Summary!$D124,'BPC Data'!$B:$B,Summary!$C124)</f>
        <v>2580.2399999999998</v>
      </c>
      <c r="M124" s="60">
        <f ca="1">SUMIFS(OFFSET('BPC Data'!$F:$F,0,Summary!M$2),'BPC Data'!$E:$E,Summary!$D124,'BPC Data'!$B:$B,Summary!$C124)</f>
        <v>-41063.980000000003</v>
      </c>
      <c r="N124" s="53">
        <f ca="1">SUMIFS(OFFSET('BPC Data'!$F:$F,0,Summary!N$2),'BPC Data'!$E:$E,Summary!$D124,'BPC Data'!$B:$B,Summary!$C124)</f>
        <v>18875.599999999999</v>
      </c>
      <c r="O124" s="18">
        <f t="shared" ca="1" si="27"/>
        <v>-21432.050000000003</v>
      </c>
    </row>
    <row r="125" spans="1:15" s="11" customFormat="1" x14ac:dyDescent="0.55000000000000004">
      <c r="A125" s="11">
        <f t="shared" si="26"/>
        <v>11</v>
      </c>
      <c r="B125"/>
      <c r="C125" t="str">
        <f>$F119</f>
        <v>Cottonwood Post-Acute Rehab</v>
      </c>
      <c r="D125" s="2" t="str">
        <f t="shared" si="19"/>
        <v>T_EBITDARM - EBITDARM</v>
      </c>
      <c r="E125"/>
      <c r="F125" s="14" t="str">
        <f>_xll.EVDES(D125)</f>
        <v>EBITDARM</v>
      </c>
      <c r="G125" s="60">
        <f ca="1">SUMIFS(OFFSET('BPC Data'!$F:$F,0,Summary!G$2),'BPC Data'!$E:$E,Summary!$D125,'BPC Data'!$B:$B,Summary!$C125)</f>
        <v>185641.25</v>
      </c>
      <c r="H125" s="53">
        <f ca="1">SUMIFS(OFFSET('BPC Data'!$F:$F,0,Summary!H$2),'BPC Data'!$E:$E,Summary!$D125,'BPC Data'!$B:$B,Summary!$C125)</f>
        <v>14368.04</v>
      </c>
      <c r="I125" s="60">
        <f ca="1">SUMIFS(OFFSET('BPC Data'!$F:$F,0,Summary!I$2),'BPC Data'!$E:$E,Summary!$D125,'BPC Data'!$B:$B,Summary!$C125)</f>
        <v>154296.29</v>
      </c>
      <c r="J125" s="53">
        <f ca="1">SUMIFS(OFFSET('BPC Data'!$F:$F,0,Summary!J$2),'BPC Data'!$E:$E,Summary!$D125,'BPC Data'!$B:$B,Summary!$C125)</f>
        <v>127579.14</v>
      </c>
      <c r="K125" s="60">
        <f ca="1">SUMIFS(OFFSET('BPC Data'!$F:$F,0,Summary!K$2),'BPC Data'!$E:$E,Summary!$D125,'BPC Data'!$B:$B,Summary!$C125)</f>
        <v>321535.02</v>
      </c>
      <c r="L125" s="53">
        <f ca="1">SUMIFS(OFFSET('BPC Data'!$F:$F,0,Summary!L$2),'BPC Data'!$E:$E,Summary!$D125,'BPC Data'!$B:$B,Summary!$C125)</f>
        <v>179378.88</v>
      </c>
      <c r="M125" s="60">
        <f ca="1">SUMIFS(OFFSET('BPC Data'!$F:$F,0,Summary!M$2),'BPC Data'!$E:$E,Summary!$D125,'BPC Data'!$B:$B,Summary!$C125)</f>
        <v>370333.48</v>
      </c>
      <c r="N125" s="53">
        <f ca="1">SUMIFS(OFFSET('BPC Data'!$F:$F,0,Summary!N$2),'BPC Data'!$E:$E,Summary!$D125,'BPC Data'!$B:$B,Summary!$C125)</f>
        <v>143755.53</v>
      </c>
      <c r="O125" s="18">
        <f t="shared" ca="1" si="27"/>
        <v>1496887.6300000001</v>
      </c>
    </row>
    <row r="126" spans="1:15" s="11" customFormat="1" x14ac:dyDescent="0.55000000000000004">
      <c r="A126" s="11">
        <f t="shared" si="26"/>
        <v>11</v>
      </c>
      <c r="B126"/>
      <c r="C126" t="str">
        <f>$F119</f>
        <v>Cottonwood Post-Acute Rehab</v>
      </c>
      <c r="D126" s="2" t="str">
        <f t="shared" si="19"/>
        <v>T_MGMT_FEE - Tenant Management Fee - Actual</v>
      </c>
      <c r="E126"/>
      <c r="F126" s="14" t="str">
        <f>_xll.EVDES(D126)</f>
        <v>Tenant Management Fee - Actual</v>
      </c>
      <c r="G126" s="60">
        <f ca="1">SUMIFS(OFFSET('BPC Data'!$F:$F,0,Summary!G$2),'BPC Data'!$E:$E,Summary!$D126,'BPC Data'!$B:$B,Summary!$C126)</f>
        <v>44739</v>
      </c>
      <c r="H126" s="53">
        <f ca="1">SUMIFS(OFFSET('BPC Data'!$F:$F,0,Summary!H$2),'BPC Data'!$E:$E,Summary!$D126,'BPC Data'!$B:$B,Summary!$C126)</f>
        <v>49768</v>
      </c>
      <c r="I126" s="60">
        <f ca="1">SUMIFS(OFFSET('BPC Data'!$F:$F,0,Summary!I$2),'BPC Data'!$E:$E,Summary!$D126,'BPC Data'!$B:$B,Summary!$C126)</f>
        <v>38966</v>
      </c>
      <c r="J126" s="53">
        <f ca="1">SUMIFS(OFFSET('BPC Data'!$F:$F,0,Summary!J$2),'BPC Data'!$E:$E,Summary!$D126,'BPC Data'!$B:$B,Summary!$C126)</f>
        <v>48775</v>
      </c>
      <c r="K126" s="60">
        <f ca="1">SUMIFS(OFFSET('BPC Data'!$F:$F,0,Summary!K$2),'BPC Data'!$E:$E,Summary!$D126,'BPC Data'!$B:$B,Summary!$C126)</f>
        <v>46491</v>
      </c>
      <c r="L126" s="53">
        <f ca="1">SUMIFS(OFFSET('BPC Data'!$F:$F,0,Summary!L$2),'BPC Data'!$E:$E,Summary!$D126,'BPC Data'!$B:$B,Summary!$C126)</f>
        <v>55246</v>
      </c>
      <c r="M126" s="60">
        <f ca="1">SUMIFS(OFFSET('BPC Data'!$F:$F,0,Summary!M$2),'BPC Data'!$E:$E,Summary!$D126,'BPC Data'!$B:$B,Summary!$C126)</f>
        <v>52252</v>
      </c>
      <c r="N126" s="53">
        <f ca="1">SUMIFS(OFFSET('BPC Data'!$F:$F,0,Summary!N$2),'BPC Data'!$E:$E,Summary!$D126,'BPC Data'!$B:$B,Summary!$C126)</f>
        <v>61366</v>
      </c>
      <c r="O126" s="18">
        <f t="shared" ca="1" si="27"/>
        <v>397603</v>
      </c>
    </row>
    <row r="127" spans="1:15" s="11" customFormat="1" x14ac:dyDescent="0.55000000000000004">
      <c r="A127" s="11">
        <f t="shared" si="26"/>
        <v>11</v>
      </c>
      <c r="B127"/>
      <c r="C127" t="str">
        <f>$F119</f>
        <v>Cottonwood Post-Acute Rehab</v>
      </c>
      <c r="D127" s="1" t="str">
        <f t="shared" si="19"/>
        <v>T_EBITDAR - EBITDAR</v>
      </c>
      <c r="E127"/>
      <c r="F127" s="14" t="str">
        <f>_xll.EVDES(D127)</f>
        <v>EBITDAR</v>
      </c>
      <c r="G127" s="60">
        <f ca="1">SUMIFS(OFFSET('BPC Data'!$F:$F,0,Summary!G$2),'BPC Data'!$E:$E,Summary!$D127,'BPC Data'!$B:$B,Summary!$C127)</f>
        <v>140902.25</v>
      </c>
      <c r="H127" s="53">
        <f ca="1">SUMIFS(OFFSET('BPC Data'!$F:$F,0,Summary!H$2),'BPC Data'!$E:$E,Summary!$D127,'BPC Data'!$B:$B,Summary!$C127)</f>
        <v>-35399.96</v>
      </c>
      <c r="I127" s="60">
        <f ca="1">SUMIFS(OFFSET('BPC Data'!$F:$F,0,Summary!I$2),'BPC Data'!$E:$E,Summary!$D127,'BPC Data'!$B:$B,Summary!$C127)</f>
        <v>115330.29</v>
      </c>
      <c r="J127" s="53">
        <f ca="1">SUMIFS(OFFSET('BPC Data'!$F:$F,0,Summary!J$2),'BPC Data'!$E:$E,Summary!$D127,'BPC Data'!$B:$B,Summary!$C127)</f>
        <v>78804.14</v>
      </c>
      <c r="K127" s="60">
        <f ca="1">SUMIFS(OFFSET('BPC Data'!$F:$F,0,Summary!K$2),'BPC Data'!$E:$E,Summary!$D127,'BPC Data'!$B:$B,Summary!$C127)</f>
        <v>275044.02</v>
      </c>
      <c r="L127" s="53">
        <f ca="1">SUMIFS(OFFSET('BPC Data'!$F:$F,0,Summary!L$2),'BPC Data'!$E:$E,Summary!$D127,'BPC Data'!$B:$B,Summary!$C127)</f>
        <v>124132.88</v>
      </c>
      <c r="M127" s="60">
        <f ca="1">SUMIFS(OFFSET('BPC Data'!$F:$F,0,Summary!M$2),'BPC Data'!$E:$E,Summary!$D127,'BPC Data'!$B:$B,Summary!$C127)</f>
        <v>318081.48</v>
      </c>
      <c r="N127" s="53">
        <f ca="1">SUMIFS(OFFSET('BPC Data'!$F:$F,0,Summary!N$2),'BPC Data'!$E:$E,Summary!$D127,'BPC Data'!$B:$B,Summary!$C127)</f>
        <v>82389.53</v>
      </c>
      <c r="O127" s="18">
        <f t="shared" ca="1" si="27"/>
        <v>1099284.6299999999</v>
      </c>
    </row>
    <row r="128" spans="1:15" s="11" customFormat="1" x14ac:dyDescent="0.55000000000000004">
      <c r="A128" s="11">
        <f t="shared" si="26"/>
        <v>11</v>
      </c>
      <c r="B128"/>
      <c r="C128" t="str">
        <f>$F119</f>
        <v>Cottonwood Post-Acute Rehab</v>
      </c>
      <c r="D128" s="1" t="str">
        <f t="shared" si="19"/>
        <v>T_RENT_EXP - Tenant Rent Expense</v>
      </c>
      <c r="E128"/>
      <c r="F128" s="14" t="str">
        <f>_xll.EVDES(D128)</f>
        <v>Tenant Rent Expense</v>
      </c>
      <c r="G128" s="60">
        <f ca="1">SUMIFS(OFFSET('BPC Data'!$F:$F,0,Summary!G$2),'BPC Data'!$E:$E,Summary!$D128,'BPC Data'!$B:$B,Summary!$C128)</f>
        <v>57056.76</v>
      </c>
      <c r="H128" s="53">
        <f ca="1">SUMIFS(OFFSET('BPC Data'!$F:$F,0,Summary!H$2),'BPC Data'!$E:$E,Summary!$D128,'BPC Data'!$B:$B,Summary!$C128)</f>
        <v>57056.76</v>
      </c>
      <c r="I128" s="60">
        <f ca="1">SUMIFS(OFFSET('BPC Data'!$F:$F,0,Summary!I$2),'BPC Data'!$E:$E,Summary!$D128,'BPC Data'!$B:$B,Summary!$C128)</f>
        <v>57056.76</v>
      </c>
      <c r="J128" s="53">
        <f ca="1">SUMIFS(OFFSET('BPC Data'!$F:$F,0,Summary!J$2),'BPC Data'!$E:$E,Summary!$D128,'BPC Data'!$B:$B,Summary!$C128)</f>
        <v>57056.76</v>
      </c>
      <c r="K128" s="60">
        <f ca="1">SUMIFS(OFFSET('BPC Data'!$F:$F,0,Summary!K$2),'BPC Data'!$E:$E,Summary!$D128,'BPC Data'!$B:$B,Summary!$C128)</f>
        <v>57056.76</v>
      </c>
      <c r="L128" s="53">
        <f ca="1">SUMIFS(OFFSET('BPC Data'!$F:$F,0,Summary!L$2),'BPC Data'!$E:$E,Summary!$D128,'BPC Data'!$B:$B,Summary!$C128)</f>
        <v>57056.76</v>
      </c>
      <c r="M128" s="60">
        <f ca="1">SUMIFS(OFFSET('BPC Data'!$F:$F,0,Summary!M$2),'BPC Data'!$E:$E,Summary!$D128,'BPC Data'!$B:$B,Summary!$C128)</f>
        <v>57056.76</v>
      </c>
      <c r="N128" s="53">
        <f ca="1">SUMIFS(OFFSET('BPC Data'!$F:$F,0,Summary!N$2),'BPC Data'!$E:$E,Summary!$D128,'BPC Data'!$B:$B,Summary!$C128)</f>
        <v>57056.76</v>
      </c>
      <c r="O128" s="18">
        <f t="shared" ca="1" si="27"/>
        <v>456454.08</v>
      </c>
    </row>
    <row r="129" spans="1:15" s="11" customFormat="1" x14ac:dyDescent="0.55000000000000004">
      <c r="A129" s="11">
        <f t="shared" si="26"/>
        <v>11</v>
      </c>
      <c r="B129"/>
      <c r="C129"/>
      <c r="D129" s="1" t="str">
        <f t="shared" si="19"/>
        <v>x</v>
      </c>
      <c r="E129"/>
      <c r="F129" s="14" t="s">
        <v>0</v>
      </c>
      <c r="G129" s="61">
        <f ca="1">SUMIFS(OFFSET('BPC Data'!$F:$F,0,Summary!G$2),'BPC Data'!$E:$E,Summary!$D129,'BPC Data'!$B:$B,Summary!$C129)</f>
        <v>0</v>
      </c>
      <c r="H129" s="54">
        <f ca="1">SUMIFS(OFFSET('BPC Data'!$F:$F,0,Summary!H$2),'BPC Data'!$E:$E,Summary!$D129,'BPC Data'!$B:$B,Summary!$C129)</f>
        <v>0</v>
      </c>
      <c r="I129" s="61">
        <f ca="1">SUMIFS(OFFSET('BPC Data'!$F:$F,0,Summary!I$2),'BPC Data'!$E:$E,Summary!$D129,'BPC Data'!$B:$B,Summary!$C129)</f>
        <v>0</v>
      </c>
      <c r="J129" s="54">
        <f ca="1">SUMIFS(OFFSET('BPC Data'!$F:$F,0,Summary!J$2),'BPC Data'!$E:$E,Summary!$D129,'BPC Data'!$B:$B,Summary!$C129)</f>
        <v>0</v>
      </c>
      <c r="K129" s="61">
        <f ca="1">SUMIFS(OFFSET('BPC Data'!$F:$F,0,Summary!K$2),'BPC Data'!$E:$E,Summary!$D129,'BPC Data'!$B:$B,Summary!$C129)</f>
        <v>0</v>
      </c>
      <c r="L129" s="54">
        <f ca="1">SUMIFS(OFFSET('BPC Data'!$F:$F,0,Summary!L$2),'BPC Data'!$E:$E,Summary!$D129,'BPC Data'!$B:$B,Summary!$C129)</f>
        <v>0</v>
      </c>
      <c r="M129" s="61">
        <f ca="1">SUMIFS(OFFSET('BPC Data'!$F:$F,0,Summary!M$2),'BPC Data'!$E:$E,Summary!$D129,'BPC Data'!$B:$B,Summary!$C129)</f>
        <v>0</v>
      </c>
      <c r="N129" s="54">
        <f ca="1">SUMIFS(OFFSET('BPC Data'!$F:$F,0,Summary!N$2),'BPC Data'!$E:$E,Summary!$D129,'BPC Data'!$B:$B,Summary!$C129)</f>
        <v>0</v>
      </c>
      <c r="O129" s="18">
        <f t="shared" ca="1" si="27"/>
        <v>0</v>
      </c>
    </row>
    <row r="130" spans="1:15" s="11" customFormat="1" x14ac:dyDescent="0.55000000000000004">
      <c r="A130" s="11">
        <f>IF(AND(D130&lt;&gt;"",C130=""),A129+1,A129)</f>
        <v>12</v>
      </c>
      <c r="B130" s="4"/>
      <c r="C130" s="4"/>
      <c r="D130" s="4" t="str">
        <f t="shared" si="19"/>
        <v>x</v>
      </c>
      <c r="E130" s="4"/>
      <c r="F130" s="13" t="str">
        <f>INDEX(PropertyList!$D:$D,MATCH(Summary!$A130,PropertyList!$C:$C,0))</f>
        <v>Danville Post-Acute Rehab</v>
      </c>
      <c r="G130" s="59">
        <f ca="1">SUMIFS(OFFSET('BPC Data'!$F:$F,0,Summary!G$2),'BPC Data'!$E:$E,Summary!$D130,'BPC Data'!$B:$B,Summary!$C130)</f>
        <v>0</v>
      </c>
      <c r="H130" s="52">
        <f ca="1">SUMIFS(OFFSET('BPC Data'!$F:$F,0,Summary!H$2),'BPC Data'!$E:$E,Summary!$D130,'BPC Data'!$B:$B,Summary!$C130)</f>
        <v>0</v>
      </c>
      <c r="I130" s="59">
        <f ca="1">SUMIFS(OFFSET('BPC Data'!$F:$F,0,Summary!I$2),'BPC Data'!$E:$E,Summary!$D130,'BPC Data'!$B:$B,Summary!$C130)</f>
        <v>0</v>
      </c>
      <c r="J130" s="52">
        <f ca="1">SUMIFS(OFFSET('BPC Data'!$F:$F,0,Summary!J$2),'BPC Data'!$E:$E,Summary!$D130,'BPC Data'!$B:$B,Summary!$C130)</f>
        <v>0</v>
      </c>
      <c r="K130" s="59">
        <f ca="1">SUMIFS(OFFSET('BPC Data'!$F:$F,0,Summary!K$2),'BPC Data'!$E:$E,Summary!$D130,'BPC Data'!$B:$B,Summary!$C130)</f>
        <v>0</v>
      </c>
      <c r="L130" s="52">
        <f ca="1">SUMIFS(OFFSET('BPC Data'!$F:$F,0,Summary!L$2),'BPC Data'!$E:$E,Summary!$D130,'BPC Data'!$B:$B,Summary!$C130)</f>
        <v>0</v>
      </c>
      <c r="M130" s="59">
        <f ca="1">SUMIFS(OFFSET('BPC Data'!$F:$F,0,Summary!M$2),'BPC Data'!$E:$E,Summary!$D130,'BPC Data'!$B:$B,Summary!$C130)</f>
        <v>0</v>
      </c>
      <c r="N130" s="52">
        <f ca="1">SUMIFS(OFFSET('BPC Data'!$F:$F,0,Summary!N$2),'BPC Data'!$E:$E,Summary!$D130,'BPC Data'!$B:$B,Summary!$C130)</f>
        <v>0</v>
      </c>
      <c r="O130" s="18">
        <f t="shared" ca="1" si="27"/>
        <v>0</v>
      </c>
    </row>
    <row r="131" spans="1:15" s="11" customFormat="1" x14ac:dyDescent="0.55000000000000004">
      <c r="A131" s="11">
        <f>IF(AND(F131&lt;&gt;"",D131=""),A130+1,A130)</f>
        <v>12</v>
      </c>
      <c r="C131" t="str">
        <f>$F130</f>
        <v>Danville Post-Acute Rehab</v>
      </c>
      <c r="D131" s="3" t="str">
        <f t="shared" si="19"/>
        <v>PAY_PAT_DAYS - Total Payor Patient Days</v>
      </c>
      <c r="F131" s="14" t="str">
        <f>_xll.EVDES(D131)</f>
        <v>Total Payor Patient Days</v>
      </c>
      <c r="G131" s="60">
        <f ca="1">SUMIFS(OFFSET('BPC Data'!$F:$F,0,Summary!G$2),'BPC Data'!$E:$E,Summary!$D131,'BPC Data'!$B:$B,Summary!$C131)</f>
        <v>1316</v>
      </c>
      <c r="H131" s="53">
        <f ca="1">SUMIFS(OFFSET('BPC Data'!$F:$F,0,Summary!H$2),'BPC Data'!$E:$E,Summary!$D131,'BPC Data'!$B:$B,Summary!$C131)</f>
        <v>1214</v>
      </c>
      <c r="I131" s="60">
        <f ca="1">SUMIFS(OFFSET('BPC Data'!$F:$F,0,Summary!I$2),'BPC Data'!$E:$E,Summary!$D131,'BPC Data'!$B:$B,Summary!$C131)</f>
        <v>1324</v>
      </c>
      <c r="J131" s="53">
        <f ca="1">SUMIFS(OFFSET('BPC Data'!$F:$F,0,Summary!J$2),'BPC Data'!$E:$E,Summary!$D131,'BPC Data'!$B:$B,Summary!$C131)</f>
        <v>1414</v>
      </c>
      <c r="K131" s="60">
        <f ca="1">SUMIFS(OFFSET('BPC Data'!$F:$F,0,Summary!K$2),'BPC Data'!$E:$E,Summary!$D131,'BPC Data'!$B:$B,Summary!$C131)</f>
        <v>1399</v>
      </c>
      <c r="L131" s="53">
        <f ca="1">SUMIFS(OFFSET('BPC Data'!$F:$F,0,Summary!L$2),'BPC Data'!$E:$E,Summary!$D131,'BPC Data'!$B:$B,Summary!$C131)</f>
        <v>1324</v>
      </c>
      <c r="M131" s="60">
        <f ca="1">SUMIFS(OFFSET('BPC Data'!$F:$F,0,Summary!M$2),'BPC Data'!$E:$E,Summary!$D131,'BPC Data'!$B:$B,Summary!$C131)</f>
        <v>1381</v>
      </c>
      <c r="N131" s="53">
        <f ca="1">SUMIFS(OFFSET('BPC Data'!$F:$F,0,Summary!N$2),'BPC Data'!$E:$E,Summary!$D131,'BPC Data'!$B:$B,Summary!$C131)</f>
        <v>1451</v>
      </c>
      <c r="O131" s="18">
        <f t="shared" ca="1" si="27"/>
        <v>10823</v>
      </c>
    </row>
    <row r="132" spans="1:15" s="11" customFormat="1" x14ac:dyDescent="0.55000000000000004">
      <c r="A132" s="11">
        <f t="shared" ref="A132:A140" si="28">IF(AND(F132&lt;&gt;"",D132=""),A131+1,A131)</f>
        <v>12</v>
      </c>
      <c r="C132" t="str">
        <f>$F130</f>
        <v>Danville Post-Acute Rehab</v>
      </c>
      <c r="D132" s="3" t="str">
        <f t="shared" si="19"/>
        <v>A_BEDS_TOTAL - Total Available Beds</v>
      </c>
      <c r="F132" s="14" t="str">
        <f>_xll.EVDES(D132)</f>
        <v>Total Available Beds</v>
      </c>
      <c r="G132" s="60">
        <f ca="1">SUMIFS(OFFSET('BPC Data'!$F:$F,0,Summary!G$2),'BPC Data'!$E:$E,Summary!$D132,'BPC Data'!$B:$B,Summary!$C132)</f>
        <v>49</v>
      </c>
      <c r="H132" s="53">
        <f ca="1">SUMIFS(OFFSET('BPC Data'!$F:$F,0,Summary!H$2),'BPC Data'!$E:$E,Summary!$D132,'BPC Data'!$B:$B,Summary!$C132)</f>
        <v>49</v>
      </c>
      <c r="I132" s="60">
        <f ca="1">SUMIFS(OFFSET('BPC Data'!$F:$F,0,Summary!I$2),'BPC Data'!$E:$E,Summary!$D132,'BPC Data'!$B:$B,Summary!$C132)</f>
        <v>49</v>
      </c>
      <c r="J132" s="53">
        <f ca="1">SUMIFS(OFFSET('BPC Data'!$F:$F,0,Summary!J$2),'BPC Data'!$E:$E,Summary!$D132,'BPC Data'!$B:$B,Summary!$C132)</f>
        <v>49</v>
      </c>
      <c r="K132" s="60">
        <f ca="1">SUMIFS(OFFSET('BPC Data'!$F:$F,0,Summary!K$2),'BPC Data'!$E:$E,Summary!$D132,'BPC Data'!$B:$B,Summary!$C132)</f>
        <v>49</v>
      </c>
      <c r="L132" s="53">
        <f ca="1">SUMIFS(OFFSET('BPC Data'!$F:$F,0,Summary!L$2),'BPC Data'!$E:$E,Summary!$D132,'BPC Data'!$B:$B,Summary!$C132)</f>
        <v>49</v>
      </c>
      <c r="M132" s="60">
        <f ca="1">SUMIFS(OFFSET('BPC Data'!$F:$F,0,Summary!M$2),'BPC Data'!$E:$E,Summary!$D132,'BPC Data'!$B:$B,Summary!$C132)</f>
        <v>49</v>
      </c>
      <c r="N132" s="53">
        <f ca="1">SUMIFS(OFFSET('BPC Data'!$F:$F,0,Summary!N$2),'BPC Data'!$E:$E,Summary!$D132,'BPC Data'!$B:$B,Summary!$C132)</f>
        <v>49</v>
      </c>
      <c r="O132" s="18">
        <f ca="1">N132</f>
        <v>49</v>
      </c>
    </row>
    <row r="133" spans="1:15" s="11" customFormat="1" x14ac:dyDescent="0.55000000000000004">
      <c r="A133" s="11">
        <f t="shared" si="28"/>
        <v>12</v>
      </c>
      <c r="B133"/>
      <c r="C133" t="str">
        <f>$F130</f>
        <v>Danville Post-Acute Rehab</v>
      </c>
      <c r="D133" s="3" t="str">
        <f t="shared" si="19"/>
        <v>T_REVENUES - Total Tenant Revenues</v>
      </c>
      <c r="E133"/>
      <c r="F133" s="14" t="str">
        <f>_xll.EVDES(D133)</f>
        <v>Total Tenant Revenues</v>
      </c>
      <c r="G133" s="60">
        <f ca="1">SUMIFS(OFFSET('BPC Data'!$F:$F,0,Summary!G$2),'BPC Data'!$E:$E,Summary!$D133,'BPC Data'!$B:$B,Summary!$C133)</f>
        <v>918625.54</v>
      </c>
      <c r="H133" s="53">
        <f ca="1">SUMIFS(OFFSET('BPC Data'!$F:$F,0,Summary!H$2),'BPC Data'!$E:$E,Summary!$D133,'BPC Data'!$B:$B,Summary!$C133)</f>
        <v>845822.58</v>
      </c>
      <c r="I133" s="60">
        <f ca="1">SUMIFS(OFFSET('BPC Data'!$F:$F,0,Summary!I$2),'BPC Data'!$E:$E,Summary!$D133,'BPC Data'!$B:$B,Summary!$C133)</f>
        <v>865211.32</v>
      </c>
      <c r="J133" s="53">
        <f ca="1">SUMIFS(OFFSET('BPC Data'!$F:$F,0,Summary!J$2),'BPC Data'!$E:$E,Summary!$D133,'BPC Data'!$B:$B,Summary!$C133)</f>
        <v>905642.46</v>
      </c>
      <c r="K133" s="60">
        <f ca="1">SUMIFS(OFFSET('BPC Data'!$F:$F,0,Summary!K$2),'BPC Data'!$E:$E,Summary!$D133,'BPC Data'!$B:$B,Summary!$C133)</f>
        <v>863751.38</v>
      </c>
      <c r="L133" s="53">
        <f ca="1">SUMIFS(OFFSET('BPC Data'!$F:$F,0,Summary!L$2),'BPC Data'!$E:$E,Summary!$D133,'BPC Data'!$B:$B,Summary!$C133)</f>
        <v>810515.63</v>
      </c>
      <c r="M133" s="60">
        <f ca="1">SUMIFS(OFFSET('BPC Data'!$F:$F,0,Summary!M$2),'BPC Data'!$E:$E,Summary!$D133,'BPC Data'!$B:$B,Summary!$C133)</f>
        <v>802937.77</v>
      </c>
      <c r="N133" s="53">
        <f ca="1">SUMIFS(OFFSET('BPC Data'!$F:$F,0,Summary!N$2),'BPC Data'!$E:$E,Summary!$D133,'BPC Data'!$B:$B,Summary!$C133)</f>
        <v>936914.6</v>
      </c>
      <c r="O133" s="18">
        <f t="shared" ref="O133:O142" ca="1" si="29">SUM(G133:N133)</f>
        <v>6949421.2799999993</v>
      </c>
    </row>
    <row r="134" spans="1:15" s="11" customFormat="1" x14ac:dyDescent="0.55000000000000004">
      <c r="A134" s="11">
        <f t="shared" si="28"/>
        <v>12</v>
      </c>
      <c r="B134"/>
      <c r="C134" t="str">
        <f>$F130</f>
        <v>Danville Post-Acute Rehab</v>
      </c>
      <c r="D134" s="3" t="str">
        <f t="shared" si="19"/>
        <v>T_OPEX - Tenant Operating Expenses</v>
      </c>
      <c r="E134"/>
      <c r="F134" s="14" t="str">
        <f>_xll.EVDES(D134)</f>
        <v>Tenant Operating Expenses</v>
      </c>
      <c r="G134" s="60">
        <f ca="1">SUMIFS(OFFSET('BPC Data'!$F:$F,0,Summary!G$2),'BPC Data'!$E:$E,Summary!$D134,'BPC Data'!$B:$B,Summary!$C134)</f>
        <v>537185.57999999996</v>
      </c>
      <c r="H134" s="53">
        <f ca="1">SUMIFS(OFFSET('BPC Data'!$F:$F,0,Summary!H$2),'BPC Data'!$E:$E,Summary!$D134,'BPC Data'!$B:$B,Summary!$C134)</f>
        <v>566376.61</v>
      </c>
      <c r="I134" s="60">
        <f ca="1">SUMIFS(OFFSET('BPC Data'!$F:$F,0,Summary!I$2),'BPC Data'!$E:$E,Summary!$D134,'BPC Data'!$B:$B,Summary!$C134)</f>
        <v>553552.98</v>
      </c>
      <c r="J134" s="53">
        <f ca="1">SUMIFS(OFFSET('BPC Data'!$F:$F,0,Summary!J$2),'BPC Data'!$E:$E,Summary!$D134,'BPC Data'!$B:$B,Summary!$C134)</f>
        <v>571102.24</v>
      </c>
      <c r="K134" s="60">
        <f ca="1">SUMIFS(OFFSET('BPC Data'!$F:$F,0,Summary!K$2),'BPC Data'!$E:$E,Summary!$D134,'BPC Data'!$B:$B,Summary!$C134)</f>
        <v>620386.31999999995</v>
      </c>
      <c r="L134" s="53">
        <f ca="1">SUMIFS(OFFSET('BPC Data'!$F:$F,0,Summary!L$2),'BPC Data'!$E:$E,Summary!$D134,'BPC Data'!$B:$B,Summary!$C134)</f>
        <v>521533.87</v>
      </c>
      <c r="M134" s="60">
        <f ca="1">SUMIFS(OFFSET('BPC Data'!$F:$F,0,Summary!M$2),'BPC Data'!$E:$E,Summary!$D134,'BPC Data'!$B:$B,Summary!$C134)</f>
        <v>499070.14</v>
      </c>
      <c r="N134" s="53">
        <f ca="1">SUMIFS(OFFSET('BPC Data'!$F:$F,0,Summary!N$2),'BPC Data'!$E:$E,Summary!$D134,'BPC Data'!$B:$B,Summary!$C134)</f>
        <v>545090.67000000004</v>
      </c>
      <c r="O134" s="18">
        <f t="shared" ca="1" si="29"/>
        <v>4414298.41</v>
      </c>
    </row>
    <row r="135" spans="1:15" s="11" customFormat="1" x14ac:dyDescent="0.55000000000000004">
      <c r="A135" s="11">
        <f t="shared" si="28"/>
        <v>12</v>
      </c>
      <c r="B135"/>
      <c r="C135" t="str">
        <f>$F130</f>
        <v>Danville Post-Acute Rehab</v>
      </c>
      <c r="D135" s="3" t="str">
        <f t="shared" si="19"/>
        <v>T_BAD_DEBT - Tenant Bad Debt Expense</v>
      </c>
      <c r="E135"/>
      <c r="F135" s="14" t="str">
        <f>_xll.EVDES(D135)</f>
        <v>Tenant Bad Debt Expense</v>
      </c>
      <c r="G135" s="60">
        <f ca="1">SUMIFS(OFFSET('BPC Data'!$F:$F,0,Summary!G$2),'BPC Data'!$E:$E,Summary!$D135,'BPC Data'!$B:$B,Summary!$C135)</f>
        <v>-14008</v>
      </c>
      <c r="H135" s="53">
        <f ca="1">SUMIFS(OFFSET('BPC Data'!$F:$F,0,Summary!H$2),'BPC Data'!$E:$E,Summary!$D135,'BPC Data'!$B:$B,Summary!$C135)</f>
        <v>10058.02</v>
      </c>
      <c r="I135" s="60">
        <f ca="1">SUMIFS(OFFSET('BPC Data'!$F:$F,0,Summary!I$2),'BPC Data'!$E:$E,Summary!$D135,'BPC Data'!$B:$B,Summary!$C135)</f>
        <v>-2702.23</v>
      </c>
      <c r="J135" s="53">
        <f ca="1">SUMIFS(OFFSET('BPC Data'!$F:$F,0,Summary!J$2),'BPC Data'!$E:$E,Summary!$D135,'BPC Data'!$B:$B,Summary!$C135)</f>
        <v>-6061.41</v>
      </c>
      <c r="K135" s="60">
        <f ca="1">SUMIFS(OFFSET('BPC Data'!$F:$F,0,Summary!K$2),'BPC Data'!$E:$E,Summary!$D135,'BPC Data'!$B:$B,Summary!$C135)</f>
        <v>15155.95</v>
      </c>
      <c r="L135" s="53">
        <f ca="1">SUMIFS(OFFSET('BPC Data'!$F:$F,0,Summary!L$2),'BPC Data'!$E:$E,Summary!$D135,'BPC Data'!$B:$B,Summary!$C135)</f>
        <v>2735.28</v>
      </c>
      <c r="M135" s="60">
        <f ca="1">SUMIFS(OFFSET('BPC Data'!$F:$F,0,Summary!M$2),'BPC Data'!$E:$E,Summary!$D135,'BPC Data'!$B:$B,Summary!$C135)</f>
        <v>-10544.71</v>
      </c>
      <c r="N135" s="53">
        <f ca="1">SUMIFS(OFFSET('BPC Data'!$F:$F,0,Summary!N$2),'BPC Data'!$E:$E,Summary!$D135,'BPC Data'!$B:$B,Summary!$C135)</f>
        <v>-8160.66</v>
      </c>
      <c r="O135" s="18">
        <f t="shared" ca="1" si="29"/>
        <v>-13527.759999999997</v>
      </c>
    </row>
    <row r="136" spans="1:15" s="11" customFormat="1" x14ac:dyDescent="0.55000000000000004">
      <c r="A136" s="11">
        <f t="shared" si="28"/>
        <v>12</v>
      </c>
      <c r="B136"/>
      <c r="C136" t="str">
        <f>$F130</f>
        <v>Danville Post-Acute Rehab</v>
      </c>
      <c r="D136" s="2" t="str">
        <f t="shared" si="19"/>
        <v>T_EBITDARM - EBITDARM</v>
      </c>
      <c r="E136"/>
      <c r="F136" s="14" t="str">
        <f>_xll.EVDES(D136)</f>
        <v>EBITDARM</v>
      </c>
      <c r="G136" s="60">
        <f ca="1">SUMIFS(OFFSET('BPC Data'!$F:$F,0,Summary!G$2),'BPC Data'!$E:$E,Summary!$D136,'BPC Data'!$B:$B,Summary!$C136)</f>
        <v>381439.96</v>
      </c>
      <c r="H136" s="53">
        <f ca="1">SUMIFS(OFFSET('BPC Data'!$F:$F,0,Summary!H$2),'BPC Data'!$E:$E,Summary!$D136,'BPC Data'!$B:$B,Summary!$C136)</f>
        <v>279445.96999999997</v>
      </c>
      <c r="I136" s="60">
        <f ca="1">SUMIFS(OFFSET('BPC Data'!$F:$F,0,Summary!I$2),'BPC Data'!$E:$E,Summary!$D136,'BPC Data'!$B:$B,Summary!$C136)</f>
        <v>311658.34000000003</v>
      </c>
      <c r="J136" s="53">
        <f ca="1">SUMIFS(OFFSET('BPC Data'!$F:$F,0,Summary!J$2),'BPC Data'!$E:$E,Summary!$D136,'BPC Data'!$B:$B,Summary!$C136)</f>
        <v>334540.21999999997</v>
      </c>
      <c r="K136" s="60">
        <f ca="1">SUMIFS(OFFSET('BPC Data'!$F:$F,0,Summary!K$2),'BPC Data'!$E:$E,Summary!$D136,'BPC Data'!$B:$B,Summary!$C136)</f>
        <v>243365.06</v>
      </c>
      <c r="L136" s="53">
        <f ca="1">SUMIFS(OFFSET('BPC Data'!$F:$F,0,Summary!L$2),'BPC Data'!$E:$E,Summary!$D136,'BPC Data'!$B:$B,Summary!$C136)</f>
        <v>288981.76000000001</v>
      </c>
      <c r="M136" s="60">
        <f ca="1">SUMIFS(OFFSET('BPC Data'!$F:$F,0,Summary!M$2),'BPC Data'!$E:$E,Summary!$D136,'BPC Data'!$B:$B,Summary!$C136)</f>
        <v>303867.63</v>
      </c>
      <c r="N136" s="53">
        <f ca="1">SUMIFS(OFFSET('BPC Data'!$F:$F,0,Summary!N$2),'BPC Data'!$E:$E,Summary!$D136,'BPC Data'!$B:$B,Summary!$C136)</f>
        <v>391823.93</v>
      </c>
      <c r="O136" s="18">
        <f t="shared" ca="1" si="29"/>
        <v>2535122.87</v>
      </c>
    </row>
    <row r="137" spans="1:15" s="11" customFormat="1" x14ac:dyDescent="0.55000000000000004">
      <c r="A137" s="11">
        <f t="shared" si="28"/>
        <v>12</v>
      </c>
      <c r="B137"/>
      <c r="C137" t="str">
        <f>$F130</f>
        <v>Danville Post-Acute Rehab</v>
      </c>
      <c r="D137" s="2" t="str">
        <f t="shared" si="19"/>
        <v>T_MGMT_FEE - Tenant Management Fee - Actual</v>
      </c>
      <c r="E137"/>
      <c r="F137" s="14" t="str">
        <f>_xll.EVDES(D137)</f>
        <v>Tenant Management Fee - Actual</v>
      </c>
      <c r="G137" s="60">
        <f ca="1">SUMIFS(OFFSET('BPC Data'!$F:$F,0,Summary!G$2),'BPC Data'!$E:$E,Summary!$D137,'BPC Data'!$B:$B,Summary!$C137)</f>
        <v>39735</v>
      </c>
      <c r="H137" s="53">
        <f ca="1">SUMIFS(OFFSET('BPC Data'!$F:$F,0,Summary!H$2),'BPC Data'!$E:$E,Summary!$D137,'BPC Data'!$B:$B,Summary!$C137)</f>
        <v>45298</v>
      </c>
      <c r="I137" s="60">
        <f ca="1">SUMIFS(OFFSET('BPC Data'!$F:$F,0,Summary!I$2),'BPC Data'!$E:$E,Summary!$D137,'BPC Data'!$B:$B,Summary!$C137)</f>
        <v>40229</v>
      </c>
      <c r="J137" s="53">
        <f ca="1">SUMIFS(OFFSET('BPC Data'!$F:$F,0,Summary!J$2),'BPC Data'!$E:$E,Summary!$D137,'BPC Data'!$B:$B,Summary!$C137)</f>
        <v>41990</v>
      </c>
      <c r="K137" s="60">
        <f ca="1">SUMIFS(OFFSET('BPC Data'!$F:$F,0,Summary!K$2),'BPC Data'!$E:$E,Summary!$D137,'BPC Data'!$B:$B,Summary!$C137)</f>
        <v>43005</v>
      </c>
      <c r="L137" s="53">
        <f ca="1">SUMIFS(OFFSET('BPC Data'!$F:$F,0,Summary!L$2),'BPC Data'!$E:$E,Summary!$D137,'BPC Data'!$B:$B,Summary!$C137)</f>
        <v>40709</v>
      </c>
      <c r="M137" s="60">
        <f ca="1">SUMIFS(OFFSET('BPC Data'!$F:$F,0,Summary!M$2),'BPC Data'!$E:$E,Summary!$D137,'BPC Data'!$B:$B,Summary!$C137)</f>
        <v>40525</v>
      </c>
      <c r="N137" s="53">
        <f ca="1">SUMIFS(OFFSET('BPC Data'!$F:$F,0,Summary!N$2),'BPC Data'!$E:$E,Summary!$D137,'BPC Data'!$B:$B,Summary!$C137)</f>
        <v>40146</v>
      </c>
      <c r="O137" s="18">
        <f t="shared" ca="1" si="29"/>
        <v>331637</v>
      </c>
    </row>
    <row r="138" spans="1:15" s="11" customFormat="1" x14ac:dyDescent="0.55000000000000004">
      <c r="A138" s="11">
        <f t="shared" si="28"/>
        <v>12</v>
      </c>
      <c r="B138"/>
      <c r="C138" t="str">
        <f>$F130</f>
        <v>Danville Post-Acute Rehab</v>
      </c>
      <c r="D138" s="1" t="str">
        <f t="shared" si="19"/>
        <v>T_EBITDAR - EBITDAR</v>
      </c>
      <c r="E138"/>
      <c r="F138" s="14" t="str">
        <f>_xll.EVDES(D138)</f>
        <v>EBITDAR</v>
      </c>
      <c r="G138" s="60">
        <f ca="1">SUMIFS(OFFSET('BPC Data'!$F:$F,0,Summary!G$2),'BPC Data'!$E:$E,Summary!$D138,'BPC Data'!$B:$B,Summary!$C138)</f>
        <v>341704.96000000002</v>
      </c>
      <c r="H138" s="53">
        <f ca="1">SUMIFS(OFFSET('BPC Data'!$F:$F,0,Summary!H$2),'BPC Data'!$E:$E,Summary!$D138,'BPC Data'!$B:$B,Summary!$C138)</f>
        <v>234147.97</v>
      </c>
      <c r="I138" s="60">
        <f ca="1">SUMIFS(OFFSET('BPC Data'!$F:$F,0,Summary!I$2),'BPC Data'!$E:$E,Summary!$D138,'BPC Data'!$B:$B,Summary!$C138)</f>
        <v>271429.34000000003</v>
      </c>
      <c r="J138" s="53">
        <f ca="1">SUMIFS(OFFSET('BPC Data'!$F:$F,0,Summary!J$2),'BPC Data'!$E:$E,Summary!$D138,'BPC Data'!$B:$B,Summary!$C138)</f>
        <v>292550.21999999997</v>
      </c>
      <c r="K138" s="60">
        <f ca="1">SUMIFS(OFFSET('BPC Data'!$F:$F,0,Summary!K$2),'BPC Data'!$E:$E,Summary!$D138,'BPC Data'!$B:$B,Summary!$C138)</f>
        <v>200360.06</v>
      </c>
      <c r="L138" s="53">
        <f ca="1">SUMIFS(OFFSET('BPC Data'!$F:$F,0,Summary!L$2),'BPC Data'!$E:$E,Summary!$D138,'BPC Data'!$B:$B,Summary!$C138)</f>
        <v>248272.76</v>
      </c>
      <c r="M138" s="60">
        <f ca="1">SUMIFS(OFFSET('BPC Data'!$F:$F,0,Summary!M$2),'BPC Data'!$E:$E,Summary!$D138,'BPC Data'!$B:$B,Summary!$C138)</f>
        <v>263342.63</v>
      </c>
      <c r="N138" s="53">
        <f ca="1">SUMIFS(OFFSET('BPC Data'!$F:$F,0,Summary!N$2),'BPC Data'!$E:$E,Summary!$D138,'BPC Data'!$B:$B,Summary!$C138)</f>
        <v>351677.93</v>
      </c>
      <c r="O138" s="18">
        <f t="shared" ca="1" si="29"/>
        <v>2203485.87</v>
      </c>
    </row>
    <row r="139" spans="1:15" s="11" customFormat="1" x14ac:dyDescent="0.55000000000000004">
      <c r="A139" s="11">
        <f t="shared" si="28"/>
        <v>12</v>
      </c>
      <c r="B139"/>
      <c r="C139" t="str">
        <f>$F130</f>
        <v>Danville Post-Acute Rehab</v>
      </c>
      <c r="D139" s="1" t="str">
        <f t="shared" si="19"/>
        <v>T_RENT_EXP - Tenant Rent Expense</v>
      </c>
      <c r="E139"/>
      <c r="F139" s="14" t="str">
        <f>_xll.EVDES(D139)</f>
        <v>Tenant Rent Expense</v>
      </c>
      <c r="G139" s="60">
        <f ca="1">SUMIFS(OFFSET('BPC Data'!$F:$F,0,Summary!G$2),'BPC Data'!$E:$E,Summary!$D139,'BPC Data'!$B:$B,Summary!$C139)</f>
        <v>137481.76999999999</v>
      </c>
      <c r="H139" s="53">
        <f ca="1">SUMIFS(OFFSET('BPC Data'!$F:$F,0,Summary!H$2),'BPC Data'!$E:$E,Summary!$D139,'BPC Data'!$B:$B,Summary!$C139)</f>
        <v>137556.76999999999</v>
      </c>
      <c r="I139" s="60">
        <f ca="1">SUMIFS(OFFSET('BPC Data'!$F:$F,0,Summary!I$2),'BPC Data'!$E:$E,Summary!$D139,'BPC Data'!$B:$B,Summary!$C139)</f>
        <v>138882.35</v>
      </c>
      <c r="J139" s="53">
        <f ca="1">SUMIFS(OFFSET('BPC Data'!$F:$F,0,Summary!J$2),'BPC Data'!$E:$E,Summary!$D139,'BPC Data'!$B:$B,Summary!$C139)</f>
        <v>137556.76999999999</v>
      </c>
      <c r="K139" s="60">
        <f ca="1">SUMIFS(OFFSET('BPC Data'!$F:$F,0,Summary!K$2),'BPC Data'!$E:$E,Summary!$D139,'BPC Data'!$B:$B,Summary!$C139)</f>
        <v>137556.76999999999</v>
      </c>
      <c r="L139" s="53">
        <f ca="1">SUMIFS(OFFSET('BPC Data'!$F:$F,0,Summary!L$2),'BPC Data'!$E:$E,Summary!$D139,'BPC Data'!$B:$B,Summary!$C139)</f>
        <v>137556.76999999999</v>
      </c>
      <c r="M139" s="60">
        <f ca="1">SUMIFS(OFFSET('BPC Data'!$F:$F,0,Summary!M$2),'BPC Data'!$E:$E,Summary!$D139,'BPC Data'!$B:$B,Summary!$C139)</f>
        <v>137556.76999999999</v>
      </c>
      <c r="N139" s="53">
        <f ca="1">SUMIFS(OFFSET('BPC Data'!$F:$F,0,Summary!N$2),'BPC Data'!$E:$E,Summary!$D139,'BPC Data'!$B:$B,Summary!$C139)</f>
        <v>137556.76999999999</v>
      </c>
      <c r="O139" s="18">
        <f t="shared" ca="1" si="29"/>
        <v>1101704.74</v>
      </c>
    </row>
    <row r="140" spans="1:15" s="11" customFormat="1" x14ac:dyDescent="0.55000000000000004">
      <c r="A140" s="11">
        <f t="shared" si="28"/>
        <v>12</v>
      </c>
      <c r="B140"/>
      <c r="C140"/>
      <c r="D140" s="1" t="str">
        <f t="shared" si="19"/>
        <v>x</v>
      </c>
      <c r="E140"/>
      <c r="F140" s="14" t="s">
        <v>0</v>
      </c>
      <c r="G140" s="61">
        <f ca="1">SUMIFS(OFFSET('BPC Data'!$F:$F,0,Summary!G$2),'BPC Data'!$E:$E,Summary!$D140,'BPC Data'!$B:$B,Summary!$C140)</f>
        <v>0</v>
      </c>
      <c r="H140" s="54">
        <f ca="1">SUMIFS(OFFSET('BPC Data'!$F:$F,0,Summary!H$2),'BPC Data'!$E:$E,Summary!$D140,'BPC Data'!$B:$B,Summary!$C140)</f>
        <v>0</v>
      </c>
      <c r="I140" s="61">
        <f ca="1">SUMIFS(OFFSET('BPC Data'!$F:$F,0,Summary!I$2),'BPC Data'!$E:$E,Summary!$D140,'BPC Data'!$B:$B,Summary!$C140)</f>
        <v>0</v>
      </c>
      <c r="J140" s="54">
        <f ca="1">SUMIFS(OFFSET('BPC Data'!$F:$F,0,Summary!J$2),'BPC Data'!$E:$E,Summary!$D140,'BPC Data'!$B:$B,Summary!$C140)</f>
        <v>0</v>
      </c>
      <c r="K140" s="61">
        <f ca="1">SUMIFS(OFFSET('BPC Data'!$F:$F,0,Summary!K$2),'BPC Data'!$E:$E,Summary!$D140,'BPC Data'!$B:$B,Summary!$C140)</f>
        <v>0</v>
      </c>
      <c r="L140" s="54">
        <f ca="1">SUMIFS(OFFSET('BPC Data'!$F:$F,0,Summary!L$2),'BPC Data'!$E:$E,Summary!$D140,'BPC Data'!$B:$B,Summary!$C140)</f>
        <v>0</v>
      </c>
      <c r="M140" s="61">
        <f ca="1">SUMIFS(OFFSET('BPC Data'!$F:$F,0,Summary!M$2),'BPC Data'!$E:$E,Summary!$D140,'BPC Data'!$B:$B,Summary!$C140)</f>
        <v>0</v>
      </c>
      <c r="N140" s="54">
        <f ca="1">SUMIFS(OFFSET('BPC Data'!$F:$F,0,Summary!N$2),'BPC Data'!$E:$E,Summary!$D140,'BPC Data'!$B:$B,Summary!$C140)</f>
        <v>0</v>
      </c>
      <c r="O140" s="18">
        <f t="shared" ca="1" si="29"/>
        <v>0</v>
      </c>
    </row>
    <row r="141" spans="1:15" s="11" customFormat="1" x14ac:dyDescent="0.55000000000000004">
      <c r="A141" s="11">
        <f>IF(AND(D141&lt;&gt;"",C141=""),A140+1,A140)</f>
        <v>13</v>
      </c>
      <c r="B141" s="4"/>
      <c r="C141" s="4"/>
      <c r="D141" s="4" t="str">
        <f t="shared" si="19"/>
        <v>x</v>
      </c>
      <c r="E141" s="4"/>
      <c r="F141" s="13" t="str">
        <f>INDEX(PropertyList!$D:$D,MATCH(Summary!$A141,PropertyList!$C:$C,0))</f>
        <v>Lake Balboa Care Center</v>
      </c>
      <c r="G141" s="59">
        <f ca="1">SUMIFS(OFFSET('BPC Data'!$F:$F,0,Summary!G$2),'BPC Data'!$E:$E,Summary!$D141,'BPC Data'!$B:$B,Summary!$C141)</f>
        <v>0</v>
      </c>
      <c r="H141" s="52">
        <f ca="1">SUMIFS(OFFSET('BPC Data'!$F:$F,0,Summary!H$2),'BPC Data'!$E:$E,Summary!$D141,'BPC Data'!$B:$B,Summary!$C141)</f>
        <v>0</v>
      </c>
      <c r="I141" s="59">
        <f ca="1">SUMIFS(OFFSET('BPC Data'!$F:$F,0,Summary!I$2),'BPC Data'!$E:$E,Summary!$D141,'BPC Data'!$B:$B,Summary!$C141)</f>
        <v>0</v>
      </c>
      <c r="J141" s="52">
        <f ca="1">SUMIFS(OFFSET('BPC Data'!$F:$F,0,Summary!J$2),'BPC Data'!$E:$E,Summary!$D141,'BPC Data'!$B:$B,Summary!$C141)</f>
        <v>0</v>
      </c>
      <c r="K141" s="59">
        <f ca="1">SUMIFS(OFFSET('BPC Data'!$F:$F,0,Summary!K$2),'BPC Data'!$E:$E,Summary!$D141,'BPC Data'!$B:$B,Summary!$C141)</f>
        <v>0</v>
      </c>
      <c r="L141" s="52">
        <f ca="1">SUMIFS(OFFSET('BPC Data'!$F:$F,0,Summary!L$2),'BPC Data'!$E:$E,Summary!$D141,'BPC Data'!$B:$B,Summary!$C141)</f>
        <v>0</v>
      </c>
      <c r="M141" s="59">
        <f ca="1">SUMIFS(OFFSET('BPC Data'!$F:$F,0,Summary!M$2),'BPC Data'!$E:$E,Summary!$D141,'BPC Data'!$B:$B,Summary!$C141)</f>
        <v>0</v>
      </c>
      <c r="N141" s="52">
        <f ca="1">SUMIFS(OFFSET('BPC Data'!$F:$F,0,Summary!N$2),'BPC Data'!$E:$E,Summary!$D141,'BPC Data'!$B:$B,Summary!$C141)</f>
        <v>0</v>
      </c>
      <c r="O141" s="18">
        <f t="shared" ca="1" si="29"/>
        <v>0</v>
      </c>
    </row>
    <row r="142" spans="1:15" s="11" customFormat="1" x14ac:dyDescent="0.55000000000000004">
      <c r="A142" s="11">
        <f>IF(AND(F142&lt;&gt;"",D142=""),A141+1,A141)</f>
        <v>13</v>
      </c>
      <c r="C142" t="str">
        <f>$F141</f>
        <v>Lake Balboa Care Center</v>
      </c>
      <c r="D142" s="3" t="str">
        <f t="shared" si="19"/>
        <v>PAY_PAT_DAYS - Total Payor Patient Days</v>
      </c>
      <c r="F142" s="14" t="str">
        <f>_xll.EVDES(D142)</f>
        <v>Total Payor Patient Days</v>
      </c>
      <c r="G142" s="60">
        <f ca="1">SUMIFS(OFFSET('BPC Data'!$F:$F,0,Summary!G$2),'BPC Data'!$E:$E,Summary!$D142,'BPC Data'!$B:$B,Summary!$C142)</f>
        <v>637</v>
      </c>
      <c r="H142" s="53">
        <f ca="1">SUMIFS(OFFSET('BPC Data'!$F:$F,0,Summary!H$2),'BPC Data'!$E:$E,Summary!$D142,'BPC Data'!$B:$B,Summary!$C142)</f>
        <v>727</v>
      </c>
      <c r="I142" s="60">
        <f ca="1">SUMIFS(OFFSET('BPC Data'!$F:$F,0,Summary!I$2),'BPC Data'!$E:$E,Summary!$D142,'BPC Data'!$B:$B,Summary!$C142)</f>
        <v>755</v>
      </c>
      <c r="J142" s="53">
        <f ca="1">SUMIFS(OFFSET('BPC Data'!$F:$F,0,Summary!J$2),'BPC Data'!$E:$E,Summary!$D142,'BPC Data'!$B:$B,Summary!$C142)</f>
        <v>1025</v>
      </c>
      <c r="K142" s="60">
        <f ca="1">SUMIFS(OFFSET('BPC Data'!$F:$F,0,Summary!K$2),'BPC Data'!$E:$E,Summary!$D142,'BPC Data'!$B:$B,Summary!$C142)</f>
        <v>1305</v>
      </c>
      <c r="L142" s="53">
        <f ca="1">SUMIFS(OFFSET('BPC Data'!$F:$F,0,Summary!L$2),'BPC Data'!$E:$E,Summary!$D142,'BPC Data'!$B:$B,Summary!$C142)</f>
        <v>1122</v>
      </c>
      <c r="M142" s="60">
        <f ca="1">SUMIFS(OFFSET('BPC Data'!$F:$F,0,Summary!M$2),'BPC Data'!$E:$E,Summary!$D142,'BPC Data'!$B:$B,Summary!$C142)</f>
        <v>1264</v>
      </c>
      <c r="N142" s="53">
        <f ca="1">SUMIFS(OFFSET('BPC Data'!$F:$F,0,Summary!N$2),'BPC Data'!$E:$E,Summary!$D142,'BPC Data'!$B:$B,Summary!$C142)</f>
        <v>1189</v>
      </c>
      <c r="O142" s="18">
        <f t="shared" ca="1" si="29"/>
        <v>8024</v>
      </c>
    </row>
    <row r="143" spans="1:15" s="11" customFormat="1" x14ac:dyDescent="0.55000000000000004">
      <c r="A143" s="11">
        <f t="shared" ref="A143:A151" si="30">IF(AND(F143&lt;&gt;"",D143=""),A142+1,A142)</f>
        <v>13</v>
      </c>
      <c r="C143" t="str">
        <f>$F141</f>
        <v>Lake Balboa Care Center</v>
      </c>
      <c r="D143" s="3" t="str">
        <f t="shared" si="19"/>
        <v>A_BEDS_TOTAL - Total Available Beds</v>
      </c>
      <c r="F143" s="14" t="str">
        <f>_xll.EVDES(D143)</f>
        <v>Total Available Beds</v>
      </c>
      <c r="G143" s="60">
        <f ca="1">SUMIFS(OFFSET('BPC Data'!$F:$F,0,Summary!G$2),'BPC Data'!$E:$E,Summary!$D143,'BPC Data'!$B:$B,Summary!$C143)</f>
        <v>50</v>
      </c>
      <c r="H143" s="53">
        <f ca="1">SUMIFS(OFFSET('BPC Data'!$F:$F,0,Summary!H$2),'BPC Data'!$E:$E,Summary!$D143,'BPC Data'!$B:$B,Summary!$C143)</f>
        <v>50</v>
      </c>
      <c r="I143" s="60">
        <f ca="1">SUMIFS(OFFSET('BPC Data'!$F:$F,0,Summary!I$2),'BPC Data'!$E:$E,Summary!$D143,'BPC Data'!$B:$B,Summary!$C143)</f>
        <v>50</v>
      </c>
      <c r="J143" s="53">
        <f ca="1">SUMIFS(OFFSET('BPC Data'!$F:$F,0,Summary!J$2),'BPC Data'!$E:$E,Summary!$D143,'BPC Data'!$B:$B,Summary!$C143)</f>
        <v>50</v>
      </c>
      <c r="K143" s="60">
        <f ca="1">SUMIFS(OFFSET('BPC Data'!$F:$F,0,Summary!K$2),'BPC Data'!$E:$E,Summary!$D143,'BPC Data'!$B:$B,Summary!$C143)</f>
        <v>50</v>
      </c>
      <c r="L143" s="53">
        <f ca="1">SUMIFS(OFFSET('BPC Data'!$F:$F,0,Summary!L$2),'BPC Data'!$E:$E,Summary!$D143,'BPC Data'!$B:$B,Summary!$C143)</f>
        <v>50</v>
      </c>
      <c r="M143" s="60">
        <f ca="1">SUMIFS(OFFSET('BPC Data'!$F:$F,0,Summary!M$2),'BPC Data'!$E:$E,Summary!$D143,'BPC Data'!$B:$B,Summary!$C143)</f>
        <v>50</v>
      </c>
      <c r="N143" s="53">
        <f ca="1">SUMIFS(OFFSET('BPC Data'!$F:$F,0,Summary!N$2),'BPC Data'!$E:$E,Summary!$D143,'BPC Data'!$B:$B,Summary!$C143)</f>
        <v>50</v>
      </c>
      <c r="O143" s="18">
        <f ca="1">N143</f>
        <v>50</v>
      </c>
    </row>
    <row r="144" spans="1:15" s="11" customFormat="1" x14ac:dyDescent="0.55000000000000004">
      <c r="A144" s="11">
        <f t="shared" si="30"/>
        <v>13</v>
      </c>
      <c r="B144"/>
      <c r="C144" t="str">
        <f>$F141</f>
        <v>Lake Balboa Care Center</v>
      </c>
      <c r="D144" s="3" t="str">
        <f t="shared" si="19"/>
        <v>T_REVENUES - Total Tenant Revenues</v>
      </c>
      <c r="E144"/>
      <c r="F144" s="14" t="str">
        <f>_xll.EVDES(D144)</f>
        <v>Total Tenant Revenues</v>
      </c>
      <c r="G144" s="60">
        <f ca="1">SUMIFS(OFFSET('BPC Data'!$F:$F,0,Summary!G$2),'BPC Data'!$E:$E,Summary!$D144,'BPC Data'!$B:$B,Summary!$C144)</f>
        <v>495778.92</v>
      </c>
      <c r="H144" s="53">
        <f ca="1">SUMIFS(OFFSET('BPC Data'!$F:$F,0,Summary!H$2),'BPC Data'!$E:$E,Summary!$D144,'BPC Data'!$B:$B,Summary!$C144)</f>
        <v>547447.52</v>
      </c>
      <c r="I144" s="60">
        <f ca="1">SUMIFS(OFFSET('BPC Data'!$F:$F,0,Summary!I$2),'BPC Data'!$E:$E,Summary!$D144,'BPC Data'!$B:$B,Summary!$C144)</f>
        <v>581917.97</v>
      </c>
      <c r="J144" s="53">
        <f ca="1">SUMIFS(OFFSET('BPC Data'!$F:$F,0,Summary!J$2),'BPC Data'!$E:$E,Summary!$D144,'BPC Data'!$B:$B,Summary!$C144)</f>
        <v>746750.28</v>
      </c>
      <c r="K144" s="60">
        <f ca="1">SUMIFS(OFFSET('BPC Data'!$F:$F,0,Summary!K$2),'BPC Data'!$E:$E,Summary!$D144,'BPC Data'!$B:$B,Summary!$C144)</f>
        <v>937684.97</v>
      </c>
      <c r="L144" s="53">
        <f ca="1">SUMIFS(OFFSET('BPC Data'!$F:$F,0,Summary!L$2),'BPC Data'!$E:$E,Summary!$D144,'BPC Data'!$B:$B,Summary!$C144)</f>
        <v>801397.64</v>
      </c>
      <c r="M144" s="60">
        <f ca="1">SUMIFS(OFFSET('BPC Data'!$F:$F,0,Summary!M$2),'BPC Data'!$E:$E,Summary!$D144,'BPC Data'!$B:$B,Summary!$C144)</f>
        <v>918537.66</v>
      </c>
      <c r="N144" s="53">
        <f ca="1">SUMIFS(OFFSET('BPC Data'!$F:$F,0,Summary!N$2),'BPC Data'!$E:$E,Summary!$D144,'BPC Data'!$B:$B,Summary!$C144)</f>
        <v>873302.1</v>
      </c>
      <c r="O144" s="18">
        <f t="shared" ref="O144:O153" ca="1" si="31">SUM(G144:N144)</f>
        <v>5902817.0599999996</v>
      </c>
    </row>
    <row r="145" spans="1:15" s="11" customFormat="1" x14ac:dyDescent="0.55000000000000004">
      <c r="A145" s="11">
        <f t="shared" si="30"/>
        <v>13</v>
      </c>
      <c r="B145"/>
      <c r="C145" t="str">
        <f>$F141</f>
        <v>Lake Balboa Care Center</v>
      </c>
      <c r="D145" s="3" t="str">
        <f t="shared" si="19"/>
        <v>T_OPEX - Tenant Operating Expenses</v>
      </c>
      <c r="E145"/>
      <c r="F145" s="14" t="str">
        <f>_xll.EVDES(D145)</f>
        <v>Tenant Operating Expenses</v>
      </c>
      <c r="G145" s="60">
        <f ca="1">SUMIFS(OFFSET('BPC Data'!$F:$F,0,Summary!G$2),'BPC Data'!$E:$E,Summary!$D145,'BPC Data'!$B:$B,Summary!$C145)</f>
        <v>498523.19</v>
      </c>
      <c r="H145" s="53">
        <f ca="1">SUMIFS(OFFSET('BPC Data'!$F:$F,0,Summary!H$2),'BPC Data'!$E:$E,Summary!$D145,'BPC Data'!$B:$B,Summary!$C145)</f>
        <v>514113.36</v>
      </c>
      <c r="I145" s="60">
        <f ca="1">SUMIFS(OFFSET('BPC Data'!$F:$F,0,Summary!I$2),'BPC Data'!$E:$E,Summary!$D145,'BPC Data'!$B:$B,Summary!$C145)</f>
        <v>601405.62</v>
      </c>
      <c r="J145" s="53">
        <f ca="1">SUMIFS(OFFSET('BPC Data'!$F:$F,0,Summary!J$2),'BPC Data'!$E:$E,Summary!$D145,'BPC Data'!$B:$B,Summary!$C145)</f>
        <v>647082.47</v>
      </c>
      <c r="K145" s="60">
        <f ca="1">SUMIFS(OFFSET('BPC Data'!$F:$F,0,Summary!K$2),'BPC Data'!$E:$E,Summary!$D145,'BPC Data'!$B:$B,Summary!$C145)</f>
        <v>692008.82</v>
      </c>
      <c r="L145" s="53">
        <f ca="1">SUMIFS(OFFSET('BPC Data'!$F:$F,0,Summary!L$2),'BPC Data'!$E:$E,Summary!$D145,'BPC Data'!$B:$B,Summary!$C145)</f>
        <v>683967.03</v>
      </c>
      <c r="M145" s="60">
        <f ca="1">SUMIFS(OFFSET('BPC Data'!$F:$F,0,Summary!M$2),'BPC Data'!$E:$E,Summary!$D145,'BPC Data'!$B:$B,Summary!$C145)</f>
        <v>699243.21</v>
      </c>
      <c r="N145" s="53">
        <f ca="1">SUMIFS(OFFSET('BPC Data'!$F:$F,0,Summary!N$2),'BPC Data'!$E:$E,Summary!$D145,'BPC Data'!$B:$B,Summary!$C145)</f>
        <v>717789.97</v>
      </c>
      <c r="O145" s="18">
        <f t="shared" ca="1" si="31"/>
        <v>5054133.669999999</v>
      </c>
    </row>
    <row r="146" spans="1:15" s="11" customFormat="1" x14ac:dyDescent="0.55000000000000004">
      <c r="A146" s="11">
        <f t="shared" si="30"/>
        <v>13</v>
      </c>
      <c r="B146"/>
      <c r="C146" t="str">
        <f>$F141</f>
        <v>Lake Balboa Care Center</v>
      </c>
      <c r="D146" s="3" t="str">
        <f t="shared" si="19"/>
        <v>T_BAD_DEBT - Tenant Bad Debt Expense</v>
      </c>
      <c r="E146"/>
      <c r="F146" s="14" t="str">
        <f>_xll.EVDES(D146)</f>
        <v>Tenant Bad Debt Expense</v>
      </c>
      <c r="G146" s="60">
        <f ca="1">SUMIFS(OFFSET('BPC Data'!$F:$F,0,Summary!G$2),'BPC Data'!$E:$E,Summary!$D146,'BPC Data'!$B:$B,Summary!$C146)</f>
        <v>-4487.7700000000004</v>
      </c>
      <c r="H146" s="53">
        <f ca="1">SUMIFS(OFFSET('BPC Data'!$F:$F,0,Summary!H$2),'BPC Data'!$E:$E,Summary!$D146,'BPC Data'!$B:$B,Summary!$C146)</f>
        <v>-3763.06</v>
      </c>
      <c r="I146" s="60">
        <f ca="1">SUMIFS(OFFSET('BPC Data'!$F:$F,0,Summary!I$2),'BPC Data'!$E:$E,Summary!$D146,'BPC Data'!$B:$B,Summary!$C146)</f>
        <v>-8866.1299999999992</v>
      </c>
      <c r="J146" s="53">
        <f ca="1">SUMIFS(OFFSET('BPC Data'!$F:$F,0,Summary!J$2),'BPC Data'!$E:$E,Summary!$D146,'BPC Data'!$B:$B,Summary!$C146)</f>
        <v>18370.669999999998</v>
      </c>
      <c r="K146" s="60">
        <f ca="1">SUMIFS(OFFSET('BPC Data'!$F:$F,0,Summary!K$2),'BPC Data'!$E:$E,Summary!$D146,'BPC Data'!$B:$B,Summary!$C146)</f>
        <v>-3942.1</v>
      </c>
      <c r="L146" s="53">
        <f ca="1">SUMIFS(OFFSET('BPC Data'!$F:$F,0,Summary!L$2),'BPC Data'!$E:$E,Summary!$D146,'BPC Data'!$B:$B,Summary!$C146)</f>
        <v>-5296.98</v>
      </c>
      <c r="M146" s="60">
        <f ca="1">SUMIFS(OFFSET('BPC Data'!$F:$F,0,Summary!M$2),'BPC Data'!$E:$E,Summary!$D146,'BPC Data'!$B:$B,Summary!$C146)</f>
        <v>-33253.760000000002</v>
      </c>
      <c r="N146" s="53">
        <f ca="1">SUMIFS(OFFSET('BPC Data'!$F:$F,0,Summary!N$2),'BPC Data'!$E:$E,Summary!$D146,'BPC Data'!$B:$B,Summary!$C146)</f>
        <v>4451.99</v>
      </c>
      <c r="O146" s="18">
        <f t="shared" ca="1" si="31"/>
        <v>-36787.140000000007</v>
      </c>
    </row>
    <row r="147" spans="1:15" s="11" customFormat="1" x14ac:dyDescent="0.55000000000000004">
      <c r="A147" s="11">
        <f t="shared" si="30"/>
        <v>13</v>
      </c>
      <c r="B147"/>
      <c r="C147" t="str">
        <f>$F141</f>
        <v>Lake Balboa Care Center</v>
      </c>
      <c r="D147" s="2" t="str">
        <f t="shared" si="19"/>
        <v>T_EBITDARM - EBITDARM</v>
      </c>
      <c r="E147"/>
      <c r="F147" s="14" t="str">
        <f>_xll.EVDES(D147)</f>
        <v>EBITDARM</v>
      </c>
      <c r="G147" s="60">
        <f ca="1">SUMIFS(OFFSET('BPC Data'!$F:$F,0,Summary!G$2),'BPC Data'!$E:$E,Summary!$D147,'BPC Data'!$B:$B,Summary!$C147)</f>
        <v>-2744.27000000002</v>
      </c>
      <c r="H147" s="53">
        <f ca="1">SUMIFS(OFFSET('BPC Data'!$F:$F,0,Summary!H$2),'BPC Data'!$E:$E,Summary!$D147,'BPC Data'!$B:$B,Summary!$C147)</f>
        <v>33334.160000000003</v>
      </c>
      <c r="I147" s="60">
        <f ca="1">SUMIFS(OFFSET('BPC Data'!$F:$F,0,Summary!I$2),'BPC Data'!$E:$E,Summary!$D147,'BPC Data'!$B:$B,Summary!$C147)</f>
        <v>-19487.650000000001</v>
      </c>
      <c r="J147" s="53">
        <f ca="1">SUMIFS(OFFSET('BPC Data'!$F:$F,0,Summary!J$2),'BPC Data'!$E:$E,Summary!$D147,'BPC Data'!$B:$B,Summary!$C147)</f>
        <v>99667.8100000001</v>
      </c>
      <c r="K147" s="60">
        <f ca="1">SUMIFS(OFFSET('BPC Data'!$F:$F,0,Summary!K$2),'BPC Data'!$E:$E,Summary!$D147,'BPC Data'!$B:$B,Summary!$C147)</f>
        <v>245676.15</v>
      </c>
      <c r="L147" s="53">
        <f ca="1">SUMIFS(OFFSET('BPC Data'!$F:$F,0,Summary!L$2),'BPC Data'!$E:$E,Summary!$D147,'BPC Data'!$B:$B,Summary!$C147)</f>
        <v>117430.61</v>
      </c>
      <c r="M147" s="60">
        <f ca="1">SUMIFS(OFFSET('BPC Data'!$F:$F,0,Summary!M$2),'BPC Data'!$E:$E,Summary!$D147,'BPC Data'!$B:$B,Summary!$C147)</f>
        <v>219294.45</v>
      </c>
      <c r="N147" s="53">
        <f ca="1">SUMIFS(OFFSET('BPC Data'!$F:$F,0,Summary!N$2),'BPC Data'!$E:$E,Summary!$D147,'BPC Data'!$B:$B,Summary!$C147)</f>
        <v>155512.13</v>
      </c>
      <c r="O147" s="18">
        <f t="shared" ca="1" si="31"/>
        <v>848683.39</v>
      </c>
    </row>
    <row r="148" spans="1:15" s="11" customFormat="1" x14ac:dyDescent="0.55000000000000004">
      <c r="A148" s="11">
        <f t="shared" si="30"/>
        <v>13</v>
      </c>
      <c r="B148"/>
      <c r="C148" t="str">
        <f>$F141</f>
        <v>Lake Balboa Care Center</v>
      </c>
      <c r="D148" s="2" t="str">
        <f t="shared" si="19"/>
        <v>T_MGMT_FEE - Tenant Management Fee - Actual</v>
      </c>
      <c r="E148"/>
      <c r="F148" s="14" t="str">
        <f>_xll.EVDES(D148)</f>
        <v>Tenant Management Fee - Actual</v>
      </c>
      <c r="G148" s="60">
        <f ca="1">SUMIFS(OFFSET('BPC Data'!$F:$F,0,Summary!G$2),'BPC Data'!$E:$E,Summary!$D148,'BPC Data'!$B:$B,Summary!$C148)</f>
        <v>20197</v>
      </c>
      <c r="H148" s="53">
        <f ca="1">SUMIFS(OFFSET('BPC Data'!$F:$F,0,Summary!H$2),'BPC Data'!$E:$E,Summary!$D148,'BPC Data'!$B:$B,Summary!$C148)</f>
        <v>24788</v>
      </c>
      <c r="I148" s="60">
        <f ca="1">SUMIFS(OFFSET('BPC Data'!$F:$F,0,Summary!I$2),'BPC Data'!$E:$E,Summary!$D148,'BPC Data'!$B:$B,Summary!$C148)</f>
        <v>27372</v>
      </c>
      <c r="J148" s="53">
        <f ca="1">SUMIFS(OFFSET('BPC Data'!$F:$F,0,Summary!J$2),'BPC Data'!$E:$E,Summary!$D148,'BPC Data'!$B:$B,Summary!$C148)</f>
        <v>29095</v>
      </c>
      <c r="K148" s="60">
        <f ca="1">SUMIFS(OFFSET('BPC Data'!$F:$F,0,Summary!K$2),'BPC Data'!$E:$E,Summary!$D148,'BPC Data'!$B:$B,Summary!$C148)</f>
        <v>37337</v>
      </c>
      <c r="L148" s="53">
        <f ca="1">SUMIFS(OFFSET('BPC Data'!$F:$F,0,Summary!L$2),'BPC Data'!$E:$E,Summary!$D148,'BPC Data'!$B:$B,Summary!$C148)</f>
        <v>46884</v>
      </c>
      <c r="M148" s="60">
        <f ca="1">SUMIFS(OFFSET('BPC Data'!$F:$F,0,Summary!M$2),'BPC Data'!$E:$E,Summary!$D148,'BPC Data'!$B:$B,Summary!$C148)</f>
        <v>40069</v>
      </c>
      <c r="N148" s="53">
        <f ca="1">SUMIFS(OFFSET('BPC Data'!$F:$F,0,Summary!N$2),'BPC Data'!$E:$E,Summary!$D148,'BPC Data'!$B:$B,Summary!$C148)</f>
        <v>45926</v>
      </c>
      <c r="O148" s="18">
        <f t="shared" ca="1" si="31"/>
        <v>271668</v>
      </c>
    </row>
    <row r="149" spans="1:15" s="11" customFormat="1" x14ac:dyDescent="0.55000000000000004">
      <c r="A149" s="11">
        <f t="shared" si="30"/>
        <v>13</v>
      </c>
      <c r="B149"/>
      <c r="C149" t="str">
        <f>$F141</f>
        <v>Lake Balboa Care Center</v>
      </c>
      <c r="D149" s="1" t="str">
        <f t="shared" si="19"/>
        <v>T_EBITDAR - EBITDAR</v>
      </c>
      <c r="E149"/>
      <c r="F149" s="14" t="str">
        <f>_xll.EVDES(D149)</f>
        <v>EBITDAR</v>
      </c>
      <c r="G149" s="60">
        <f ca="1">SUMIFS(OFFSET('BPC Data'!$F:$F,0,Summary!G$2),'BPC Data'!$E:$E,Summary!$D149,'BPC Data'!$B:$B,Summary!$C149)</f>
        <v>-22941.27</v>
      </c>
      <c r="H149" s="53">
        <f ca="1">SUMIFS(OFFSET('BPC Data'!$F:$F,0,Summary!H$2),'BPC Data'!$E:$E,Summary!$D149,'BPC Data'!$B:$B,Summary!$C149)</f>
        <v>8546.1599999999708</v>
      </c>
      <c r="I149" s="60">
        <f ca="1">SUMIFS(OFFSET('BPC Data'!$F:$F,0,Summary!I$2),'BPC Data'!$E:$E,Summary!$D149,'BPC Data'!$B:$B,Summary!$C149)</f>
        <v>-46859.65</v>
      </c>
      <c r="J149" s="53">
        <f ca="1">SUMIFS(OFFSET('BPC Data'!$F:$F,0,Summary!J$2),'BPC Data'!$E:$E,Summary!$D149,'BPC Data'!$B:$B,Summary!$C149)</f>
        <v>70572.8100000001</v>
      </c>
      <c r="K149" s="60">
        <f ca="1">SUMIFS(OFFSET('BPC Data'!$F:$F,0,Summary!K$2),'BPC Data'!$E:$E,Summary!$D149,'BPC Data'!$B:$B,Summary!$C149)</f>
        <v>208339.15</v>
      </c>
      <c r="L149" s="53">
        <f ca="1">SUMIFS(OFFSET('BPC Data'!$F:$F,0,Summary!L$2),'BPC Data'!$E:$E,Summary!$D149,'BPC Data'!$B:$B,Summary!$C149)</f>
        <v>70546.610000000102</v>
      </c>
      <c r="M149" s="60">
        <f ca="1">SUMIFS(OFFSET('BPC Data'!$F:$F,0,Summary!M$2),'BPC Data'!$E:$E,Summary!$D149,'BPC Data'!$B:$B,Summary!$C149)</f>
        <v>179225.45</v>
      </c>
      <c r="N149" s="53">
        <f ca="1">SUMIFS(OFFSET('BPC Data'!$F:$F,0,Summary!N$2),'BPC Data'!$E:$E,Summary!$D149,'BPC Data'!$B:$B,Summary!$C149)</f>
        <v>109586.13</v>
      </c>
      <c r="O149" s="18">
        <f t="shared" ca="1" si="31"/>
        <v>577015.39000000013</v>
      </c>
    </row>
    <row r="150" spans="1:15" s="11" customFormat="1" x14ac:dyDescent="0.55000000000000004">
      <c r="A150" s="11">
        <f t="shared" si="30"/>
        <v>13</v>
      </c>
      <c r="B150"/>
      <c r="C150" t="str">
        <f>$F141</f>
        <v>Lake Balboa Care Center</v>
      </c>
      <c r="D150" s="1" t="str">
        <f t="shared" ref="D150:D213" si="32">$D139</f>
        <v>T_RENT_EXP - Tenant Rent Expense</v>
      </c>
      <c r="E150"/>
      <c r="F150" s="14" t="str">
        <f>_xll.EVDES(D150)</f>
        <v>Tenant Rent Expense</v>
      </c>
      <c r="G150" s="60">
        <f ca="1">SUMIFS(OFFSET('BPC Data'!$F:$F,0,Summary!G$2),'BPC Data'!$E:$E,Summary!$D150,'BPC Data'!$B:$B,Summary!$C150)</f>
        <v>139281.13</v>
      </c>
      <c r="H150" s="53">
        <f ca="1">SUMIFS(OFFSET('BPC Data'!$F:$F,0,Summary!H$2),'BPC Data'!$E:$E,Summary!$D150,'BPC Data'!$B:$B,Summary!$C150)</f>
        <v>139281.13</v>
      </c>
      <c r="I150" s="60">
        <f ca="1">SUMIFS(OFFSET('BPC Data'!$F:$F,0,Summary!I$2),'BPC Data'!$E:$E,Summary!$D150,'BPC Data'!$B:$B,Summary!$C150)</f>
        <v>139281.13</v>
      </c>
      <c r="J150" s="53">
        <f ca="1">SUMIFS(OFFSET('BPC Data'!$F:$F,0,Summary!J$2),'BPC Data'!$E:$E,Summary!$D150,'BPC Data'!$B:$B,Summary!$C150)</f>
        <v>139281.13</v>
      </c>
      <c r="K150" s="60">
        <f ca="1">SUMIFS(OFFSET('BPC Data'!$F:$F,0,Summary!K$2),'BPC Data'!$E:$E,Summary!$D150,'BPC Data'!$B:$B,Summary!$C150)</f>
        <v>139281.13</v>
      </c>
      <c r="L150" s="53">
        <f ca="1">SUMIFS(OFFSET('BPC Data'!$F:$F,0,Summary!L$2),'BPC Data'!$E:$E,Summary!$D150,'BPC Data'!$B:$B,Summary!$C150)</f>
        <v>139281.13</v>
      </c>
      <c r="M150" s="60">
        <f ca="1">SUMIFS(OFFSET('BPC Data'!$F:$F,0,Summary!M$2),'BPC Data'!$E:$E,Summary!$D150,'BPC Data'!$B:$B,Summary!$C150)</f>
        <v>139345.28</v>
      </c>
      <c r="N150" s="53">
        <f ca="1">SUMIFS(OFFSET('BPC Data'!$F:$F,0,Summary!N$2),'BPC Data'!$E:$E,Summary!$D150,'BPC Data'!$B:$B,Summary!$C150)</f>
        <v>139345.28</v>
      </c>
      <c r="O150" s="18">
        <f t="shared" ca="1" si="31"/>
        <v>1114377.3400000001</v>
      </c>
    </row>
    <row r="151" spans="1:15" s="11" customFormat="1" x14ac:dyDescent="0.55000000000000004">
      <c r="A151" s="11">
        <f t="shared" si="30"/>
        <v>13</v>
      </c>
      <c r="B151"/>
      <c r="C151"/>
      <c r="D151" s="1" t="str">
        <f t="shared" si="32"/>
        <v>x</v>
      </c>
      <c r="E151"/>
      <c r="F151" s="14" t="s">
        <v>0</v>
      </c>
      <c r="G151" s="61">
        <f ca="1">SUMIFS(OFFSET('BPC Data'!$F:$F,0,Summary!G$2),'BPC Data'!$E:$E,Summary!$D151,'BPC Data'!$B:$B,Summary!$C151)</f>
        <v>0</v>
      </c>
      <c r="H151" s="54">
        <f ca="1">SUMIFS(OFFSET('BPC Data'!$F:$F,0,Summary!H$2),'BPC Data'!$E:$E,Summary!$D151,'BPC Data'!$B:$B,Summary!$C151)</f>
        <v>0</v>
      </c>
      <c r="I151" s="61">
        <f ca="1">SUMIFS(OFFSET('BPC Data'!$F:$F,0,Summary!I$2),'BPC Data'!$E:$E,Summary!$D151,'BPC Data'!$B:$B,Summary!$C151)</f>
        <v>0</v>
      </c>
      <c r="J151" s="54">
        <f ca="1">SUMIFS(OFFSET('BPC Data'!$F:$F,0,Summary!J$2),'BPC Data'!$E:$E,Summary!$D151,'BPC Data'!$B:$B,Summary!$C151)</f>
        <v>0</v>
      </c>
      <c r="K151" s="61">
        <f ca="1">SUMIFS(OFFSET('BPC Data'!$F:$F,0,Summary!K$2),'BPC Data'!$E:$E,Summary!$D151,'BPC Data'!$B:$B,Summary!$C151)</f>
        <v>0</v>
      </c>
      <c r="L151" s="54">
        <f ca="1">SUMIFS(OFFSET('BPC Data'!$F:$F,0,Summary!L$2),'BPC Data'!$E:$E,Summary!$D151,'BPC Data'!$B:$B,Summary!$C151)</f>
        <v>0</v>
      </c>
      <c r="M151" s="61">
        <f ca="1">SUMIFS(OFFSET('BPC Data'!$F:$F,0,Summary!M$2),'BPC Data'!$E:$E,Summary!$D151,'BPC Data'!$B:$B,Summary!$C151)</f>
        <v>0</v>
      </c>
      <c r="N151" s="54">
        <f ca="1">SUMIFS(OFFSET('BPC Data'!$F:$F,0,Summary!N$2),'BPC Data'!$E:$E,Summary!$D151,'BPC Data'!$B:$B,Summary!$C151)</f>
        <v>0</v>
      </c>
      <c r="O151" s="18">
        <f t="shared" ca="1" si="31"/>
        <v>0</v>
      </c>
    </row>
    <row r="152" spans="1:15" s="11" customFormat="1" x14ac:dyDescent="0.55000000000000004">
      <c r="A152" s="11">
        <f>IF(AND(D152&lt;&gt;"",C152=""),A151+1,A151)</f>
        <v>14</v>
      </c>
      <c r="B152" s="4"/>
      <c r="C152" s="4"/>
      <c r="D152" s="4" t="str">
        <f t="shared" si="32"/>
        <v>x</v>
      </c>
      <c r="E152" s="4"/>
      <c r="F152" s="13" t="str">
        <f>INDEX(PropertyList!$D:$D,MATCH(Summary!$A152,PropertyList!$C:$C,0))</f>
        <v>Lomita Post-Acute Care Center</v>
      </c>
      <c r="G152" s="59">
        <f ca="1">SUMIFS(OFFSET('BPC Data'!$F:$F,0,Summary!G$2),'BPC Data'!$E:$E,Summary!$D152,'BPC Data'!$B:$B,Summary!$C152)</f>
        <v>0</v>
      </c>
      <c r="H152" s="52">
        <f ca="1">SUMIFS(OFFSET('BPC Data'!$F:$F,0,Summary!H$2),'BPC Data'!$E:$E,Summary!$D152,'BPC Data'!$B:$B,Summary!$C152)</f>
        <v>0</v>
      </c>
      <c r="I152" s="59">
        <f ca="1">SUMIFS(OFFSET('BPC Data'!$F:$F,0,Summary!I$2),'BPC Data'!$E:$E,Summary!$D152,'BPC Data'!$B:$B,Summary!$C152)</f>
        <v>0</v>
      </c>
      <c r="J152" s="52">
        <f ca="1">SUMIFS(OFFSET('BPC Data'!$F:$F,0,Summary!J$2),'BPC Data'!$E:$E,Summary!$D152,'BPC Data'!$B:$B,Summary!$C152)</f>
        <v>0</v>
      </c>
      <c r="K152" s="59">
        <f ca="1">SUMIFS(OFFSET('BPC Data'!$F:$F,0,Summary!K$2),'BPC Data'!$E:$E,Summary!$D152,'BPC Data'!$B:$B,Summary!$C152)</f>
        <v>0</v>
      </c>
      <c r="L152" s="52">
        <f ca="1">SUMIFS(OFFSET('BPC Data'!$F:$F,0,Summary!L$2),'BPC Data'!$E:$E,Summary!$D152,'BPC Data'!$B:$B,Summary!$C152)</f>
        <v>0</v>
      </c>
      <c r="M152" s="59">
        <f ca="1">SUMIFS(OFFSET('BPC Data'!$F:$F,0,Summary!M$2),'BPC Data'!$E:$E,Summary!$D152,'BPC Data'!$B:$B,Summary!$C152)</f>
        <v>0</v>
      </c>
      <c r="N152" s="52">
        <f ca="1">SUMIFS(OFFSET('BPC Data'!$F:$F,0,Summary!N$2),'BPC Data'!$E:$E,Summary!$D152,'BPC Data'!$B:$B,Summary!$C152)</f>
        <v>0</v>
      </c>
      <c r="O152" s="18">
        <f t="shared" ca="1" si="31"/>
        <v>0</v>
      </c>
    </row>
    <row r="153" spans="1:15" s="11" customFormat="1" x14ac:dyDescent="0.55000000000000004">
      <c r="A153" s="11">
        <f>IF(AND(F153&lt;&gt;"",D153=""),A152+1,A152)</f>
        <v>14</v>
      </c>
      <c r="C153" t="str">
        <f>$F152</f>
        <v>Lomita Post-Acute Care Center</v>
      </c>
      <c r="D153" s="3" t="str">
        <f t="shared" si="32"/>
        <v>PAY_PAT_DAYS - Total Payor Patient Days</v>
      </c>
      <c r="F153" s="14" t="str">
        <f>_xll.EVDES(D153)</f>
        <v>Total Payor Patient Days</v>
      </c>
      <c r="G153" s="60">
        <f ca="1">SUMIFS(OFFSET('BPC Data'!$F:$F,0,Summary!G$2),'BPC Data'!$E:$E,Summary!$D153,'BPC Data'!$B:$B,Summary!$C153)</f>
        <v>1199</v>
      </c>
      <c r="H153" s="53">
        <f ca="1">SUMIFS(OFFSET('BPC Data'!$F:$F,0,Summary!H$2),'BPC Data'!$E:$E,Summary!$D153,'BPC Data'!$B:$B,Summary!$C153)</f>
        <v>1117</v>
      </c>
      <c r="I153" s="60">
        <f ca="1">SUMIFS(OFFSET('BPC Data'!$F:$F,0,Summary!I$2),'BPC Data'!$E:$E,Summary!$D153,'BPC Data'!$B:$B,Summary!$C153)</f>
        <v>1278</v>
      </c>
      <c r="J153" s="53">
        <f ca="1">SUMIFS(OFFSET('BPC Data'!$F:$F,0,Summary!J$2),'BPC Data'!$E:$E,Summary!$D153,'BPC Data'!$B:$B,Summary!$C153)</f>
        <v>1460</v>
      </c>
      <c r="K153" s="60">
        <f ca="1">SUMIFS(OFFSET('BPC Data'!$F:$F,0,Summary!K$2),'BPC Data'!$E:$E,Summary!$D153,'BPC Data'!$B:$B,Summary!$C153)</f>
        <v>1415</v>
      </c>
      <c r="L153" s="53">
        <f ca="1">SUMIFS(OFFSET('BPC Data'!$F:$F,0,Summary!L$2),'BPC Data'!$E:$E,Summary!$D153,'BPC Data'!$B:$B,Summary!$C153)</f>
        <v>1522</v>
      </c>
      <c r="M153" s="60">
        <f ca="1">SUMIFS(OFFSET('BPC Data'!$F:$F,0,Summary!M$2),'BPC Data'!$E:$E,Summary!$D153,'BPC Data'!$B:$B,Summary!$C153)</f>
        <v>1569</v>
      </c>
      <c r="N153" s="53">
        <f ca="1">SUMIFS(OFFSET('BPC Data'!$F:$F,0,Summary!N$2),'BPC Data'!$E:$E,Summary!$D153,'BPC Data'!$B:$B,Summary!$C153)</f>
        <v>1700</v>
      </c>
      <c r="O153" s="18">
        <f t="shared" ca="1" si="31"/>
        <v>11260</v>
      </c>
    </row>
    <row r="154" spans="1:15" s="11" customFormat="1" x14ac:dyDescent="0.55000000000000004">
      <c r="A154" s="11">
        <f t="shared" ref="A154:A162" si="33">IF(AND(F154&lt;&gt;"",D154=""),A153+1,A153)</f>
        <v>14</v>
      </c>
      <c r="C154" t="str">
        <f>$F152</f>
        <v>Lomita Post-Acute Care Center</v>
      </c>
      <c r="D154" s="3" t="str">
        <f t="shared" si="32"/>
        <v>A_BEDS_TOTAL - Total Available Beds</v>
      </c>
      <c r="F154" s="14" t="str">
        <f>_xll.EVDES(D154)</f>
        <v>Total Available Beds</v>
      </c>
      <c r="G154" s="60">
        <f ca="1">SUMIFS(OFFSET('BPC Data'!$F:$F,0,Summary!G$2),'BPC Data'!$E:$E,Summary!$D154,'BPC Data'!$B:$B,Summary!$C154)</f>
        <v>68</v>
      </c>
      <c r="H154" s="53">
        <f ca="1">SUMIFS(OFFSET('BPC Data'!$F:$F,0,Summary!H$2),'BPC Data'!$E:$E,Summary!$D154,'BPC Data'!$B:$B,Summary!$C154)</f>
        <v>68</v>
      </c>
      <c r="I154" s="60">
        <f ca="1">SUMIFS(OFFSET('BPC Data'!$F:$F,0,Summary!I$2),'BPC Data'!$E:$E,Summary!$D154,'BPC Data'!$B:$B,Summary!$C154)</f>
        <v>68</v>
      </c>
      <c r="J154" s="53">
        <f ca="1">SUMIFS(OFFSET('BPC Data'!$F:$F,0,Summary!J$2),'BPC Data'!$E:$E,Summary!$D154,'BPC Data'!$B:$B,Summary!$C154)</f>
        <v>68</v>
      </c>
      <c r="K154" s="60">
        <f ca="1">SUMIFS(OFFSET('BPC Data'!$F:$F,0,Summary!K$2),'BPC Data'!$E:$E,Summary!$D154,'BPC Data'!$B:$B,Summary!$C154)</f>
        <v>68</v>
      </c>
      <c r="L154" s="53">
        <f ca="1">SUMIFS(OFFSET('BPC Data'!$F:$F,0,Summary!L$2),'BPC Data'!$E:$E,Summary!$D154,'BPC Data'!$B:$B,Summary!$C154)</f>
        <v>68</v>
      </c>
      <c r="M154" s="60">
        <f ca="1">SUMIFS(OFFSET('BPC Data'!$F:$F,0,Summary!M$2),'BPC Data'!$E:$E,Summary!$D154,'BPC Data'!$B:$B,Summary!$C154)</f>
        <v>68</v>
      </c>
      <c r="N154" s="53">
        <f ca="1">SUMIFS(OFFSET('BPC Data'!$F:$F,0,Summary!N$2),'BPC Data'!$E:$E,Summary!$D154,'BPC Data'!$B:$B,Summary!$C154)</f>
        <v>68</v>
      </c>
      <c r="O154" s="18">
        <f ca="1">N154</f>
        <v>68</v>
      </c>
    </row>
    <row r="155" spans="1:15" s="11" customFormat="1" x14ac:dyDescent="0.55000000000000004">
      <c r="A155" s="11">
        <f t="shared" si="33"/>
        <v>14</v>
      </c>
      <c r="B155"/>
      <c r="C155" t="str">
        <f>$F152</f>
        <v>Lomita Post-Acute Care Center</v>
      </c>
      <c r="D155" s="3" t="str">
        <f t="shared" si="32"/>
        <v>T_REVENUES - Total Tenant Revenues</v>
      </c>
      <c r="E155"/>
      <c r="F155" s="14" t="str">
        <f>_xll.EVDES(D155)</f>
        <v>Total Tenant Revenues</v>
      </c>
      <c r="G155" s="60">
        <f ca="1">SUMIFS(OFFSET('BPC Data'!$F:$F,0,Summary!G$2),'BPC Data'!$E:$E,Summary!$D155,'BPC Data'!$B:$B,Summary!$C155)</f>
        <v>573047.67000000004</v>
      </c>
      <c r="H155" s="53">
        <f ca="1">SUMIFS(OFFSET('BPC Data'!$F:$F,0,Summary!H$2),'BPC Data'!$E:$E,Summary!$D155,'BPC Data'!$B:$B,Summary!$C155)</f>
        <v>505669.36</v>
      </c>
      <c r="I155" s="60">
        <f ca="1">SUMIFS(OFFSET('BPC Data'!$F:$F,0,Summary!I$2),'BPC Data'!$E:$E,Summary!$D155,'BPC Data'!$B:$B,Summary!$C155)</f>
        <v>592078.06000000006</v>
      </c>
      <c r="J155" s="53">
        <f ca="1">SUMIFS(OFFSET('BPC Data'!$F:$F,0,Summary!J$2),'BPC Data'!$E:$E,Summary!$D155,'BPC Data'!$B:$B,Summary!$C155)</f>
        <v>714701.76</v>
      </c>
      <c r="K155" s="60">
        <f ca="1">SUMIFS(OFFSET('BPC Data'!$F:$F,0,Summary!K$2),'BPC Data'!$E:$E,Summary!$D155,'BPC Data'!$B:$B,Summary!$C155)</f>
        <v>682964.52</v>
      </c>
      <c r="L155" s="53">
        <f ca="1">SUMIFS(OFFSET('BPC Data'!$F:$F,0,Summary!L$2),'BPC Data'!$E:$E,Summary!$D155,'BPC Data'!$B:$B,Summary!$C155)</f>
        <v>754450.66</v>
      </c>
      <c r="M155" s="60">
        <f ca="1">SUMIFS(OFFSET('BPC Data'!$F:$F,0,Summary!M$2),'BPC Data'!$E:$E,Summary!$D155,'BPC Data'!$B:$B,Summary!$C155)</f>
        <v>832068.76</v>
      </c>
      <c r="N155" s="53">
        <f ca="1">SUMIFS(OFFSET('BPC Data'!$F:$F,0,Summary!N$2),'BPC Data'!$E:$E,Summary!$D155,'BPC Data'!$B:$B,Summary!$C155)</f>
        <v>872684.5</v>
      </c>
      <c r="O155" s="18">
        <f t="shared" ref="O155:O164" ca="1" si="34">SUM(G155:N155)</f>
        <v>5527665.29</v>
      </c>
    </row>
    <row r="156" spans="1:15" s="11" customFormat="1" x14ac:dyDescent="0.55000000000000004">
      <c r="A156" s="11">
        <f t="shared" si="33"/>
        <v>14</v>
      </c>
      <c r="B156"/>
      <c r="C156" t="str">
        <f>$F152</f>
        <v>Lomita Post-Acute Care Center</v>
      </c>
      <c r="D156" s="3" t="str">
        <f t="shared" si="32"/>
        <v>T_OPEX - Tenant Operating Expenses</v>
      </c>
      <c r="E156"/>
      <c r="F156" s="14" t="str">
        <f>_xll.EVDES(D156)</f>
        <v>Tenant Operating Expenses</v>
      </c>
      <c r="G156" s="60">
        <f ca="1">SUMIFS(OFFSET('BPC Data'!$F:$F,0,Summary!G$2),'BPC Data'!$E:$E,Summary!$D156,'BPC Data'!$B:$B,Summary!$C156)</f>
        <v>582036.9</v>
      </c>
      <c r="H156" s="53">
        <f ca="1">SUMIFS(OFFSET('BPC Data'!$F:$F,0,Summary!H$2),'BPC Data'!$E:$E,Summary!$D156,'BPC Data'!$B:$B,Summary!$C156)</f>
        <v>567851.03</v>
      </c>
      <c r="I156" s="60">
        <f ca="1">SUMIFS(OFFSET('BPC Data'!$F:$F,0,Summary!I$2),'BPC Data'!$E:$E,Summary!$D156,'BPC Data'!$B:$B,Summary!$C156)</f>
        <v>598750.41</v>
      </c>
      <c r="J156" s="53">
        <f ca="1">SUMIFS(OFFSET('BPC Data'!$F:$F,0,Summary!J$2),'BPC Data'!$E:$E,Summary!$D156,'BPC Data'!$B:$B,Summary!$C156)</f>
        <v>629476.04</v>
      </c>
      <c r="K156" s="60">
        <f ca="1">SUMIFS(OFFSET('BPC Data'!$F:$F,0,Summary!K$2),'BPC Data'!$E:$E,Summary!$D156,'BPC Data'!$B:$B,Summary!$C156)</f>
        <v>657532.07999999996</v>
      </c>
      <c r="L156" s="53">
        <f ca="1">SUMIFS(OFFSET('BPC Data'!$F:$F,0,Summary!L$2),'BPC Data'!$E:$E,Summary!$D156,'BPC Data'!$B:$B,Summary!$C156)</f>
        <v>703810.18</v>
      </c>
      <c r="M156" s="60">
        <f ca="1">SUMIFS(OFFSET('BPC Data'!$F:$F,0,Summary!M$2),'BPC Data'!$E:$E,Summary!$D156,'BPC Data'!$B:$B,Summary!$C156)</f>
        <v>686831.52</v>
      </c>
      <c r="N156" s="53">
        <f ca="1">SUMIFS(OFFSET('BPC Data'!$F:$F,0,Summary!N$2),'BPC Data'!$E:$E,Summary!$D156,'BPC Data'!$B:$B,Summary!$C156)</f>
        <v>650229.73</v>
      </c>
      <c r="O156" s="18">
        <f t="shared" ca="1" si="34"/>
        <v>5076517.8900000006</v>
      </c>
    </row>
    <row r="157" spans="1:15" s="11" customFormat="1" x14ac:dyDescent="0.55000000000000004">
      <c r="A157" s="11">
        <f t="shared" si="33"/>
        <v>14</v>
      </c>
      <c r="B157"/>
      <c r="C157" t="str">
        <f>$F152</f>
        <v>Lomita Post-Acute Care Center</v>
      </c>
      <c r="D157" s="3" t="str">
        <f t="shared" si="32"/>
        <v>T_BAD_DEBT - Tenant Bad Debt Expense</v>
      </c>
      <c r="E157"/>
      <c r="F157" s="14" t="str">
        <f>_xll.EVDES(D157)</f>
        <v>Tenant Bad Debt Expense</v>
      </c>
      <c r="G157" s="60">
        <f ca="1">SUMIFS(OFFSET('BPC Data'!$F:$F,0,Summary!G$2),'BPC Data'!$E:$E,Summary!$D157,'BPC Data'!$B:$B,Summary!$C157)</f>
        <v>1578.2</v>
      </c>
      <c r="H157" s="53">
        <f ca="1">SUMIFS(OFFSET('BPC Data'!$F:$F,0,Summary!H$2),'BPC Data'!$E:$E,Summary!$D157,'BPC Data'!$B:$B,Summary!$C157)</f>
        <v>-4351.22</v>
      </c>
      <c r="I157" s="60">
        <f ca="1">SUMIFS(OFFSET('BPC Data'!$F:$F,0,Summary!I$2),'BPC Data'!$E:$E,Summary!$D157,'BPC Data'!$B:$B,Summary!$C157)</f>
        <v>13122.84</v>
      </c>
      <c r="J157" s="53">
        <f ca="1">SUMIFS(OFFSET('BPC Data'!$F:$F,0,Summary!J$2),'BPC Data'!$E:$E,Summary!$D157,'BPC Data'!$B:$B,Summary!$C157)</f>
        <v>730.64</v>
      </c>
      <c r="K157" s="60">
        <f ca="1">SUMIFS(OFFSET('BPC Data'!$F:$F,0,Summary!K$2),'BPC Data'!$E:$E,Summary!$D157,'BPC Data'!$B:$B,Summary!$C157)</f>
        <v>10955.94</v>
      </c>
      <c r="L157" s="53">
        <f ca="1">SUMIFS(OFFSET('BPC Data'!$F:$F,0,Summary!L$2),'BPC Data'!$E:$E,Summary!$D157,'BPC Data'!$B:$B,Summary!$C157)</f>
        <v>23032</v>
      </c>
      <c r="M157" s="60">
        <f ca="1">SUMIFS(OFFSET('BPC Data'!$F:$F,0,Summary!M$2),'BPC Data'!$E:$E,Summary!$D157,'BPC Data'!$B:$B,Summary!$C157)</f>
        <v>-4618.05</v>
      </c>
      <c r="N157" s="53">
        <f ca="1">SUMIFS(OFFSET('BPC Data'!$F:$F,0,Summary!N$2),'BPC Data'!$E:$E,Summary!$D157,'BPC Data'!$B:$B,Summary!$C157)</f>
        <v>627.77</v>
      </c>
      <c r="O157" s="18">
        <f t="shared" ca="1" si="34"/>
        <v>41078.119999999995</v>
      </c>
    </row>
    <row r="158" spans="1:15" s="11" customFormat="1" x14ac:dyDescent="0.55000000000000004">
      <c r="A158" s="11">
        <f t="shared" si="33"/>
        <v>14</v>
      </c>
      <c r="B158"/>
      <c r="C158" t="str">
        <f>$F152</f>
        <v>Lomita Post-Acute Care Center</v>
      </c>
      <c r="D158" s="2" t="str">
        <f t="shared" si="32"/>
        <v>T_EBITDARM - EBITDARM</v>
      </c>
      <c r="E158"/>
      <c r="F158" s="14" t="str">
        <f>_xll.EVDES(D158)</f>
        <v>EBITDARM</v>
      </c>
      <c r="G158" s="60">
        <f ca="1">SUMIFS(OFFSET('BPC Data'!$F:$F,0,Summary!G$2),'BPC Data'!$E:$E,Summary!$D158,'BPC Data'!$B:$B,Summary!$C158)</f>
        <v>-8989.2299999999796</v>
      </c>
      <c r="H158" s="53">
        <f ca="1">SUMIFS(OFFSET('BPC Data'!$F:$F,0,Summary!H$2),'BPC Data'!$E:$E,Summary!$D158,'BPC Data'!$B:$B,Summary!$C158)</f>
        <v>-62181.669999999896</v>
      </c>
      <c r="I158" s="60">
        <f ca="1">SUMIFS(OFFSET('BPC Data'!$F:$F,0,Summary!I$2),'BPC Data'!$E:$E,Summary!$D158,'BPC Data'!$B:$B,Summary!$C158)</f>
        <v>-6672.3499999999804</v>
      </c>
      <c r="J158" s="53">
        <f ca="1">SUMIFS(OFFSET('BPC Data'!$F:$F,0,Summary!J$2),'BPC Data'!$E:$E,Summary!$D158,'BPC Data'!$B:$B,Summary!$C158)</f>
        <v>85225.720000000103</v>
      </c>
      <c r="K158" s="60">
        <f ca="1">SUMIFS(OFFSET('BPC Data'!$F:$F,0,Summary!K$2),'BPC Data'!$E:$E,Summary!$D158,'BPC Data'!$B:$B,Summary!$C158)</f>
        <v>25432.439999999799</v>
      </c>
      <c r="L158" s="53">
        <f ca="1">SUMIFS(OFFSET('BPC Data'!$F:$F,0,Summary!L$2),'BPC Data'!$E:$E,Summary!$D158,'BPC Data'!$B:$B,Summary!$C158)</f>
        <v>50640.480000000098</v>
      </c>
      <c r="M158" s="60">
        <f ca="1">SUMIFS(OFFSET('BPC Data'!$F:$F,0,Summary!M$2),'BPC Data'!$E:$E,Summary!$D158,'BPC Data'!$B:$B,Summary!$C158)</f>
        <v>145237.24</v>
      </c>
      <c r="N158" s="53">
        <f ca="1">SUMIFS(OFFSET('BPC Data'!$F:$F,0,Summary!N$2),'BPC Data'!$E:$E,Summary!$D158,'BPC Data'!$B:$B,Summary!$C158)</f>
        <v>222454.77</v>
      </c>
      <c r="O158" s="18">
        <f t="shared" ca="1" si="34"/>
        <v>451147.40000000014</v>
      </c>
    </row>
    <row r="159" spans="1:15" s="11" customFormat="1" x14ac:dyDescent="0.55000000000000004">
      <c r="A159" s="11">
        <f t="shared" si="33"/>
        <v>14</v>
      </c>
      <c r="B159"/>
      <c r="C159" t="str">
        <f>$F152</f>
        <v>Lomita Post-Acute Care Center</v>
      </c>
      <c r="D159" s="2" t="str">
        <f t="shared" si="32"/>
        <v>T_MGMT_FEE - Tenant Management Fee - Actual</v>
      </c>
      <c r="E159"/>
      <c r="F159" s="14" t="str">
        <f>_xll.EVDES(D159)</f>
        <v>Tenant Management Fee - Actual</v>
      </c>
      <c r="G159" s="60">
        <f ca="1">SUMIFS(OFFSET('BPC Data'!$F:$F,0,Summary!G$2),'BPC Data'!$E:$E,Summary!$D159,'BPC Data'!$B:$B,Summary!$C159)</f>
        <v>26773</v>
      </c>
      <c r="H159" s="53">
        <f ca="1">SUMIFS(OFFSET('BPC Data'!$F:$F,0,Summary!H$2),'BPC Data'!$E:$E,Summary!$D159,'BPC Data'!$B:$B,Summary!$C159)</f>
        <v>28652</v>
      </c>
      <c r="I159" s="60">
        <f ca="1">SUMIFS(OFFSET('BPC Data'!$F:$F,0,Summary!I$2),'BPC Data'!$E:$E,Summary!$D159,'BPC Data'!$B:$B,Summary!$C159)</f>
        <v>25283</v>
      </c>
      <c r="J159" s="53">
        <f ca="1">SUMIFS(OFFSET('BPC Data'!$F:$F,0,Summary!J$2),'BPC Data'!$E:$E,Summary!$D159,'BPC Data'!$B:$B,Summary!$C159)</f>
        <v>29603</v>
      </c>
      <c r="K159" s="60">
        <f ca="1">SUMIFS(OFFSET('BPC Data'!$F:$F,0,Summary!K$2),'BPC Data'!$E:$E,Summary!$D159,'BPC Data'!$B:$B,Summary!$C159)</f>
        <v>35735</v>
      </c>
      <c r="L159" s="53">
        <f ca="1">SUMIFS(OFFSET('BPC Data'!$F:$F,0,Summary!L$2),'BPC Data'!$E:$E,Summary!$D159,'BPC Data'!$B:$B,Summary!$C159)</f>
        <v>34148</v>
      </c>
      <c r="M159" s="60">
        <f ca="1">SUMIFS(OFFSET('BPC Data'!$F:$F,0,Summary!M$2),'BPC Data'!$E:$E,Summary!$D159,'BPC Data'!$B:$B,Summary!$C159)</f>
        <v>37722</v>
      </c>
      <c r="N159" s="53">
        <f ca="1">SUMIFS(OFFSET('BPC Data'!$F:$F,0,Summary!N$2),'BPC Data'!$E:$E,Summary!$D159,'BPC Data'!$B:$B,Summary!$C159)</f>
        <v>41603</v>
      </c>
      <c r="O159" s="18">
        <f t="shared" ca="1" si="34"/>
        <v>259519</v>
      </c>
    </row>
    <row r="160" spans="1:15" s="11" customFormat="1" x14ac:dyDescent="0.55000000000000004">
      <c r="A160" s="11">
        <f t="shared" si="33"/>
        <v>14</v>
      </c>
      <c r="B160"/>
      <c r="C160" t="str">
        <f>$F152</f>
        <v>Lomita Post-Acute Care Center</v>
      </c>
      <c r="D160" s="1" t="str">
        <f t="shared" si="32"/>
        <v>T_EBITDAR - EBITDAR</v>
      </c>
      <c r="E160"/>
      <c r="F160" s="14" t="str">
        <f>_xll.EVDES(D160)</f>
        <v>EBITDAR</v>
      </c>
      <c r="G160" s="60">
        <f ca="1">SUMIFS(OFFSET('BPC Data'!$F:$F,0,Summary!G$2),'BPC Data'!$E:$E,Summary!$D160,'BPC Data'!$B:$B,Summary!$C160)</f>
        <v>-35762.230000000003</v>
      </c>
      <c r="H160" s="53">
        <f ca="1">SUMIFS(OFFSET('BPC Data'!$F:$F,0,Summary!H$2),'BPC Data'!$E:$E,Summary!$D160,'BPC Data'!$B:$B,Summary!$C160)</f>
        <v>-90833.669999999896</v>
      </c>
      <c r="I160" s="60">
        <f ca="1">SUMIFS(OFFSET('BPC Data'!$F:$F,0,Summary!I$2),'BPC Data'!$E:$E,Summary!$D160,'BPC Data'!$B:$B,Summary!$C160)</f>
        <v>-31955.35</v>
      </c>
      <c r="J160" s="53">
        <f ca="1">SUMIFS(OFFSET('BPC Data'!$F:$F,0,Summary!J$2),'BPC Data'!$E:$E,Summary!$D160,'BPC Data'!$B:$B,Summary!$C160)</f>
        <v>55622.720000000103</v>
      </c>
      <c r="K160" s="60">
        <f ca="1">SUMIFS(OFFSET('BPC Data'!$F:$F,0,Summary!K$2),'BPC Data'!$E:$E,Summary!$D160,'BPC Data'!$B:$B,Summary!$C160)</f>
        <v>-10302.5600000002</v>
      </c>
      <c r="L160" s="53">
        <f ca="1">SUMIFS(OFFSET('BPC Data'!$F:$F,0,Summary!L$2),'BPC Data'!$E:$E,Summary!$D160,'BPC Data'!$B:$B,Summary!$C160)</f>
        <v>16492.480000000101</v>
      </c>
      <c r="M160" s="60">
        <f ca="1">SUMIFS(OFFSET('BPC Data'!$F:$F,0,Summary!M$2),'BPC Data'!$E:$E,Summary!$D160,'BPC Data'!$B:$B,Summary!$C160)</f>
        <v>107515.24</v>
      </c>
      <c r="N160" s="53">
        <f ca="1">SUMIFS(OFFSET('BPC Data'!$F:$F,0,Summary!N$2),'BPC Data'!$E:$E,Summary!$D160,'BPC Data'!$B:$B,Summary!$C160)</f>
        <v>180851.77</v>
      </c>
      <c r="O160" s="18">
        <f t="shared" ca="1" si="34"/>
        <v>191628.40000000008</v>
      </c>
    </row>
    <row r="161" spans="1:15" s="11" customFormat="1" x14ac:dyDescent="0.55000000000000004">
      <c r="A161" s="11">
        <f t="shared" si="33"/>
        <v>14</v>
      </c>
      <c r="B161"/>
      <c r="C161" t="str">
        <f>$F152</f>
        <v>Lomita Post-Acute Care Center</v>
      </c>
      <c r="D161" s="1" t="str">
        <f t="shared" si="32"/>
        <v>T_RENT_EXP - Tenant Rent Expense</v>
      </c>
      <c r="E161"/>
      <c r="F161" s="14" t="str">
        <f>_xll.EVDES(D161)</f>
        <v>Tenant Rent Expense</v>
      </c>
      <c r="G161" s="60">
        <f ca="1">SUMIFS(OFFSET('BPC Data'!$F:$F,0,Summary!G$2),'BPC Data'!$E:$E,Summary!$D161,'BPC Data'!$B:$B,Summary!$C161)</f>
        <v>126768.49</v>
      </c>
      <c r="H161" s="53">
        <f ca="1">SUMIFS(OFFSET('BPC Data'!$F:$F,0,Summary!H$2),'BPC Data'!$E:$E,Summary!$D161,'BPC Data'!$B:$B,Summary!$C161)</f>
        <v>126768.49</v>
      </c>
      <c r="I161" s="60">
        <f ca="1">SUMIFS(OFFSET('BPC Data'!$F:$F,0,Summary!I$2),'BPC Data'!$E:$E,Summary!$D161,'BPC Data'!$B:$B,Summary!$C161)</f>
        <v>126768.49</v>
      </c>
      <c r="J161" s="53">
        <f ca="1">SUMIFS(OFFSET('BPC Data'!$F:$F,0,Summary!J$2),'BPC Data'!$E:$E,Summary!$D161,'BPC Data'!$B:$B,Summary!$C161)</f>
        <v>126768.49</v>
      </c>
      <c r="K161" s="60">
        <f ca="1">SUMIFS(OFFSET('BPC Data'!$F:$F,0,Summary!K$2),'BPC Data'!$E:$E,Summary!$D161,'BPC Data'!$B:$B,Summary!$C161)</f>
        <v>126768.49</v>
      </c>
      <c r="L161" s="53">
        <f ca="1">SUMIFS(OFFSET('BPC Data'!$F:$F,0,Summary!L$2),'BPC Data'!$E:$E,Summary!$D161,'BPC Data'!$B:$B,Summary!$C161)</f>
        <v>126768.49</v>
      </c>
      <c r="M161" s="60">
        <f ca="1">SUMIFS(OFFSET('BPC Data'!$F:$F,0,Summary!M$2),'BPC Data'!$E:$E,Summary!$D161,'BPC Data'!$B:$B,Summary!$C161)</f>
        <v>126768.49</v>
      </c>
      <c r="N161" s="53">
        <f ca="1">SUMIFS(OFFSET('BPC Data'!$F:$F,0,Summary!N$2),'BPC Data'!$E:$E,Summary!$D161,'BPC Data'!$B:$B,Summary!$C161)</f>
        <v>126768.49</v>
      </c>
      <c r="O161" s="18">
        <f t="shared" ca="1" si="34"/>
        <v>1014147.92</v>
      </c>
    </row>
    <row r="162" spans="1:15" s="11" customFormat="1" x14ac:dyDescent="0.55000000000000004">
      <c r="A162" s="11">
        <f t="shared" si="33"/>
        <v>14</v>
      </c>
      <c r="B162"/>
      <c r="C162"/>
      <c r="D162" s="1" t="str">
        <f t="shared" si="32"/>
        <v>x</v>
      </c>
      <c r="E162"/>
      <c r="F162" s="14" t="s">
        <v>0</v>
      </c>
      <c r="G162" s="61">
        <f ca="1">SUMIFS(OFFSET('BPC Data'!$F:$F,0,Summary!G$2),'BPC Data'!$E:$E,Summary!$D162,'BPC Data'!$B:$B,Summary!$C162)</f>
        <v>0</v>
      </c>
      <c r="H162" s="54">
        <f ca="1">SUMIFS(OFFSET('BPC Data'!$F:$F,0,Summary!H$2),'BPC Data'!$E:$E,Summary!$D162,'BPC Data'!$B:$B,Summary!$C162)</f>
        <v>0</v>
      </c>
      <c r="I162" s="61">
        <f ca="1">SUMIFS(OFFSET('BPC Data'!$F:$F,0,Summary!I$2),'BPC Data'!$E:$E,Summary!$D162,'BPC Data'!$B:$B,Summary!$C162)</f>
        <v>0</v>
      </c>
      <c r="J162" s="54">
        <f ca="1">SUMIFS(OFFSET('BPC Data'!$F:$F,0,Summary!J$2),'BPC Data'!$E:$E,Summary!$D162,'BPC Data'!$B:$B,Summary!$C162)</f>
        <v>0</v>
      </c>
      <c r="K162" s="61">
        <f ca="1">SUMIFS(OFFSET('BPC Data'!$F:$F,0,Summary!K$2),'BPC Data'!$E:$E,Summary!$D162,'BPC Data'!$B:$B,Summary!$C162)</f>
        <v>0</v>
      </c>
      <c r="L162" s="54">
        <f ca="1">SUMIFS(OFFSET('BPC Data'!$F:$F,0,Summary!L$2),'BPC Data'!$E:$E,Summary!$D162,'BPC Data'!$B:$B,Summary!$C162)</f>
        <v>0</v>
      </c>
      <c r="M162" s="61">
        <f ca="1">SUMIFS(OFFSET('BPC Data'!$F:$F,0,Summary!M$2),'BPC Data'!$E:$E,Summary!$D162,'BPC Data'!$B:$B,Summary!$C162)</f>
        <v>0</v>
      </c>
      <c r="N162" s="54">
        <f ca="1">SUMIFS(OFFSET('BPC Data'!$F:$F,0,Summary!N$2),'BPC Data'!$E:$E,Summary!$D162,'BPC Data'!$B:$B,Summary!$C162)</f>
        <v>0</v>
      </c>
      <c r="O162" s="18">
        <f t="shared" ca="1" si="34"/>
        <v>0</v>
      </c>
    </row>
    <row r="163" spans="1:15" s="11" customFormat="1" x14ac:dyDescent="0.55000000000000004">
      <c r="A163" s="11">
        <f>IF(AND(D163&lt;&gt;"",C163=""),A162+1,A162)</f>
        <v>15</v>
      </c>
      <c r="B163" s="4"/>
      <c r="C163" s="4"/>
      <c r="D163" s="4" t="str">
        <f t="shared" si="32"/>
        <v>x</v>
      </c>
      <c r="E163" s="4"/>
      <c r="F163" s="13" t="str">
        <f>INDEX(PropertyList!$D:$D,MATCH(Summary!$A163,PropertyList!$C:$C,0))</f>
        <v>University Post-Acute Rehab</v>
      </c>
      <c r="G163" s="59">
        <f ca="1">SUMIFS(OFFSET('BPC Data'!$F:$F,0,Summary!G$2),'BPC Data'!$E:$E,Summary!$D163,'BPC Data'!$B:$B,Summary!$C163)</f>
        <v>0</v>
      </c>
      <c r="H163" s="52">
        <f ca="1">SUMIFS(OFFSET('BPC Data'!$F:$F,0,Summary!H$2),'BPC Data'!$E:$E,Summary!$D163,'BPC Data'!$B:$B,Summary!$C163)</f>
        <v>0</v>
      </c>
      <c r="I163" s="59">
        <f ca="1">SUMIFS(OFFSET('BPC Data'!$F:$F,0,Summary!I$2),'BPC Data'!$E:$E,Summary!$D163,'BPC Data'!$B:$B,Summary!$C163)</f>
        <v>0</v>
      </c>
      <c r="J163" s="52">
        <f ca="1">SUMIFS(OFFSET('BPC Data'!$F:$F,0,Summary!J$2),'BPC Data'!$E:$E,Summary!$D163,'BPC Data'!$B:$B,Summary!$C163)</f>
        <v>0</v>
      </c>
      <c r="K163" s="59">
        <f ca="1">SUMIFS(OFFSET('BPC Data'!$F:$F,0,Summary!K$2),'BPC Data'!$E:$E,Summary!$D163,'BPC Data'!$B:$B,Summary!$C163)</f>
        <v>0</v>
      </c>
      <c r="L163" s="52">
        <f ca="1">SUMIFS(OFFSET('BPC Data'!$F:$F,0,Summary!L$2),'BPC Data'!$E:$E,Summary!$D163,'BPC Data'!$B:$B,Summary!$C163)</f>
        <v>0</v>
      </c>
      <c r="M163" s="59">
        <f ca="1">SUMIFS(OFFSET('BPC Data'!$F:$F,0,Summary!M$2),'BPC Data'!$E:$E,Summary!$D163,'BPC Data'!$B:$B,Summary!$C163)</f>
        <v>0</v>
      </c>
      <c r="N163" s="52">
        <f ca="1">SUMIFS(OFFSET('BPC Data'!$F:$F,0,Summary!N$2),'BPC Data'!$E:$E,Summary!$D163,'BPC Data'!$B:$B,Summary!$C163)</f>
        <v>0</v>
      </c>
      <c r="O163" s="18">
        <f t="shared" ca="1" si="34"/>
        <v>0</v>
      </c>
    </row>
    <row r="164" spans="1:15" s="11" customFormat="1" x14ac:dyDescent="0.55000000000000004">
      <c r="A164" s="11">
        <f>IF(AND(F164&lt;&gt;"",D164=""),A163+1,A163)</f>
        <v>15</v>
      </c>
      <c r="C164" t="str">
        <f>$F163</f>
        <v>University Post-Acute Rehab</v>
      </c>
      <c r="D164" s="3" t="str">
        <f t="shared" si="32"/>
        <v>PAY_PAT_DAYS - Total Payor Patient Days</v>
      </c>
      <c r="F164" s="14" t="str">
        <f>_xll.EVDES(D164)</f>
        <v>Total Payor Patient Days</v>
      </c>
      <c r="G164" s="60">
        <f ca="1">SUMIFS(OFFSET('BPC Data'!$F:$F,0,Summary!G$2),'BPC Data'!$E:$E,Summary!$D164,'BPC Data'!$B:$B,Summary!$C164)</f>
        <v>746</v>
      </c>
      <c r="H164" s="53">
        <f ca="1">SUMIFS(OFFSET('BPC Data'!$F:$F,0,Summary!H$2),'BPC Data'!$E:$E,Summary!$D164,'BPC Data'!$B:$B,Summary!$C164)</f>
        <v>1130</v>
      </c>
      <c r="I164" s="60">
        <f ca="1">SUMIFS(OFFSET('BPC Data'!$F:$F,0,Summary!I$2),'BPC Data'!$E:$E,Summary!$D164,'BPC Data'!$B:$B,Summary!$C164)</f>
        <v>1363</v>
      </c>
      <c r="J164" s="53">
        <f ca="1">SUMIFS(OFFSET('BPC Data'!$F:$F,0,Summary!J$2),'BPC Data'!$E:$E,Summary!$D164,'BPC Data'!$B:$B,Summary!$C164)</f>
        <v>1414</v>
      </c>
      <c r="K164" s="60">
        <f ca="1">SUMIFS(OFFSET('BPC Data'!$F:$F,0,Summary!K$2),'BPC Data'!$E:$E,Summary!$D164,'BPC Data'!$B:$B,Summary!$C164)</f>
        <v>1260</v>
      </c>
      <c r="L164" s="53">
        <f ca="1">SUMIFS(OFFSET('BPC Data'!$F:$F,0,Summary!L$2),'BPC Data'!$E:$E,Summary!$D164,'BPC Data'!$B:$B,Summary!$C164)</f>
        <v>1319</v>
      </c>
      <c r="M164" s="60">
        <f ca="1">SUMIFS(OFFSET('BPC Data'!$F:$F,0,Summary!M$2),'BPC Data'!$E:$E,Summary!$D164,'BPC Data'!$B:$B,Summary!$C164)</f>
        <v>1464</v>
      </c>
      <c r="N164" s="53">
        <f ca="1">SUMIFS(OFFSET('BPC Data'!$F:$F,0,Summary!N$2),'BPC Data'!$E:$E,Summary!$D164,'BPC Data'!$B:$B,Summary!$C164)</f>
        <v>1475</v>
      </c>
      <c r="O164" s="18">
        <f t="shared" ca="1" si="34"/>
        <v>10171</v>
      </c>
    </row>
    <row r="165" spans="1:15" s="11" customFormat="1" x14ac:dyDescent="0.55000000000000004">
      <c r="A165" s="11">
        <f t="shared" ref="A165:A173" si="35">IF(AND(F165&lt;&gt;"",D165=""),A164+1,A164)</f>
        <v>15</v>
      </c>
      <c r="C165" t="str">
        <f>$F163</f>
        <v>University Post-Acute Rehab</v>
      </c>
      <c r="D165" s="3" t="str">
        <f t="shared" si="32"/>
        <v>A_BEDS_TOTAL - Total Available Beds</v>
      </c>
      <c r="F165" s="14" t="str">
        <f>_xll.EVDES(D165)</f>
        <v>Total Available Beds</v>
      </c>
      <c r="G165" s="60">
        <f ca="1">SUMIFS(OFFSET('BPC Data'!$F:$F,0,Summary!G$2),'BPC Data'!$E:$E,Summary!$D165,'BPC Data'!$B:$B,Summary!$C165)</f>
        <v>56</v>
      </c>
      <c r="H165" s="53">
        <f ca="1">SUMIFS(OFFSET('BPC Data'!$F:$F,0,Summary!H$2),'BPC Data'!$E:$E,Summary!$D165,'BPC Data'!$B:$B,Summary!$C165)</f>
        <v>56</v>
      </c>
      <c r="I165" s="60">
        <f ca="1">SUMIFS(OFFSET('BPC Data'!$F:$F,0,Summary!I$2),'BPC Data'!$E:$E,Summary!$D165,'BPC Data'!$B:$B,Summary!$C165)</f>
        <v>56</v>
      </c>
      <c r="J165" s="53">
        <f ca="1">SUMIFS(OFFSET('BPC Data'!$F:$F,0,Summary!J$2),'BPC Data'!$E:$E,Summary!$D165,'BPC Data'!$B:$B,Summary!$C165)</f>
        <v>56</v>
      </c>
      <c r="K165" s="60">
        <f ca="1">SUMIFS(OFFSET('BPC Data'!$F:$F,0,Summary!K$2),'BPC Data'!$E:$E,Summary!$D165,'BPC Data'!$B:$B,Summary!$C165)</f>
        <v>56</v>
      </c>
      <c r="L165" s="53">
        <f ca="1">SUMIFS(OFFSET('BPC Data'!$F:$F,0,Summary!L$2),'BPC Data'!$E:$E,Summary!$D165,'BPC Data'!$B:$B,Summary!$C165)</f>
        <v>56</v>
      </c>
      <c r="M165" s="60">
        <f ca="1">SUMIFS(OFFSET('BPC Data'!$F:$F,0,Summary!M$2),'BPC Data'!$E:$E,Summary!$D165,'BPC Data'!$B:$B,Summary!$C165)</f>
        <v>56</v>
      </c>
      <c r="N165" s="53">
        <f ca="1">SUMIFS(OFFSET('BPC Data'!$F:$F,0,Summary!N$2),'BPC Data'!$E:$E,Summary!$D165,'BPC Data'!$B:$B,Summary!$C165)</f>
        <v>56</v>
      </c>
      <c r="O165" s="18">
        <f ca="1">N165</f>
        <v>56</v>
      </c>
    </row>
    <row r="166" spans="1:15" s="11" customFormat="1" x14ac:dyDescent="0.55000000000000004">
      <c r="A166" s="11">
        <f t="shared" si="35"/>
        <v>15</v>
      </c>
      <c r="B166"/>
      <c r="C166" t="str">
        <f>$F163</f>
        <v>University Post-Acute Rehab</v>
      </c>
      <c r="D166" s="3" t="str">
        <f t="shared" si="32"/>
        <v>T_REVENUES - Total Tenant Revenues</v>
      </c>
      <c r="E166"/>
      <c r="F166" s="14" t="str">
        <f>_xll.EVDES(D166)</f>
        <v>Total Tenant Revenues</v>
      </c>
      <c r="G166" s="60">
        <f ca="1">SUMIFS(OFFSET('BPC Data'!$F:$F,0,Summary!G$2),'BPC Data'!$E:$E,Summary!$D166,'BPC Data'!$B:$B,Summary!$C166)</f>
        <v>399200.74</v>
      </c>
      <c r="H166" s="53">
        <f ca="1">SUMIFS(OFFSET('BPC Data'!$F:$F,0,Summary!H$2),'BPC Data'!$E:$E,Summary!$D166,'BPC Data'!$B:$B,Summary!$C166)</f>
        <v>678625.3</v>
      </c>
      <c r="I166" s="60">
        <f ca="1">SUMIFS(OFFSET('BPC Data'!$F:$F,0,Summary!I$2),'BPC Data'!$E:$E,Summary!$D166,'BPC Data'!$B:$B,Summary!$C166)</f>
        <v>869317.02</v>
      </c>
      <c r="J166" s="53">
        <f ca="1">SUMIFS(OFFSET('BPC Data'!$F:$F,0,Summary!J$2),'BPC Data'!$E:$E,Summary!$D166,'BPC Data'!$B:$B,Summary!$C166)</f>
        <v>867112.78</v>
      </c>
      <c r="K166" s="60">
        <f ca="1">SUMIFS(OFFSET('BPC Data'!$F:$F,0,Summary!K$2),'BPC Data'!$E:$E,Summary!$D166,'BPC Data'!$B:$B,Summary!$C166)</f>
        <v>767873.92</v>
      </c>
      <c r="L166" s="53">
        <f ca="1">SUMIFS(OFFSET('BPC Data'!$F:$F,0,Summary!L$2),'BPC Data'!$E:$E,Summary!$D166,'BPC Data'!$B:$B,Summary!$C166)</f>
        <v>790915.24</v>
      </c>
      <c r="M166" s="60">
        <f ca="1">SUMIFS(OFFSET('BPC Data'!$F:$F,0,Summary!M$2),'BPC Data'!$E:$E,Summary!$D166,'BPC Data'!$B:$B,Summary!$C166)</f>
        <v>936183.05</v>
      </c>
      <c r="N166" s="53">
        <f ca="1">SUMIFS(OFFSET('BPC Data'!$F:$F,0,Summary!N$2),'BPC Data'!$E:$E,Summary!$D166,'BPC Data'!$B:$B,Summary!$C166)</f>
        <v>980673.89</v>
      </c>
      <c r="O166" s="18">
        <f t="shared" ref="O166:O175" ca="1" si="36">SUM(G166:N166)</f>
        <v>6289901.9399999995</v>
      </c>
    </row>
    <row r="167" spans="1:15" s="11" customFormat="1" x14ac:dyDescent="0.55000000000000004">
      <c r="A167" s="11">
        <f t="shared" si="35"/>
        <v>15</v>
      </c>
      <c r="B167"/>
      <c r="C167" t="str">
        <f>$F163</f>
        <v>University Post-Acute Rehab</v>
      </c>
      <c r="D167" s="3" t="str">
        <f t="shared" si="32"/>
        <v>T_OPEX - Tenant Operating Expenses</v>
      </c>
      <c r="E167"/>
      <c r="F167" s="14" t="str">
        <f>_xll.EVDES(D167)</f>
        <v>Tenant Operating Expenses</v>
      </c>
      <c r="G167" s="60">
        <f ca="1">SUMIFS(OFFSET('BPC Data'!$F:$F,0,Summary!G$2),'BPC Data'!$E:$E,Summary!$D167,'BPC Data'!$B:$B,Summary!$C167)</f>
        <v>501081.73</v>
      </c>
      <c r="H167" s="53">
        <f ca="1">SUMIFS(OFFSET('BPC Data'!$F:$F,0,Summary!H$2),'BPC Data'!$E:$E,Summary!$D167,'BPC Data'!$B:$B,Summary!$C167)</f>
        <v>524812</v>
      </c>
      <c r="I167" s="60">
        <f ca="1">SUMIFS(OFFSET('BPC Data'!$F:$F,0,Summary!I$2),'BPC Data'!$E:$E,Summary!$D167,'BPC Data'!$B:$B,Summary!$C167)</f>
        <v>559428.34</v>
      </c>
      <c r="J167" s="53">
        <f ca="1">SUMIFS(OFFSET('BPC Data'!$F:$F,0,Summary!J$2),'BPC Data'!$E:$E,Summary!$D167,'BPC Data'!$B:$B,Summary!$C167)</f>
        <v>652037.63</v>
      </c>
      <c r="K167" s="60">
        <f ca="1">SUMIFS(OFFSET('BPC Data'!$F:$F,0,Summary!K$2),'BPC Data'!$E:$E,Summary!$D167,'BPC Data'!$B:$B,Summary!$C167)</f>
        <v>610603.84</v>
      </c>
      <c r="L167" s="53">
        <f ca="1">SUMIFS(OFFSET('BPC Data'!$F:$F,0,Summary!L$2),'BPC Data'!$E:$E,Summary!$D167,'BPC Data'!$B:$B,Summary!$C167)</f>
        <v>541342.31999999995</v>
      </c>
      <c r="M167" s="60">
        <f ca="1">SUMIFS(OFFSET('BPC Data'!$F:$F,0,Summary!M$2),'BPC Data'!$E:$E,Summary!$D167,'BPC Data'!$B:$B,Summary!$C167)</f>
        <v>681738.33</v>
      </c>
      <c r="N167" s="53">
        <f ca="1">SUMIFS(OFFSET('BPC Data'!$F:$F,0,Summary!N$2),'BPC Data'!$E:$E,Summary!$D167,'BPC Data'!$B:$B,Summary!$C167)</f>
        <v>567518.67000000004</v>
      </c>
      <c r="O167" s="18">
        <f t="shared" ca="1" si="36"/>
        <v>4638562.8599999994</v>
      </c>
    </row>
    <row r="168" spans="1:15" s="11" customFormat="1" x14ac:dyDescent="0.55000000000000004">
      <c r="A168" s="11">
        <f t="shared" si="35"/>
        <v>15</v>
      </c>
      <c r="B168"/>
      <c r="C168" t="str">
        <f>$F163</f>
        <v>University Post-Acute Rehab</v>
      </c>
      <c r="D168" s="3" t="str">
        <f t="shared" si="32"/>
        <v>T_BAD_DEBT - Tenant Bad Debt Expense</v>
      </c>
      <c r="E168"/>
      <c r="F168" s="14" t="str">
        <f>_xll.EVDES(D168)</f>
        <v>Tenant Bad Debt Expense</v>
      </c>
      <c r="G168" s="60">
        <f ca="1">SUMIFS(OFFSET('BPC Data'!$F:$F,0,Summary!G$2),'BPC Data'!$E:$E,Summary!$D168,'BPC Data'!$B:$B,Summary!$C168)</f>
        <v>10205.870000000001</v>
      </c>
      <c r="H168" s="53">
        <f ca="1">SUMIFS(OFFSET('BPC Data'!$F:$F,0,Summary!H$2),'BPC Data'!$E:$E,Summary!$D168,'BPC Data'!$B:$B,Summary!$C168)</f>
        <v>14055.45</v>
      </c>
      <c r="I168" s="60">
        <f ca="1">SUMIFS(OFFSET('BPC Data'!$F:$F,0,Summary!I$2),'BPC Data'!$E:$E,Summary!$D168,'BPC Data'!$B:$B,Summary!$C168)</f>
        <v>10827.29</v>
      </c>
      <c r="J168" s="53">
        <f ca="1">SUMIFS(OFFSET('BPC Data'!$F:$F,0,Summary!J$2),'BPC Data'!$E:$E,Summary!$D168,'BPC Data'!$B:$B,Summary!$C168)</f>
        <v>48598.66</v>
      </c>
      <c r="K168" s="60">
        <f ca="1">SUMIFS(OFFSET('BPC Data'!$F:$F,0,Summary!K$2),'BPC Data'!$E:$E,Summary!$D168,'BPC Data'!$B:$B,Summary!$C168)</f>
        <v>3616.88</v>
      </c>
      <c r="L168" s="53">
        <f ca="1">SUMIFS(OFFSET('BPC Data'!$F:$F,0,Summary!L$2),'BPC Data'!$E:$E,Summary!$D168,'BPC Data'!$B:$B,Summary!$C168)</f>
        <v>-7707.11</v>
      </c>
      <c r="M168" s="60">
        <f ca="1">SUMIFS(OFFSET('BPC Data'!$F:$F,0,Summary!M$2),'BPC Data'!$E:$E,Summary!$D168,'BPC Data'!$B:$B,Summary!$C168)</f>
        <v>76803.570000000007</v>
      </c>
      <c r="N168" s="53">
        <f ca="1">SUMIFS(OFFSET('BPC Data'!$F:$F,0,Summary!N$2),'BPC Data'!$E:$E,Summary!$D168,'BPC Data'!$B:$B,Summary!$C168)</f>
        <v>-18196.73</v>
      </c>
      <c r="O168" s="18">
        <f t="shared" ca="1" si="36"/>
        <v>138203.88</v>
      </c>
    </row>
    <row r="169" spans="1:15" s="11" customFormat="1" x14ac:dyDescent="0.55000000000000004">
      <c r="A169" s="11">
        <f t="shared" si="35"/>
        <v>15</v>
      </c>
      <c r="B169"/>
      <c r="C169" t="str">
        <f>$F163</f>
        <v>University Post-Acute Rehab</v>
      </c>
      <c r="D169" s="2" t="str">
        <f t="shared" si="32"/>
        <v>T_EBITDARM - EBITDARM</v>
      </c>
      <c r="E169"/>
      <c r="F169" s="14" t="str">
        <f>_xll.EVDES(D169)</f>
        <v>EBITDARM</v>
      </c>
      <c r="G169" s="60">
        <f ca="1">SUMIFS(OFFSET('BPC Data'!$F:$F,0,Summary!G$2),'BPC Data'!$E:$E,Summary!$D169,'BPC Data'!$B:$B,Summary!$C169)</f>
        <v>-101880.99</v>
      </c>
      <c r="H169" s="53">
        <f ca="1">SUMIFS(OFFSET('BPC Data'!$F:$F,0,Summary!H$2),'BPC Data'!$E:$E,Summary!$D169,'BPC Data'!$B:$B,Summary!$C169)</f>
        <v>153813.29999999999</v>
      </c>
      <c r="I169" s="60">
        <f ca="1">SUMIFS(OFFSET('BPC Data'!$F:$F,0,Summary!I$2),'BPC Data'!$E:$E,Summary!$D169,'BPC Data'!$B:$B,Summary!$C169)</f>
        <v>309888.68</v>
      </c>
      <c r="J169" s="53">
        <f ca="1">SUMIFS(OFFSET('BPC Data'!$F:$F,0,Summary!J$2),'BPC Data'!$E:$E,Summary!$D169,'BPC Data'!$B:$B,Summary!$C169)</f>
        <v>215075.15</v>
      </c>
      <c r="K169" s="60">
        <f ca="1">SUMIFS(OFFSET('BPC Data'!$F:$F,0,Summary!K$2),'BPC Data'!$E:$E,Summary!$D169,'BPC Data'!$B:$B,Summary!$C169)</f>
        <v>157270.07999999999</v>
      </c>
      <c r="L169" s="53">
        <f ca="1">SUMIFS(OFFSET('BPC Data'!$F:$F,0,Summary!L$2),'BPC Data'!$E:$E,Summary!$D169,'BPC Data'!$B:$B,Summary!$C169)</f>
        <v>249572.92</v>
      </c>
      <c r="M169" s="60">
        <f ca="1">SUMIFS(OFFSET('BPC Data'!$F:$F,0,Summary!M$2),'BPC Data'!$E:$E,Summary!$D169,'BPC Data'!$B:$B,Summary!$C169)</f>
        <v>254444.72</v>
      </c>
      <c r="N169" s="53">
        <f ca="1">SUMIFS(OFFSET('BPC Data'!$F:$F,0,Summary!N$2),'BPC Data'!$E:$E,Summary!$D169,'BPC Data'!$B:$B,Summary!$C169)</f>
        <v>413155.22</v>
      </c>
      <c r="O169" s="18">
        <f t="shared" ca="1" si="36"/>
        <v>1651339.08</v>
      </c>
    </row>
    <row r="170" spans="1:15" s="11" customFormat="1" x14ac:dyDescent="0.55000000000000004">
      <c r="A170" s="11">
        <f t="shared" si="35"/>
        <v>15</v>
      </c>
      <c r="B170"/>
      <c r="C170" t="str">
        <f>$F163</f>
        <v>University Post-Acute Rehab</v>
      </c>
      <c r="D170" s="2" t="str">
        <f t="shared" si="32"/>
        <v>T_MGMT_FEE - Tenant Management Fee - Actual</v>
      </c>
      <c r="E170"/>
      <c r="F170" s="14" t="str">
        <f>_xll.EVDES(D170)</f>
        <v>Tenant Management Fee - Actual</v>
      </c>
      <c r="G170" s="60">
        <f ca="1">SUMIFS(OFFSET('BPC Data'!$F:$F,0,Summary!G$2),'BPC Data'!$E:$E,Summary!$D170,'BPC Data'!$B:$B,Summary!$C170)</f>
        <v>30142</v>
      </c>
      <c r="H170" s="53">
        <f ca="1">SUMIFS(OFFSET('BPC Data'!$F:$F,0,Summary!H$2),'BPC Data'!$E:$E,Summary!$D170,'BPC Data'!$B:$B,Summary!$C170)</f>
        <v>19960</v>
      </c>
      <c r="I170" s="60">
        <f ca="1">SUMIFS(OFFSET('BPC Data'!$F:$F,0,Summary!I$2),'BPC Data'!$E:$E,Summary!$D170,'BPC Data'!$B:$B,Summary!$C170)</f>
        <v>33931</v>
      </c>
      <c r="J170" s="53">
        <f ca="1">SUMIFS(OFFSET('BPC Data'!$F:$F,0,Summary!J$2),'BPC Data'!$E:$E,Summary!$D170,'BPC Data'!$B:$B,Summary!$C170)</f>
        <v>43465</v>
      </c>
      <c r="K170" s="60">
        <f ca="1">SUMIFS(OFFSET('BPC Data'!$F:$F,0,Summary!K$2),'BPC Data'!$E:$E,Summary!$D170,'BPC Data'!$B:$B,Summary!$C170)</f>
        <v>43355</v>
      </c>
      <c r="L170" s="53">
        <f ca="1">SUMIFS(OFFSET('BPC Data'!$F:$F,0,Summary!L$2),'BPC Data'!$E:$E,Summary!$D170,'BPC Data'!$B:$B,Summary!$C170)</f>
        <v>38393</v>
      </c>
      <c r="M170" s="60">
        <f ca="1">SUMIFS(OFFSET('BPC Data'!$F:$F,0,Summary!M$2),'BPC Data'!$E:$E,Summary!$D170,'BPC Data'!$B:$B,Summary!$C170)</f>
        <v>39545</v>
      </c>
      <c r="N170" s="53">
        <f ca="1">SUMIFS(OFFSET('BPC Data'!$F:$F,0,Summary!N$2),'BPC Data'!$E:$E,Summary!$D170,'BPC Data'!$B:$B,Summary!$C170)</f>
        <v>46809</v>
      </c>
      <c r="O170" s="18">
        <f t="shared" ca="1" si="36"/>
        <v>295600</v>
      </c>
    </row>
    <row r="171" spans="1:15" s="11" customFormat="1" x14ac:dyDescent="0.55000000000000004">
      <c r="A171" s="11">
        <f t="shared" si="35"/>
        <v>15</v>
      </c>
      <c r="B171"/>
      <c r="C171" t="str">
        <f>$F163</f>
        <v>University Post-Acute Rehab</v>
      </c>
      <c r="D171" s="1" t="str">
        <f t="shared" si="32"/>
        <v>T_EBITDAR - EBITDAR</v>
      </c>
      <c r="E171"/>
      <c r="F171" s="14" t="str">
        <f>_xll.EVDES(D171)</f>
        <v>EBITDAR</v>
      </c>
      <c r="G171" s="60">
        <f ca="1">SUMIFS(OFFSET('BPC Data'!$F:$F,0,Summary!G$2),'BPC Data'!$E:$E,Summary!$D171,'BPC Data'!$B:$B,Summary!$C171)</f>
        <v>-132022.99</v>
      </c>
      <c r="H171" s="53">
        <f ca="1">SUMIFS(OFFSET('BPC Data'!$F:$F,0,Summary!H$2),'BPC Data'!$E:$E,Summary!$D171,'BPC Data'!$B:$B,Summary!$C171)</f>
        <v>133853.29999999999</v>
      </c>
      <c r="I171" s="60">
        <f ca="1">SUMIFS(OFFSET('BPC Data'!$F:$F,0,Summary!I$2),'BPC Data'!$E:$E,Summary!$D171,'BPC Data'!$B:$B,Summary!$C171)</f>
        <v>275957.68</v>
      </c>
      <c r="J171" s="53">
        <f ca="1">SUMIFS(OFFSET('BPC Data'!$F:$F,0,Summary!J$2),'BPC Data'!$E:$E,Summary!$D171,'BPC Data'!$B:$B,Summary!$C171)</f>
        <v>171610.15</v>
      </c>
      <c r="K171" s="60">
        <f ca="1">SUMIFS(OFFSET('BPC Data'!$F:$F,0,Summary!K$2),'BPC Data'!$E:$E,Summary!$D171,'BPC Data'!$B:$B,Summary!$C171)</f>
        <v>113915.08</v>
      </c>
      <c r="L171" s="53">
        <f ca="1">SUMIFS(OFFSET('BPC Data'!$F:$F,0,Summary!L$2),'BPC Data'!$E:$E,Summary!$D171,'BPC Data'!$B:$B,Summary!$C171)</f>
        <v>211179.92</v>
      </c>
      <c r="M171" s="60">
        <f ca="1">SUMIFS(OFFSET('BPC Data'!$F:$F,0,Summary!M$2),'BPC Data'!$E:$E,Summary!$D171,'BPC Data'!$B:$B,Summary!$C171)</f>
        <v>214899.72</v>
      </c>
      <c r="N171" s="53">
        <f ca="1">SUMIFS(OFFSET('BPC Data'!$F:$F,0,Summary!N$2),'BPC Data'!$E:$E,Summary!$D171,'BPC Data'!$B:$B,Summary!$C171)</f>
        <v>366346.22</v>
      </c>
      <c r="O171" s="18">
        <f t="shared" ca="1" si="36"/>
        <v>1355739.08</v>
      </c>
    </row>
    <row r="172" spans="1:15" s="11" customFormat="1" x14ac:dyDescent="0.55000000000000004">
      <c r="A172" s="11">
        <f t="shared" si="35"/>
        <v>15</v>
      </c>
      <c r="B172"/>
      <c r="C172" t="str">
        <f>$F163</f>
        <v>University Post-Acute Rehab</v>
      </c>
      <c r="D172" s="1" t="str">
        <f t="shared" si="32"/>
        <v>T_RENT_EXP - Tenant Rent Expense</v>
      </c>
      <c r="E172"/>
      <c r="F172" s="14" t="str">
        <f>_xll.EVDES(D172)</f>
        <v>Tenant Rent Expense</v>
      </c>
      <c r="G172" s="60">
        <f ca="1">SUMIFS(OFFSET('BPC Data'!$F:$F,0,Summary!G$2),'BPC Data'!$E:$E,Summary!$D172,'BPC Data'!$B:$B,Summary!$C172)</f>
        <v>150852.34</v>
      </c>
      <c r="H172" s="53">
        <f ca="1">SUMIFS(OFFSET('BPC Data'!$F:$F,0,Summary!H$2),'BPC Data'!$E:$E,Summary!$D172,'BPC Data'!$B:$B,Summary!$C172)</f>
        <v>150852.34</v>
      </c>
      <c r="I172" s="60">
        <f ca="1">SUMIFS(OFFSET('BPC Data'!$F:$F,0,Summary!I$2),'BPC Data'!$E:$E,Summary!$D172,'BPC Data'!$B:$B,Summary!$C172)</f>
        <v>150852.34</v>
      </c>
      <c r="J172" s="53">
        <f ca="1">SUMIFS(OFFSET('BPC Data'!$F:$F,0,Summary!J$2),'BPC Data'!$E:$E,Summary!$D172,'BPC Data'!$B:$B,Summary!$C172)</f>
        <v>150852.34</v>
      </c>
      <c r="K172" s="60">
        <f ca="1">SUMIFS(OFFSET('BPC Data'!$F:$F,0,Summary!K$2),'BPC Data'!$E:$E,Summary!$D172,'BPC Data'!$B:$B,Summary!$C172)</f>
        <v>150852.34</v>
      </c>
      <c r="L172" s="53">
        <f ca="1">SUMIFS(OFFSET('BPC Data'!$F:$F,0,Summary!L$2),'BPC Data'!$E:$E,Summary!$D172,'BPC Data'!$B:$B,Summary!$C172)</f>
        <v>150852.34</v>
      </c>
      <c r="M172" s="60">
        <f ca="1">SUMIFS(OFFSET('BPC Data'!$F:$F,0,Summary!M$2),'BPC Data'!$E:$E,Summary!$D172,'BPC Data'!$B:$B,Summary!$C172)</f>
        <v>150852.34</v>
      </c>
      <c r="N172" s="53">
        <f ca="1">SUMIFS(OFFSET('BPC Data'!$F:$F,0,Summary!N$2),'BPC Data'!$E:$E,Summary!$D172,'BPC Data'!$B:$B,Summary!$C172)</f>
        <v>150852.34</v>
      </c>
      <c r="O172" s="18">
        <f t="shared" ca="1" si="36"/>
        <v>1206818.72</v>
      </c>
    </row>
    <row r="173" spans="1:15" s="11" customFormat="1" x14ac:dyDescent="0.55000000000000004">
      <c r="A173" s="11">
        <f t="shared" si="35"/>
        <v>15</v>
      </c>
      <c r="B173"/>
      <c r="C173"/>
      <c r="D173" s="1" t="str">
        <f t="shared" si="32"/>
        <v>x</v>
      </c>
      <c r="E173"/>
      <c r="F173" s="14" t="s">
        <v>0</v>
      </c>
      <c r="G173" s="61">
        <f ca="1">SUMIFS(OFFSET('BPC Data'!$F:$F,0,Summary!G$2),'BPC Data'!$E:$E,Summary!$D173,'BPC Data'!$B:$B,Summary!$C173)</f>
        <v>0</v>
      </c>
      <c r="H173" s="54">
        <f ca="1">SUMIFS(OFFSET('BPC Data'!$F:$F,0,Summary!H$2),'BPC Data'!$E:$E,Summary!$D173,'BPC Data'!$B:$B,Summary!$C173)</f>
        <v>0</v>
      </c>
      <c r="I173" s="61">
        <f ca="1">SUMIFS(OFFSET('BPC Data'!$F:$F,0,Summary!I$2),'BPC Data'!$E:$E,Summary!$D173,'BPC Data'!$B:$B,Summary!$C173)</f>
        <v>0</v>
      </c>
      <c r="J173" s="54">
        <f ca="1">SUMIFS(OFFSET('BPC Data'!$F:$F,0,Summary!J$2),'BPC Data'!$E:$E,Summary!$D173,'BPC Data'!$B:$B,Summary!$C173)</f>
        <v>0</v>
      </c>
      <c r="K173" s="61">
        <f ca="1">SUMIFS(OFFSET('BPC Data'!$F:$F,0,Summary!K$2),'BPC Data'!$E:$E,Summary!$D173,'BPC Data'!$B:$B,Summary!$C173)</f>
        <v>0</v>
      </c>
      <c r="L173" s="54">
        <f ca="1">SUMIFS(OFFSET('BPC Data'!$F:$F,0,Summary!L$2),'BPC Data'!$E:$E,Summary!$D173,'BPC Data'!$B:$B,Summary!$C173)</f>
        <v>0</v>
      </c>
      <c r="M173" s="61">
        <f ca="1">SUMIFS(OFFSET('BPC Data'!$F:$F,0,Summary!M$2),'BPC Data'!$E:$E,Summary!$D173,'BPC Data'!$B:$B,Summary!$C173)</f>
        <v>0</v>
      </c>
      <c r="N173" s="54">
        <f ca="1">SUMIFS(OFFSET('BPC Data'!$F:$F,0,Summary!N$2),'BPC Data'!$E:$E,Summary!$D173,'BPC Data'!$B:$B,Summary!$C173)</f>
        <v>0</v>
      </c>
      <c r="O173" s="18">
        <f t="shared" ca="1" si="36"/>
        <v>0</v>
      </c>
    </row>
    <row r="174" spans="1:15" s="11" customFormat="1" x14ac:dyDescent="0.55000000000000004">
      <c r="A174" s="11">
        <f>IF(AND(D174&lt;&gt;"",C174=""),A173+1,A173)</f>
        <v>16</v>
      </c>
      <c r="B174" s="4"/>
      <c r="C174" s="4"/>
      <c r="D174" s="4" t="str">
        <f t="shared" si="32"/>
        <v>x</v>
      </c>
      <c r="E174" s="4"/>
      <c r="F174" s="13" t="str">
        <f>INDEX(PropertyList!$D:$D,MATCH(Summary!$A174,PropertyList!$C:$C,0))</f>
        <v>Issaquah Nursing &amp; Rehab Ctr</v>
      </c>
      <c r="G174" s="59">
        <f ca="1">SUMIFS(OFFSET('BPC Data'!$F:$F,0,Summary!G$2),'BPC Data'!$E:$E,Summary!$D174,'BPC Data'!$B:$B,Summary!$C174)</f>
        <v>0</v>
      </c>
      <c r="H174" s="52">
        <f ca="1">SUMIFS(OFFSET('BPC Data'!$F:$F,0,Summary!H$2),'BPC Data'!$E:$E,Summary!$D174,'BPC Data'!$B:$B,Summary!$C174)</f>
        <v>0</v>
      </c>
      <c r="I174" s="59">
        <f ca="1">SUMIFS(OFFSET('BPC Data'!$F:$F,0,Summary!I$2),'BPC Data'!$E:$E,Summary!$D174,'BPC Data'!$B:$B,Summary!$C174)</f>
        <v>0</v>
      </c>
      <c r="J174" s="52">
        <f ca="1">SUMIFS(OFFSET('BPC Data'!$F:$F,0,Summary!J$2),'BPC Data'!$E:$E,Summary!$D174,'BPC Data'!$B:$B,Summary!$C174)</f>
        <v>0</v>
      </c>
      <c r="K174" s="59">
        <f ca="1">SUMIFS(OFFSET('BPC Data'!$F:$F,0,Summary!K$2),'BPC Data'!$E:$E,Summary!$D174,'BPC Data'!$B:$B,Summary!$C174)</f>
        <v>0</v>
      </c>
      <c r="L174" s="52">
        <f ca="1">SUMIFS(OFFSET('BPC Data'!$F:$F,0,Summary!L$2),'BPC Data'!$E:$E,Summary!$D174,'BPC Data'!$B:$B,Summary!$C174)</f>
        <v>0</v>
      </c>
      <c r="M174" s="59">
        <f ca="1">SUMIFS(OFFSET('BPC Data'!$F:$F,0,Summary!M$2),'BPC Data'!$E:$E,Summary!$D174,'BPC Data'!$B:$B,Summary!$C174)</f>
        <v>0</v>
      </c>
      <c r="N174" s="52">
        <f ca="1">SUMIFS(OFFSET('BPC Data'!$F:$F,0,Summary!N$2),'BPC Data'!$E:$E,Summary!$D174,'BPC Data'!$B:$B,Summary!$C174)</f>
        <v>0</v>
      </c>
      <c r="O174" s="18">
        <f t="shared" ca="1" si="36"/>
        <v>0</v>
      </c>
    </row>
    <row r="175" spans="1:15" s="11" customFormat="1" x14ac:dyDescent="0.55000000000000004">
      <c r="A175" s="11">
        <f>IF(AND(F175&lt;&gt;"",D175=""),A174+1,A174)</f>
        <v>16</v>
      </c>
      <c r="C175" t="str">
        <f>$F174</f>
        <v>Issaquah Nursing &amp; Rehab Ctr</v>
      </c>
      <c r="D175" s="3" t="str">
        <f t="shared" si="32"/>
        <v>PAY_PAT_DAYS - Total Payor Patient Days</v>
      </c>
      <c r="F175" s="14" t="str">
        <f>_xll.EVDES(D175)</f>
        <v>Total Payor Patient Days</v>
      </c>
      <c r="G175" s="60">
        <f ca="1">SUMIFS(OFFSET('BPC Data'!$F:$F,0,Summary!G$2),'BPC Data'!$E:$E,Summary!$D175,'BPC Data'!$B:$B,Summary!$C175)</f>
        <v>2090</v>
      </c>
      <c r="H175" s="53">
        <f ca="1">SUMIFS(OFFSET('BPC Data'!$F:$F,0,Summary!H$2),'BPC Data'!$E:$E,Summary!$D175,'BPC Data'!$B:$B,Summary!$C175)</f>
        <v>1995</v>
      </c>
      <c r="I175" s="60">
        <f ca="1">SUMIFS(OFFSET('BPC Data'!$F:$F,0,Summary!I$2),'BPC Data'!$E:$E,Summary!$D175,'BPC Data'!$B:$B,Summary!$C175)</f>
        <v>2185</v>
      </c>
      <c r="J175" s="53">
        <f ca="1">SUMIFS(OFFSET('BPC Data'!$F:$F,0,Summary!J$2),'BPC Data'!$E:$E,Summary!$D175,'BPC Data'!$B:$B,Summary!$C175)</f>
        <v>2154</v>
      </c>
      <c r="K175" s="60">
        <f ca="1">SUMIFS(OFFSET('BPC Data'!$F:$F,0,Summary!K$2),'BPC Data'!$E:$E,Summary!$D175,'BPC Data'!$B:$B,Summary!$C175)</f>
        <v>2185</v>
      </c>
      <c r="L175" s="53">
        <f ca="1">SUMIFS(OFFSET('BPC Data'!$F:$F,0,Summary!L$2),'BPC Data'!$E:$E,Summary!$D175,'BPC Data'!$B:$B,Summary!$C175)</f>
        <v>2193</v>
      </c>
      <c r="M175" s="60">
        <f ca="1">SUMIFS(OFFSET('BPC Data'!$F:$F,0,Summary!M$2),'BPC Data'!$E:$E,Summary!$D175,'BPC Data'!$B:$B,Summary!$C175)</f>
        <v>2313</v>
      </c>
      <c r="N175" s="53">
        <f ca="1">SUMIFS(OFFSET('BPC Data'!$F:$F,0,Summary!N$2),'BPC Data'!$E:$E,Summary!$D175,'BPC Data'!$B:$B,Summary!$C175)</f>
        <v>2416</v>
      </c>
      <c r="O175" s="18">
        <f t="shared" ca="1" si="36"/>
        <v>17531</v>
      </c>
    </row>
    <row r="176" spans="1:15" s="11" customFormat="1" x14ac:dyDescent="0.55000000000000004">
      <c r="A176" s="11">
        <f t="shared" ref="A176:A184" si="37">IF(AND(F176&lt;&gt;"",D176=""),A175+1,A175)</f>
        <v>16</v>
      </c>
      <c r="C176" t="str">
        <f>$F174</f>
        <v>Issaquah Nursing &amp; Rehab Ctr</v>
      </c>
      <c r="D176" s="3" t="str">
        <f t="shared" si="32"/>
        <v>A_BEDS_TOTAL - Total Available Beds</v>
      </c>
      <c r="F176" s="14" t="str">
        <f>_xll.EVDES(D176)</f>
        <v>Total Available Beds</v>
      </c>
      <c r="G176" s="60">
        <f ca="1">SUMIFS(OFFSET('BPC Data'!$F:$F,0,Summary!G$2),'BPC Data'!$E:$E,Summary!$D176,'BPC Data'!$B:$B,Summary!$C176)</f>
        <v>116</v>
      </c>
      <c r="H176" s="53">
        <f ca="1">SUMIFS(OFFSET('BPC Data'!$F:$F,0,Summary!H$2),'BPC Data'!$E:$E,Summary!$D176,'BPC Data'!$B:$B,Summary!$C176)</f>
        <v>116</v>
      </c>
      <c r="I176" s="60">
        <f ca="1">SUMIFS(OFFSET('BPC Data'!$F:$F,0,Summary!I$2),'BPC Data'!$E:$E,Summary!$D176,'BPC Data'!$B:$B,Summary!$C176)</f>
        <v>116</v>
      </c>
      <c r="J176" s="53">
        <f ca="1">SUMIFS(OFFSET('BPC Data'!$F:$F,0,Summary!J$2),'BPC Data'!$E:$E,Summary!$D176,'BPC Data'!$B:$B,Summary!$C176)</f>
        <v>116</v>
      </c>
      <c r="K176" s="60">
        <f ca="1">SUMIFS(OFFSET('BPC Data'!$F:$F,0,Summary!K$2),'BPC Data'!$E:$E,Summary!$D176,'BPC Data'!$B:$B,Summary!$C176)</f>
        <v>116</v>
      </c>
      <c r="L176" s="53">
        <f ca="1">SUMIFS(OFFSET('BPC Data'!$F:$F,0,Summary!L$2),'BPC Data'!$E:$E,Summary!$D176,'BPC Data'!$B:$B,Summary!$C176)</f>
        <v>116</v>
      </c>
      <c r="M176" s="60">
        <f ca="1">SUMIFS(OFFSET('BPC Data'!$F:$F,0,Summary!M$2),'BPC Data'!$E:$E,Summary!$D176,'BPC Data'!$B:$B,Summary!$C176)</f>
        <v>116</v>
      </c>
      <c r="N176" s="53">
        <f ca="1">SUMIFS(OFFSET('BPC Data'!$F:$F,0,Summary!N$2),'BPC Data'!$E:$E,Summary!$D176,'BPC Data'!$B:$B,Summary!$C176)</f>
        <v>116</v>
      </c>
      <c r="O176" s="18">
        <f ca="1">N176</f>
        <v>116</v>
      </c>
    </row>
    <row r="177" spans="1:15" s="11" customFormat="1" x14ac:dyDescent="0.55000000000000004">
      <c r="A177" s="11">
        <f t="shared" si="37"/>
        <v>16</v>
      </c>
      <c r="B177"/>
      <c r="C177" t="str">
        <f>$F174</f>
        <v>Issaquah Nursing &amp; Rehab Ctr</v>
      </c>
      <c r="D177" s="3" t="str">
        <f t="shared" si="32"/>
        <v>T_REVENUES - Total Tenant Revenues</v>
      </c>
      <c r="E177"/>
      <c r="F177" s="14" t="str">
        <f>_xll.EVDES(D177)</f>
        <v>Total Tenant Revenues</v>
      </c>
      <c r="G177" s="60">
        <f ca="1">SUMIFS(OFFSET('BPC Data'!$F:$F,0,Summary!G$2),'BPC Data'!$E:$E,Summary!$D177,'BPC Data'!$B:$B,Summary!$C177)</f>
        <v>814301.11</v>
      </c>
      <c r="H177" s="53">
        <f ca="1">SUMIFS(OFFSET('BPC Data'!$F:$F,0,Summary!H$2),'BPC Data'!$E:$E,Summary!$D177,'BPC Data'!$B:$B,Summary!$C177)</f>
        <v>779114.12</v>
      </c>
      <c r="I177" s="60">
        <f ca="1">SUMIFS(OFFSET('BPC Data'!$F:$F,0,Summary!I$2),'BPC Data'!$E:$E,Summary!$D177,'BPC Data'!$B:$B,Summary!$C177)</f>
        <v>823348.18</v>
      </c>
      <c r="J177" s="53">
        <f ca="1">SUMIFS(OFFSET('BPC Data'!$F:$F,0,Summary!J$2),'BPC Data'!$E:$E,Summary!$D177,'BPC Data'!$B:$B,Summary!$C177)</f>
        <v>855795.21</v>
      </c>
      <c r="K177" s="60">
        <f ca="1">SUMIFS(OFFSET('BPC Data'!$F:$F,0,Summary!K$2),'BPC Data'!$E:$E,Summary!$D177,'BPC Data'!$B:$B,Summary!$C177)</f>
        <v>818207.91</v>
      </c>
      <c r="L177" s="53">
        <f ca="1">SUMIFS(OFFSET('BPC Data'!$F:$F,0,Summary!L$2),'BPC Data'!$E:$E,Summary!$D177,'BPC Data'!$B:$B,Summary!$C177)</f>
        <v>857678.09</v>
      </c>
      <c r="M177" s="60">
        <f ca="1">SUMIFS(OFFSET('BPC Data'!$F:$F,0,Summary!M$2),'BPC Data'!$E:$E,Summary!$D177,'BPC Data'!$B:$B,Summary!$C177)</f>
        <v>872787</v>
      </c>
      <c r="N177" s="53">
        <f ca="1">SUMIFS(OFFSET('BPC Data'!$F:$F,0,Summary!N$2),'BPC Data'!$E:$E,Summary!$D177,'BPC Data'!$B:$B,Summary!$C177)</f>
        <v>939749.51</v>
      </c>
      <c r="O177" s="18">
        <f t="shared" ref="O177:O186" ca="1" si="38">SUM(G177:N177)</f>
        <v>6760981.1299999999</v>
      </c>
    </row>
    <row r="178" spans="1:15" s="11" customFormat="1" x14ac:dyDescent="0.55000000000000004">
      <c r="A178" s="11">
        <f t="shared" si="37"/>
        <v>16</v>
      </c>
      <c r="B178"/>
      <c r="C178" t="str">
        <f>$F174</f>
        <v>Issaquah Nursing &amp; Rehab Ctr</v>
      </c>
      <c r="D178" s="3" t="str">
        <f t="shared" si="32"/>
        <v>T_OPEX - Tenant Operating Expenses</v>
      </c>
      <c r="E178"/>
      <c r="F178" s="14" t="str">
        <f>_xll.EVDES(D178)</f>
        <v>Tenant Operating Expenses</v>
      </c>
      <c r="G178" s="60">
        <f ca="1">SUMIFS(OFFSET('BPC Data'!$F:$F,0,Summary!G$2),'BPC Data'!$E:$E,Summary!$D178,'BPC Data'!$B:$B,Summary!$C178)</f>
        <v>751255.23</v>
      </c>
      <c r="H178" s="53">
        <f ca="1">SUMIFS(OFFSET('BPC Data'!$F:$F,0,Summary!H$2),'BPC Data'!$E:$E,Summary!$D178,'BPC Data'!$B:$B,Summary!$C178)</f>
        <v>709868.25</v>
      </c>
      <c r="I178" s="60">
        <f ca="1">SUMIFS(OFFSET('BPC Data'!$F:$F,0,Summary!I$2),'BPC Data'!$E:$E,Summary!$D178,'BPC Data'!$B:$B,Summary!$C178)</f>
        <v>808458.99</v>
      </c>
      <c r="J178" s="53">
        <f ca="1">SUMIFS(OFFSET('BPC Data'!$F:$F,0,Summary!J$2),'BPC Data'!$E:$E,Summary!$D178,'BPC Data'!$B:$B,Summary!$C178)</f>
        <v>829821.14</v>
      </c>
      <c r="K178" s="60">
        <f ca="1">SUMIFS(OFFSET('BPC Data'!$F:$F,0,Summary!K$2),'BPC Data'!$E:$E,Summary!$D178,'BPC Data'!$B:$B,Summary!$C178)</f>
        <v>776774.67</v>
      </c>
      <c r="L178" s="53">
        <f ca="1">SUMIFS(OFFSET('BPC Data'!$F:$F,0,Summary!L$2),'BPC Data'!$E:$E,Summary!$D178,'BPC Data'!$B:$B,Summary!$C178)</f>
        <v>853591.95</v>
      </c>
      <c r="M178" s="60">
        <f ca="1">SUMIFS(OFFSET('BPC Data'!$F:$F,0,Summary!M$2),'BPC Data'!$E:$E,Summary!$D178,'BPC Data'!$B:$B,Summary!$C178)</f>
        <v>893189.2</v>
      </c>
      <c r="N178" s="53">
        <f ca="1">SUMIFS(OFFSET('BPC Data'!$F:$F,0,Summary!N$2),'BPC Data'!$E:$E,Summary!$D178,'BPC Data'!$B:$B,Summary!$C178)</f>
        <v>890401.94</v>
      </c>
      <c r="O178" s="18">
        <f t="shared" ca="1" si="38"/>
        <v>6513361.3699999992</v>
      </c>
    </row>
    <row r="179" spans="1:15" s="11" customFormat="1" x14ac:dyDescent="0.55000000000000004">
      <c r="A179" s="11">
        <f t="shared" si="37"/>
        <v>16</v>
      </c>
      <c r="B179"/>
      <c r="C179" t="str">
        <f>$F174</f>
        <v>Issaquah Nursing &amp; Rehab Ctr</v>
      </c>
      <c r="D179" s="3" t="str">
        <f t="shared" si="32"/>
        <v>T_BAD_DEBT - Tenant Bad Debt Expense</v>
      </c>
      <c r="E179"/>
      <c r="F179" s="14" t="str">
        <f>_xll.EVDES(D179)</f>
        <v>Tenant Bad Debt Expense</v>
      </c>
      <c r="G179" s="60">
        <f ca="1">SUMIFS(OFFSET('BPC Data'!$F:$F,0,Summary!G$2),'BPC Data'!$E:$E,Summary!$D179,'BPC Data'!$B:$B,Summary!$C179)</f>
        <v>-33739.61</v>
      </c>
      <c r="H179" s="53">
        <f ca="1">SUMIFS(OFFSET('BPC Data'!$F:$F,0,Summary!H$2),'BPC Data'!$E:$E,Summary!$D179,'BPC Data'!$B:$B,Summary!$C179)</f>
        <v>-15293.2</v>
      </c>
      <c r="I179" s="60">
        <f ca="1">SUMIFS(OFFSET('BPC Data'!$F:$F,0,Summary!I$2),'BPC Data'!$E:$E,Summary!$D179,'BPC Data'!$B:$B,Summary!$C179)</f>
        <v>2081.04</v>
      </c>
      <c r="J179" s="53">
        <f ca="1">SUMIFS(OFFSET('BPC Data'!$F:$F,0,Summary!J$2),'BPC Data'!$E:$E,Summary!$D179,'BPC Data'!$B:$B,Summary!$C179)</f>
        <v>-1420.79</v>
      </c>
      <c r="K179" s="60">
        <f ca="1">SUMIFS(OFFSET('BPC Data'!$F:$F,0,Summary!K$2),'BPC Data'!$E:$E,Summary!$D179,'BPC Data'!$B:$B,Summary!$C179)</f>
        <v>-13605.33</v>
      </c>
      <c r="L179" s="53">
        <f ca="1">SUMIFS(OFFSET('BPC Data'!$F:$F,0,Summary!L$2),'BPC Data'!$E:$E,Summary!$D179,'BPC Data'!$B:$B,Summary!$C179)</f>
        <v>59777.8</v>
      </c>
      <c r="M179" s="60">
        <f ca="1">SUMIFS(OFFSET('BPC Data'!$F:$F,0,Summary!M$2),'BPC Data'!$E:$E,Summary!$D179,'BPC Data'!$B:$B,Summary!$C179)</f>
        <v>36261.870000000003</v>
      </c>
      <c r="N179" s="53">
        <f ca="1">SUMIFS(OFFSET('BPC Data'!$F:$F,0,Summary!N$2),'BPC Data'!$E:$E,Summary!$D179,'BPC Data'!$B:$B,Summary!$C179)</f>
        <v>30610.2</v>
      </c>
      <c r="O179" s="18">
        <f t="shared" ca="1" si="38"/>
        <v>64671.98000000001</v>
      </c>
    </row>
    <row r="180" spans="1:15" s="11" customFormat="1" x14ac:dyDescent="0.55000000000000004">
      <c r="A180" s="11">
        <f t="shared" si="37"/>
        <v>16</v>
      </c>
      <c r="B180"/>
      <c r="C180" t="str">
        <f>$F174</f>
        <v>Issaquah Nursing &amp; Rehab Ctr</v>
      </c>
      <c r="D180" s="2" t="str">
        <f t="shared" si="32"/>
        <v>T_EBITDARM - EBITDARM</v>
      </c>
      <c r="E180"/>
      <c r="F180" s="14" t="str">
        <f>_xll.EVDES(D180)</f>
        <v>EBITDARM</v>
      </c>
      <c r="G180" s="60">
        <f ca="1">SUMIFS(OFFSET('BPC Data'!$F:$F,0,Summary!G$2),'BPC Data'!$E:$E,Summary!$D180,'BPC Data'!$B:$B,Summary!$C180)</f>
        <v>63045.88</v>
      </c>
      <c r="H180" s="53">
        <f ca="1">SUMIFS(OFFSET('BPC Data'!$F:$F,0,Summary!H$2),'BPC Data'!$E:$E,Summary!$D180,'BPC Data'!$B:$B,Summary!$C180)</f>
        <v>69245.87</v>
      </c>
      <c r="I180" s="60">
        <f ca="1">SUMIFS(OFFSET('BPC Data'!$F:$F,0,Summary!I$2),'BPC Data'!$E:$E,Summary!$D180,'BPC Data'!$B:$B,Summary!$C180)</f>
        <v>14889.1899999999</v>
      </c>
      <c r="J180" s="53">
        <f ca="1">SUMIFS(OFFSET('BPC Data'!$F:$F,0,Summary!J$2),'BPC Data'!$E:$E,Summary!$D180,'BPC Data'!$B:$B,Summary!$C180)</f>
        <v>25974.070000000102</v>
      </c>
      <c r="K180" s="60">
        <f ca="1">SUMIFS(OFFSET('BPC Data'!$F:$F,0,Summary!K$2),'BPC Data'!$E:$E,Summary!$D180,'BPC Data'!$B:$B,Summary!$C180)</f>
        <v>41433.24</v>
      </c>
      <c r="L180" s="53">
        <f ca="1">SUMIFS(OFFSET('BPC Data'!$F:$F,0,Summary!L$2),'BPC Data'!$E:$E,Summary!$D180,'BPC Data'!$B:$B,Summary!$C180)</f>
        <v>4086.1400000001299</v>
      </c>
      <c r="M180" s="60">
        <f ca="1">SUMIFS(OFFSET('BPC Data'!$F:$F,0,Summary!M$2),'BPC Data'!$E:$E,Summary!$D180,'BPC Data'!$B:$B,Summary!$C180)</f>
        <v>-20402.200000000099</v>
      </c>
      <c r="N180" s="53">
        <f ca="1">SUMIFS(OFFSET('BPC Data'!$F:$F,0,Summary!N$2),'BPC Data'!$E:$E,Summary!$D180,'BPC Data'!$B:$B,Summary!$C180)</f>
        <v>49347.570000000102</v>
      </c>
      <c r="O180" s="18">
        <f t="shared" ca="1" si="38"/>
        <v>247619.7600000001</v>
      </c>
    </row>
    <row r="181" spans="1:15" s="11" customFormat="1" x14ac:dyDescent="0.55000000000000004">
      <c r="A181" s="11">
        <f t="shared" si="37"/>
        <v>16</v>
      </c>
      <c r="B181"/>
      <c r="C181" t="str">
        <f>$F174</f>
        <v>Issaquah Nursing &amp; Rehab Ctr</v>
      </c>
      <c r="D181" s="2" t="str">
        <f t="shared" si="32"/>
        <v>T_MGMT_FEE - Tenant Management Fee - Actual</v>
      </c>
      <c r="E181"/>
      <c r="F181" s="14" t="str">
        <f>_xll.EVDES(D181)</f>
        <v>Tenant Management Fee - Actual</v>
      </c>
      <c r="G181" s="60">
        <f ca="1">SUMIFS(OFFSET('BPC Data'!$F:$F,0,Summary!G$2),'BPC Data'!$E:$E,Summary!$D181,'BPC Data'!$B:$B,Summary!$C181)</f>
        <v>47304</v>
      </c>
      <c r="H181" s="53">
        <f ca="1">SUMIFS(OFFSET('BPC Data'!$F:$F,0,Summary!H$2),'BPC Data'!$E:$E,Summary!$D181,'BPC Data'!$B:$B,Summary!$C181)</f>
        <v>40715</v>
      </c>
      <c r="I181" s="60">
        <f ca="1">SUMIFS(OFFSET('BPC Data'!$F:$F,0,Summary!I$2),'BPC Data'!$E:$E,Summary!$D181,'BPC Data'!$B:$B,Summary!$C181)</f>
        <v>38954</v>
      </c>
      <c r="J181" s="53">
        <f ca="1">SUMIFS(OFFSET('BPC Data'!$F:$F,0,Summary!J$2),'BPC Data'!$E:$E,Summary!$D181,'BPC Data'!$B:$B,Summary!$C181)</f>
        <v>41178</v>
      </c>
      <c r="K181" s="60">
        <f ca="1">SUMIFS(OFFSET('BPC Data'!$F:$F,0,Summary!K$2),'BPC Data'!$E:$E,Summary!$D181,'BPC Data'!$B:$B,Summary!$C181)</f>
        <v>42789</v>
      </c>
      <c r="L181" s="53">
        <f ca="1">SUMIFS(OFFSET('BPC Data'!$F:$F,0,Summary!L$2),'BPC Data'!$E:$E,Summary!$D181,'BPC Data'!$B:$B,Summary!$C181)</f>
        <v>40910</v>
      </c>
      <c r="M181" s="60">
        <f ca="1">SUMIFS(OFFSET('BPC Data'!$F:$F,0,Summary!M$2),'BPC Data'!$E:$E,Summary!$D181,'BPC Data'!$B:$B,Summary!$C181)</f>
        <v>42883</v>
      </c>
      <c r="N181" s="53">
        <f ca="1">SUMIFS(OFFSET('BPC Data'!$F:$F,0,Summary!N$2),'BPC Data'!$E:$E,Summary!$D181,'BPC Data'!$B:$B,Summary!$C181)</f>
        <v>43639</v>
      </c>
      <c r="O181" s="18">
        <f t="shared" ca="1" si="38"/>
        <v>338372</v>
      </c>
    </row>
    <row r="182" spans="1:15" s="11" customFormat="1" x14ac:dyDescent="0.55000000000000004">
      <c r="A182" s="11">
        <f t="shared" si="37"/>
        <v>16</v>
      </c>
      <c r="B182"/>
      <c r="C182" t="str">
        <f>$F174</f>
        <v>Issaquah Nursing &amp; Rehab Ctr</v>
      </c>
      <c r="D182" s="1" t="str">
        <f t="shared" si="32"/>
        <v>T_EBITDAR - EBITDAR</v>
      </c>
      <c r="E182"/>
      <c r="F182" s="14" t="str">
        <f>_xll.EVDES(D182)</f>
        <v>EBITDAR</v>
      </c>
      <c r="G182" s="60">
        <f ca="1">SUMIFS(OFFSET('BPC Data'!$F:$F,0,Summary!G$2),'BPC Data'!$E:$E,Summary!$D182,'BPC Data'!$B:$B,Summary!$C182)</f>
        <v>15741.88</v>
      </c>
      <c r="H182" s="53">
        <f ca="1">SUMIFS(OFFSET('BPC Data'!$F:$F,0,Summary!H$2),'BPC Data'!$E:$E,Summary!$D182,'BPC Data'!$B:$B,Summary!$C182)</f>
        <v>28530.87</v>
      </c>
      <c r="I182" s="60">
        <f ca="1">SUMIFS(OFFSET('BPC Data'!$F:$F,0,Summary!I$2),'BPC Data'!$E:$E,Summary!$D182,'BPC Data'!$B:$B,Summary!$C182)</f>
        <v>-24064.8100000001</v>
      </c>
      <c r="J182" s="53">
        <f ca="1">SUMIFS(OFFSET('BPC Data'!$F:$F,0,Summary!J$2),'BPC Data'!$E:$E,Summary!$D182,'BPC Data'!$B:$B,Summary!$C182)</f>
        <v>-15203.9299999999</v>
      </c>
      <c r="K182" s="60">
        <f ca="1">SUMIFS(OFFSET('BPC Data'!$F:$F,0,Summary!K$2),'BPC Data'!$E:$E,Summary!$D182,'BPC Data'!$B:$B,Summary!$C182)</f>
        <v>-1355.76000000001</v>
      </c>
      <c r="L182" s="53">
        <f ca="1">SUMIFS(OFFSET('BPC Data'!$F:$F,0,Summary!L$2),'BPC Data'!$E:$E,Summary!$D182,'BPC Data'!$B:$B,Summary!$C182)</f>
        <v>-36823.859999999899</v>
      </c>
      <c r="M182" s="60">
        <f ca="1">SUMIFS(OFFSET('BPC Data'!$F:$F,0,Summary!M$2),'BPC Data'!$E:$E,Summary!$D182,'BPC Data'!$B:$B,Summary!$C182)</f>
        <v>-63285.200000000099</v>
      </c>
      <c r="N182" s="53">
        <f ca="1">SUMIFS(OFFSET('BPC Data'!$F:$F,0,Summary!N$2),'BPC Data'!$E:$E,Summary!$D182,'BPC Data'!$B:$B,Summary!$C182)</f>
        <v>5708.5700000000697</v>
      </c>
      <c r="O182" s="18">
        <f t="shared" ca="1" si="38"/>
        <v>-90752.239999999932</v>
      </c>
    </row>
    <row r="183" spans="1:15" s="11" customFormat="1" x14ac:dyDescent="0.55000000000000004">
      <c r="A183" s="11">
        <f t="shared" si="37"/>
        <v>16</v>
      </c>
      <c r="B183"/>
      <c r="C183" t="str">
        <f>$F174</f>
        <v>Issaquah Nursing &amp; Rehab Ctr</v>
      </c>
      <c r="D183" s="1" t="str">
        <f t="shared" si="32"/>
        <v>T_RENT_EXP - Tenant Rent Expense</v>
      </c>
      <c r="E183"/>
      <c r="F183" s="14" t="str">
        <f>_xll.EVDES(D183)</f>
        <v>Tenant Rent Expense</v>
      </c>
      <c r="G183" s="60">
        <f ca="1">SUMIFS(OFFSET('BPC Data'!$F:$F,0,Summary!G$2),'BPC Data'!$E:$E,Summary!$D183,'BPC Data'!$B:$B,Summary!$C183)</f>
        <v>129517.92</v>
      </c>
      <c r="H183" s="53">
        <f ca="1">SUMIFS(OFFSET('BPC Data'!$F:$F,0,Summary!H$2),'BPC Data'!$E:$E,Summary!$D183,'BPC Data'!$B:$B,Summary!$C183)</f>
        <v>129517.92</v>
      </c>
      <c r="I183" s="60">
        <f ca="1">SUMIFS(OFFSET('BPC Data'!$F:$F,0,Summary!I$2),'BPC Data'!$E:$E,Summary!$D183,'BPC Data'!$B:$B,Summary!$C183)</f>
        <v>129517.92</v>
      </c>
      <c r="J183" s="53">
        <f ca="1">SUMIFS(OFFSET('BPC Data'!$F:$F,0,Summary!J$2),'BPC Data'!$E:$E,Summary!$D183,'BPC Data'!$B:$B,Summary!$C183)</f>
        <v>129517.92</v>
      </c>
      <c r="K183" s="60">
        <f ca="1">SUMIFS(OFFSET('BPC Data'!$F:$F,0,Summary!K$2),'BPC Data'!$E:$E,Summary!$D183,'BPC Data'!$B:$B,Summary!$C183)</f>
        <v>129517.92</v>
      </c>
      <c r="L183" s="53">
        <f ca="1">SUMIFS(OFFSET('BPC Data'!$F:$F,0,Summary!L$2),'BPC Data'!$E:$E,Summary!$D183,'BPC Data'!$B:$B,Summary!$C183)</f>
        <v>129517.92</v>
      </c>
      <c r="M183" s="60">
        <f ca="1">SUMIFS(OFFSET('BPC Data'!$F:$F,0,Summary!M$2),'BPC Data'!$E:$E,Summary!$D183,'BPC Data'!$B:$B,Summary!$C183)</f>
        <v>129517.92</v>
      </c>
      <c r="N183" s="53">
        <f ca="1">SUMIFS(OFFSET('BPC Data'!$F:$F,0,Summary!N$2),'BPC Data'!$E:$E,Summary!$D183,'BPC Data'!$B:$B,Summary!$C183)</f>
        <v>129517.92</v>
      </c>
      <c r="O183" s="18">
        <f t="shared" ca="1" si="38"/>
        <v>1036143.3600000001</v>
      </c>
    </row>
    <row r="184" spans="1:15" s="11" customFormat="1" x14ac:dyDescent="0.55000000000000004">
      <c r="A184" s="11">
        <f t="shared" si="37"/>
        <v>16</v>
      </c>
      <c r="B184"/>
      <c r="C184"/>
      <c r="D184" s="1" t="str">
        <f t="shared" si="32"/>
        <v>x</v>
      </c>
      <c r="E184"/>
      <c r="F184" s="14" t="s">
        <v>0</v>
      </c>
      <c r="G184" s="61">
        <f ca="1">SUMIFS(OFFSET('BPC Data'!$F:$F,0,Summary!G$2),'BPC Data'!$E:$E,Summary!$D184,'BPC Data'!$B:$B,Summary!$C184)</f>
        <v>0</v>
      </c>
      <c r="H184" s="54">
        <f ca="1">SUMIFS(OFFSET('BPC Data'!$F:$F,0,Summary!H$2),'BPC Data'!$E:$E,Summary!$D184,'BPC Data'!$B:$B,Summary!$C184)</f>
        <v>0</v>
      </c>
      <c r="I184" s="61">
        <f ca="1">SUMIFS(OFFSET('BPC Data'!$F:$F,0,Summary!I$2),'BPC Data'!$E:$E,Summary!$D184,'BPC Data'!$B:$B,Summary!$C184)</f>
        <v>0</v>
      </c>
      <c r="J184" s="54">
        <f ca="1">SUMIFS(OFFSET('BPC Data'!$F:$F,0,Summary!J$2),'BPC Data'!$E:$E,Summary!$D184,'BPC Data'!$B:$B,Summary!$C184)</f>
        <v>0</v>
      </c>
      <c r="K184" s="61">
        <f ca="1">SUMIFS(OFFSET('BPC Data'!$F:$F,0,Summary!K$2),'BPC Data'!$E:$E,Summary!$D184,'BPC Data'!$B:$B,Summary!$C184)</f>
        <v>0</v>
      </c>
      <c r="L184" s="54">
        <f ca="1">SUMIFS(OFFSET('BPC Data'!$F:$F,0,Summary!L$2),'BPC Data'!$E:$E,Summary!$D184,'BPC Data'!$B:$B,Summary!$C184)</f>
        <v>0</v>
      </c>
      <c r="M184" s="61">
        <f ca="1">SUMIFS(OFFSET('BPC Data'!$F:$F,0,Summary!M$2),'BPC Data'!$E:$E,Summary!$D184,'BPC Data'!$B:$B,Summary!$C184)</f>
        <v>0</v>
      </c>
      <c r="N184" s="54">
        <f ca="1">SUMIFS(OFFSET('BPC Data'!$F:$F,0,Summary!N$2),'BPC Data'!$E:$E,Summary!$D184,'BPC Data'!$B:$B,Summary!$C184)</f>
        <v>0</v>
      </c>
      <c r="O184" s="18">
        <f t="shared" ca="1" si="38"/>
        <v>0</v>
      </c>
    </row>
    <row r="185" spans="1:15" s="11" customFormat="1" x14ac:dyDescent="0.55000000000000004">
      <c r="A185" s="11">
        <f>IF(AND(D185&lt;&gt;"",C185=""),A184+1,A184)</f>
        <v>17</v>
      </c>
      <c r="B185" s="4"/>
      <c r="C185" s="4"/>
      <c r="D185" s="4" t="str">
        <f t="shared" si="32"/>
        <v>x</v>
      </c>
      <c r="E185" s="4"/>
      <c r="F185" s="13" t="str">
        <f>INDEX(PropertyList!$D:$D,MATCH(Summary!$A185,PropertyList!$C:$C,0))</f>
        <v>Alamitos-Belmont Rehab Hosp</v>
      </c>
      <c r="G185" s="59">
        <f ca="1">SUMIFS(OFFSET('BPC Data'!$F:$F,0,Summary!G$2),'BPC Data'!$E:$E,Summary!$D185,'BPC Data'!$B:$B,Summary!$C185)</f>
        <v>0</v>
      </c>
      <c r="H185" s="52">
        <f ca="1">SUMIFS(OFFSET('BPC Data'!$F:$F,0,Summary!H$2),'BPC Data'!$E:$E,Summary!$D185,'BPC Data'!$B:$B,Summary!$C185)</f>
        <v>0</v>
      </c>
      <c r="I185" s="59">
        <f ca="1">SUMIFS(OFFSET('BPC Data'!$F:$F,0,Summary!I$2),'BPC Data'!$E:$E,Summary!$D185,'BPC Data'!$B:$B,Summary!$C185)</f>
        <v>0</v>
      </c>
      <c r="J185" s="52">
        <f ca="1">SUMIFS(OFFSET('BPC Data'!$F:$F,0,Summary!J$2),'BPC Data'!$E:$E,Summary!$D185,'BPC Data'!$B:$B,Summary!$C185)</f>
        <v>0</v>
      </c>
      <c r="K185" s="59">
        <f ca="1">SUMIFS(OFFSET('BPC Data'!$F:$F,0,Summary!K$2),'BPC Data'!$E:$E,Summary!$D185,'BPC Data'!$B:$B,Summary!$C185)</f>
        <v>0</v>
      </c>
      <c r="L185" s="52">
        <f ca="1">SUMIFS(OFFSET('BPC Data'!$F:$F,0,Summary!L$2),'BPC Data'!$E:$E,Summary!$D185,'BPC Data'!$B:$B,Summary!$C185)</f>
        <v>0</v>
      </c>
      <c r="M185" s="59">
        <f ca="1">SUMIFS(OFFSET('BPC Data'!$F:$F,0,Summary!M$2),'BPC Data'!$E:$E,Summary!$D185,'BPC Data'!$B:$B,Summary!$C185)</f>
        <v>0</v>
      </c>
      <c r="N185" s="52">
        <f ca="1">SUMIFS(OFFSET('BPC Data'!$F:$F,0,Summary!N$2),'BPC Data'!$E:$E,Summary!$D185,'BPC Data'!$B:$B,Summary!$C185)</f>
        <v>0</v>
      </c>
      <c r="O185" s="18">
        <f t="shared" ca="1" si="38"/>
        <v>0</v>
      </c>
    </row>
    <row r="186" spans="1:15" s="11" customFormat="1" x14ac:dyDescent="0.55000000000000004">
      <c r="A186" s="11">
        <f>IF(AND(F186&lt;&gt;"",D186=""),A185+1,A185)</f>
        <v>17</v>
      </c>
      <c r="C186" t="str">
        <f>$F185</f>
        <v>Alamitos-Belmont Rehab Hosp</v>
      </c>
      <c r="D186" s="3" t="str">
        <f t="shared" si="32"/>
        <v>PAY_PAT_DAYS - Total Payor Patient Days</v>
      </c>
      <c r="F186" s="14" t="str">
        <f>_xll.EVDES(D186)</f>
        <v>Total Payor Patient Days</v>
      </c>
      <c r="G186" s="60">
        <f ca="1">SUMIFS(OFFSET('BPC Data'!$F:$F,0,Summary!G$2),'BPC Data'!$E:$E,Summary!$D186,'BPC Data'!$B:$B,Summary!$C186)</f>
        <v>1243</v>
      </c>
      <c r="H186" s="53">
        <f ca="1">SUMIFS(OFFSET('BPC Data'!$F:$F,0,Summary!H$2),'BPC Data'!$E:$E,Summary!$D186,'BPC Data'!$B:$B,Summary!$C186)</f>
        <v>1524</v>
      </c>
      <c r="I186" s="60">
        <f ca="1">SUMIFS(OFFSET('BPC Data'!$F:$F,0,Summary!I$2),'BPC Data'!$E:$E,Summary!$D186,'BPC Data'!$B:$B,Summary!$C186)</f>
        <v>1887</v>
      </c>
      <c r="J186" s="53">
        <f ca="1">SUMIFS(OFFSET('BPC Data'!$F:$F,0,Summary!J$2),'BPC Data'!$E:$E,Summary!$D186,'BPC Data'!$B:$B,Summary!$C186)</f>
        <v>2042</v>
      </c>
      <c r="K186" s="60">
        <f ca="1">SUMIFS(OFFSET('BPC Data'!$F:$F,0,Summary!K$2),'BPC Data'!$E:$E,Summary!$D186,'BPC Data'!$B:$B,Summary!$C186)</f>
        <v>2113</v>
      </c>
      <c r="L186" s="53">
        <f ca="1">SUMIFS(OFFSET('BPC Data'!$F:$F,0,Summary!L$2),'BPC Data'!$E:$E,Summary!$D186,'BPC Data'!$B:$B,Summary!$C186)</f>
        <v>2151</v>
      </c>
      <c r="M186" s="60">
        <f ca="1">SUMIFS(OFFSET('BPC Data'!$F:$F,0,Summary!M$2),'BPC Data'!$E:$E,Summary!$D186,'BPC Data'!$B:$B,Summary!$C186)</f>
        <v>2261</v>
      </c>
      <c r="N186" s="53">
        <f ca="1">SUMIFS(OFFSET('BPC Data'!$F:$F,0,Summary!N$2),'BPC Data'!$E:$E,Summary!$D186,'BPC Data'!$B:$B,Summary!$C186)</f>
        <v>2118</v>
      </c>
      <c r="O186" s="18">
        <f t="shared" ca="1" si="38"/>
        <v>15339</v>
      </c>
    </row>
    <row r="187" spans="1:15" s="11" customFormat="1" x14ac:dyDescent="0.55000000000000004">
      <c r="A187" s="11">
        <f t="shared" ref="A187:A195" si="39">IF(AND(F187&lt;&gt;"",D187=""),A186+1,A186)</f>
        <v>17</v>
      </c>
      <c r="C187" t="str">
        <f>$F185</f>
        <v>Alamitos-Belmont Rehab Hosp</v>
      </c>
      <c r="D187" s="3" t="str">
        <f t="shared" si="32"/>
        <v>A_BEDS_TOTAL - Total Available Beds</v>
      </c>
      <c r="F187" s="14" t="str">
        <f>_xll.EVDES(D187)</f>
        <v>Total Available Beds</v>
      </c>
      <c r="G187" s="60">
        <f ca="1">SUMIFS(OFFSET('BPC Data'!$F:$F,0,Summary!G$2),'BPC Data'!$E:$E,Summary!$D187,'BPC Data'!$B:$B,Summary!$C187)</f>
        <v>94</v>
      </c>
      <c r="H187" s="53">
        <f ca="1">SUMIFS(OFFSET('BPC Data'!$F:$F,0,Summary!H$2),'BPC Data'!$E:$E,Summary!$D187,'BPC Data'!$B:$B,Summary!$C187)</f>
        <v>94</v>
      </c>
      <c r="I187" s="60">
        <f ca="1">SUMIFS(OFFSET('BPC Data'!$F:$F,0,Summary!I$2),'BPC Data'!$E:$E,Summary!$D187,'BPC Data'!$B:$B,Summary!$C187)</f>
        <v>94</v>
      </c>
      <c r="J187" s="53">
        <f ca="1">SUMIFS(OFFSET('BPC Data'!$F:$F,0,Summary!J$2),'BPC Data'!$E:$E,Summary!$D187,'BPC Data'!$B:$B,Summary!$C187)</f>
        <v>94</v>
      </c>
      <c r="K187" s="60">
        <f ca="1">SUMIFS(OFFSET('BPC Data'!$F:$F,0,Summary!K$2),'BPC Data'!$E:$E,Summary!$D187,'BPC Data'!$B:$B,Summary!$C187)</f>
        <v>94</v>
      </c>
      <c r="L187" s="53">
        <f ca="1">SUMIFS(OFFSET('BPC Data'!$F:$F,0,Summary!L$2),'BPC Data'!$E:$E,Summary!$D187,'BPC Data'!$B:$B,Summary!$C187)</f>
        <v>94</v>
      </c>
      <c r="M187" s="60">
        <f ca="1">SUMIFS(OFFSET('BPC Data'!$F:$F,0,Summary!M$2),'BPC Data'!$E:$E,Summary!$D187,'BPC Data'!$B:$B,Summary!$C187)</f>
        <v>94</v>
      </c>
      <c r="N187" s="53">
        <f ca="1">SUMIFS(OFFSET('BPC Data'!$F:$F,0,Summary!N$2),'BPC Data'!$E:$E,Summary!$D187,'BPC Data'!$B:$B,Summary!$C187)</f>
        <v>94</v>
      </c>
      <c r="O187" s="18">
        <f ca="1">N187</f>
        <v>94</v>
      </c>
    </row>
    <row r="188" spans="1:15" s="11" customFormat="1" x14ac:dyDescent="0.55000000000000004">
      <c r="A188" s="11">
        <f t="shared" si="39"/>
        <v>17</v>
      </c>
      <c r="B188"/>
      <c r="C188" t="str">
        <f>$F185</f>
        <v>Alamitos-Belmont Rehab Hosp</v>
      </c>
      <c r="D188" s="3" t="str">
        <f t="shared" si="32"/>
        <v>T_REVENUES - Total Tenant Revenues</v>
      </c>
      <c r="E188"/>
      <c r="F188" s="14" t="str">
        <f>_xll.EVDES(D188)</f>
        <v>Total Tenant Revenues</v>
      </c>
      <c r="G188" s="60">
        <f ca="1">SUMIFS(OFFSET('BPC Data'!$F:$F,0,Summary!G$2),'BPC Data'!$E:$E,Summary!$D188,'BPC Data'!$B:$B,Summary!$C188)</f>
        <v>608358.6</v>
      </c>
      <c r="H188" s="53">
        <f ca="1">SUMIFS(OFFSET('BPC Data'!$F:$F,0,Summary!H$2),'BPC Data'!$E:$E,Summary!$D188,'BPC Data'!$B:$B,Summary!$C188)</f>
        <v>806396.44</v>
      </c>
      <c r="I188" s="60">
        <f ca="1">SUMIFS(OFFSET('BPC Data'!$F:$F,0,Summary!I$2),'BPC Data'!$E:$E,Summary!$D188,'BPC Data'!$B:$B,Summary!$C188)</f>
        <v>989495.21</v>
      </c>
      <c r="J188" s="53">
        <f ca="1">SUMIFS(OFFSET('BPC Data'!$F:$F,0,Summary!J$2),'BPC Data'!$E:$E,Summary!$D188,'BPC Data'!$B:$B,Summary!$C188)</f>
        <v>1077007.57</v>
      </c>
      <c r="K188" s="60">
        <f ca="1">SUMIFS(OFFSET('BPC Data'!$F:$F,0,Summary!K$2),'BPC Data'!$E:$E,Summary!$D188,'BPC Data'!$B:$B,Summary!$C188)</f>
        <v>1119768.02</v>
      </c>
      <c r="L188" s="53">
        <f ca="1">SUMIFS(OFFSET('BPC Data'!$F:$F,0,Summary!L$2),'BPC Data'!$E:$E,Summary!$D188,'BPC Data'!$B:$B,Summary!$C188)</f>
        <v>1181215.46</v>
      </c>
      <c r="M188" s="60">
        <f ca="1">SUMIFS(OFFSET('BPC Data'!$F:$F,0,Summary!M$2),'BPC Data'!$E:$E,Summary!$D188,'BPC Data'!$B:$B,Summary!$C188)</f>
        <v>1178306.6100000001</v>
      </c>
      <c r="N188" s="53">
        <f ca="1">SUMIFS(OFFSET('BPC Data'!$F:$F,0,Summary!N$2),'BPC Data'!$E:$E,Summary!$D188,'BPC Data'!$B:$B,Summary!$C188)</f>
        <v>1043496.84</v>
      </c>
      <c r="O188" s="18">
        <f t="shared" ref="O188:O197" ca="1" si="40">SUM(G188:N188)</f>
        <v>8004044.75</v>
      </c>
    </row>
    <row r="189" spans="1:15" s="11" customFormat="1" x14ac:dyDescent="0.55000000000000004">
      <c r="A189" s="11">
        <f t="shared" si="39"/>
        <v>17</v>
      </c>
      <c r="B189"/>
      <c r="C189" t="str">
        <f>$F185</f>
        <v>Alamitos-Belmont Rehab Hosp</v>
      </c>
      <c r="D189" s="3" t="str">
        <f t="shared" si="32"/>
        <v>T_OPEX - Tenant Operating Expenses</v>
      </c>
      <c r="E189"/>
      <c r="F189" s="14" t="str">
        <f>_xll.EVDES(D189)</f>
        <v>Tenant Operating Expenses</v>
      </c>
      <c r="G189" s="60">
        <f ca="1">SUMIFS(OFFSET('BPC Data'!$F:$F,0,Summary!G$2),'BPC Data'!$E:$E,Summary!$D189,'BPC Data'!$B:$B,Summary!$C189)</f>
        <v>553392.22</v>
      </c>
      <c r="H189" s="53">
        <f ca="1">SUMIFS(OFFSET('BPC Data'!$F:$F,0,Summary!H$2),'BPC Data'!$E:$E,Summary!$D189,'BPC Data'!$B:$B,Summary!$C189)</f>
        <v>726963.28</v>
      </c>
      <c r="I189" s="60">
        <f ca="1">SUMIFS(OFFSET('BPC Data'!$F:$F,0,Summary!I$2),'BPC Data'!$E:$E,Summary!$D189,'BPC Data'!$B:$B,Summary!$C189)</f>
        <v>820596.39</v>
      </c>
      <c r="J189" s="53">
        <f ca="1">SUMIFS(OFFSET('BPC Data'!$F:$F,0,Summary!J$2),'BPC Data'!$E:$E,Summary!$D189,'BPC Data'!$B:$B,Summary!$C189)</f>
        <v>789039.07</v>
      </c>
      <c r="K189" s="60">
        <f ca="1">SUMIFS(OFFSET('BPC Data'!$F:$F,0,Summary!K$2),'BPC Data'!$E:$E,Summary!$D189,'BPC Data'!$B:$B,Summary!$C189)</f>
        <v>758895.81</v>
      </c>
      <c r="L189" s="53">
        <f ca="1">SUMIFS(OFFSET('BPC Data'!$F:$F,0,Summary!L$2),'BPC Data'!$E:$E,Summary!$D189,'BPC Data'!$B:$B,Summary!$C189)</f>
        <v>849369.03</v>
      </c>
      <c r="M189" s="60">
        <f ca="1">SUMIFS(OFFSET('BPC Data'!$F:$F,0,Summary!M$2),'BPC Data'!$E:$E,Summary!$D189,'BPC Data'!$B:$B,Summary!$C189)</f>
        <v>871187.3</v>
      </c>
      <c r="N189" s="53">
        <f ca="1">SUMIFS(OFFSET('BPC Data'!$F:$F,0,Summary!N$2),'BPC Data'!$E:$E,Summary!$D189,'BPC Data'!$B:$B,Summary!$C189)</f>
        <v>850362.56</v>
      </c>
      <c r="O189" s="18">
        <f t="shared" ca="1" si="40"/>
        <v>6219805.6600000001</v>
      </c>
    </row>
    <row r="190" spans="1:15" s="11" customFormat="1" x14ac:dyDescent="0.55000000000000004">
      <c r="A190" s="11">
        <f t="shared" si="39"/>
        <v>17</v>
      </c>
      <c r="B190"/>
      <c r="C190" t="str">
        <f>$F185</f>
        <v>Alamitos-Belmont Rehab Hosp</v>
      </c>
      <c r="D190" s="3" t="str">
        <f t="shared" si="32"/>
        <v>T_BAD_DEBT - Tenant Bad Debt Expense</v>
      </c>
      <c r="E190"/>
      <c r="F190" s="14" t="str">
        <f>_xll.EVDES(D190)</f>
        <v>Tenant Bad Debt Expense</v>
      </c>
      <c r="G190" s="60">
        <f ca="1">SUMIFS(OFFSET('BPC Data'!$F:$F,0,Summary!G$2),'BPC Data'!$E:$E,Summary!$D190,'BPC Data'!$B:$B,Summary!$C190)</f>
        <v>-11879.73</v>
      </c>
      <c r="H190" s="53">
        <f ca="1">SUMIFS(OFFSET('BPC Data'!$F:$F,0,Summary!H$2),'BPC Data'!$E:$E,Summary!$D190,'BPC Data'!$B:$B,Summary!$C190)</f>
        <v>-5421.02</v>
      </c>
      <c r="I190" s="60">
        <f ca="1">SUMIFS(OFFSET('BPC Data'!$F:$F,0,Summary!I$2),'BPC Data'!$E:$E,Summary!$D190,'BPC Data'!$B:$B,Summary!$C190)</f>
        <v>41044.980000000003</v>
      </c>
      <c r="J190" s="53">
        <f ca="1">SUMIFS(OFFSET('BPC Data'!$F:$F,0,Summary!J$2),'BPC Data'!$E:$E,Summary!$D190,'BPC Data'!$B:$B,Summary!$C190)</f>
        <v>-29186.34</v>
      </c>
      <c r="K190" s="60">
        <f ca="1">SUMIFS(OFFSET('BPC Data'!$F:$F,0,Summary!K$2),'BPC Data'!$E:$E,Summary!$D190,'BPC Data'!$B:$B,Summary!$C190)</f>
        <v>-89618.27</v>
      </c>
      <c r="L190" s="53">
        <f ca="1">SUMIFS(OFFSET('BPC Data'!$F:$F,0,Summary!L$2),'BPC Data'!$E:$E,Summary!$D190,'BPC Data'!$B:$B,Summary!$C190)</f>
        <v>-16201.58</v>
      </c>
      <c r="M190" s="60">
        <f ca="1">SUMIFS(OFFSET('BPC Data'!$F:$F,0,Summary!M$2),'BPC Data'!$E:$E,Summary!$D190,'BPC Data'!$B:$B,Summary!$C190)</f>
        <v>-29632.57</v>
      </c>
      <c r="N190" s="53">
        <f ca="1">SUMIFS(OFFSET('BPC Data'!$F:$F,0,Summary!N$2),'BPC Data'!$E:$E,Summary!$D190,'BPC Data'!$B:$B,Summary!$C190)</f>
        <v>12267.61</v>
      </c>
      <c r="O190" s="18">
        <f t="shared" ca="1" si="40"/>
        <v>-128626.92</v>
      </c>
    </row>
    <row r="191" spans="1:15" s="11" customFormat="1" x14ac:dyDescent="0.55000000000000004">
      <c r="A191" s="11">
        <f t="shared" si="39"/>
        <v>17</v>
      </c>
      <c r="B191"/>
      <c r="C191" t="str">
        <f>$F185</f>
        <v>Alamitos-Belmont Rehab Hosp</v>
      </c>
      <c r="D191" s="2" t="str">
        <f t="shared" si="32"/>
        <v>T_EBITDARM - EBITDARM</v>
      </c>
      <c r="E191"/>
      <c r="F191" s="14" t="str">
        <f>_xll.EVDES(D191)</f>
        <v>EBITDARM</v>
      </c>
      <c r="G191" s="60">
        <f ca="1">SUMIFS(OFFSET('BPC Data'!$F:$F,0,Summary!G$2),'BPC Data'!$E:$E,Summary!$D191,'BPC Data'!$B:$B,Summary!$C191)</f>
        <v>54966.380000000099</v>
      </c>
      <c r="H191" s="53">
        <f ca="1">SUMIFS(OFFSET('BPC Data'!$F:$F,0,Summary!H$2),'BPC Data'!$E:$E,Summary!$D191,'BPC Data'!$B:$B,Summary!$C191)</f>
        <v>79433.16</v>
      </c>
      <c r="I191" s="60">
        <f ca="1">SUMIFS(OFFSET('BPC Data'!$F:$F,0,Summary!I$2),'BPC Data'!$E:$E,Summary!$D191,'BPC Data'!$B:$B,Summary!$C191)</f>
        <v>168898.82</v>
      </c>
      <c r="J191" s="53">
        <f ca="1">SUMIFS(OFFSET('BPC Data'!$F:$F,0,Summary!J$2),'BPC Data'!$E:$E,Summary!$D191,'BPC Data'!$B:$B,Summary!$C191)</f>
        <v>287968.5</v>
      </c>
      <c r="K191" s="60">
        <f ca="1">SUMIFS(OFFSET('BPC Data'!$F:$F,0,Summary!K$2),'BPC Data'!$E:$E,Summary!$D191,'BPC Data'!$B:$B,Summary!$C191)</f>
        <v>360872.21</v>
      </c>
      <c r="L191" s="53">
        <f ca="1">SUMIFS(OFFSET('BPC Data'!$F:$F,0,Summary!L$2),'BPC Data'!$E:$E,Summary!$D191,'BPC Data'!$B:$B,Summary!$C191)</f>
        <v>331846.43</v>
      </c>
      <c r="M191" s="60">
        <f ca="1">SUMIFS(OFFSET('BPC Data'!$F:$F,0,Summary!M$2),'BPC Data'!$E:$E,Summary!$D191,'BPC Data'!$B:$B,Summary!$C191)</f>
        <v>307119.31</v>
      </c>
      <c r="N191" s="53">
        <f ca="1">SUMIFS(OFFSET('BPC Data'!$F:$F,0,Summary!N$2),'BPC Data'!$E:$E,Summary!$D191,'BPC Data'!$B:$B,Summary!$C191)</f>
        <v>193134.28</v>
      </c>
      <c r="O191" s="18">
        <f t="shared" ca="1" si="40"/>
        <v>1784239.09</v>
      </c>
    </row>
    <row r="192" spans="1:15" s="11" customFormat="1" x14ac:dyDescent="0.55000000000000004">
      <c r="A192" s="11">
        <f t="shared" si="39"/>
        <v>17</v>
      </c>
      <c r="B192"/>
      <c r="C192" t="str">
        <f>$F185</f>
        <v>Alamitos-Belmont Rehab Hosp</v>
      </c>
      <c r="D192" s="2" t="str">
        <f t="shared" si="32"/>
        <v>T_MGMT_FEE - Tenant Management Fee - Actual</v>
      </c>
      <c r="E192"/>
      <c r="F192" s="14" t="str">
        <f>_xll.EVDES(D192)</f>
        <v>Tenant Management Fee - Actual</v>
      </c>
      <c r="G192" s="60">
        <f ca="1">SUMIFS(OFFSET('BPC Data'!$F:$F,0,Summary!G$2),'BPC Data'!$E:$E,Summary!$D192,'BPC Data'!$B:$B,Summary!$C192)</f>
        <v>31985</v>
      </c>
      <c r="H192" s="53">
        <f ca="1">SUMIFS(OFFSET('BPC Data'!$F:$F,0,Summary!H$2),'BPC Data'!$E:$E,Summary!$D192,'BPC Data'!$B:$B,Summary!$C192)</f>
        <v>30417</v>
      </c>
      <c r="I192" s="60">
        <f ca="1">SUMIFS(OFFSET('BPC Data'!$F:$F,0,Summary!I$2),'BPC Data'!$E:$E,Summary!$D192,'BPC Data'!$B:$B,Summary!$C192)</f>
        <v>40319</v>
      </c>
      <c r="J192" s="53">
        <f ca="1">SUMIFS(OFFSET('BPC Data'!$F:$F,0,Summary!J$2),'BPC Data'!$E:$E,Summary!$D192,'BPC Data'!$B:$B,Summary!$C192)</f>
        <v>49474</v>
      </c>
      <c r="K192" s="60">
        <f ca="1">SUMIFS(OFFSET('BPC Data'!$F:$F,0,Summary!K$2),'BPC Data'!$E:$E,Summary!$D192,'BPC Data'!$B:$B,Summary!$C192)</f>
        <v>53850</v>
      </c>
      <c r="L192" s="53">
        <f ca="1">SUMIFS(OFFSET('BPC Data'!$F:$F,0,Summary!L$2),'BPC Data'!$E:$E,Summary!$D192,'BPC Data'!$B:$B,Summary!$C192)</f>
        <v>55988</v>
      </c>
      <c r="M192" s="60">
        <f ca="1">SUMIFS(OFFSET('BPC Data'!$F:$F,0,Summary!M$2),'BPC Data'!$E:$E,Summary!$D192,'BPC Data'!$B:$B,Summary!$C192)</f>
        <v>59060</v>
      </c>
      <c r="N192" s="53">
        <f ca="1">SUMIFS(OFFSET('BPC Data'!$F:$F,0,Summary!N$2),'BPC Data'!$E:$E,Summary!$D192,'BPC Data'!$B:$B,Summary!$C192)</f>
        <v>58915</v>
      </c>
      <c r="O192" s="18">
        <f t="shared" ca="1" si="40"/>
        <v>380008</v>
      </c>
    </row>
    <row r="193" spans="1:15" s="11" customFormat="1" x14ac:dyDescent="0.55000000000000004">
      <c r="A193" s="11">
        <f t="shared" si="39"/>
        <v>17</v>
      </c>
      <c r="B193"/>
      <c r="C193" t="str">
        <f>$F185</f>
        <v>Alamitos-Belmont Rehab Hosp</v>
      </c>
      <c r="D193" s="1" t="str">
        <f t="shared" si="32"/>
        <v>T_EBITDAR - EBITDAR</v>
      </c>
      <c r="E193"/>
      <c r="F193" s="14" t="str">
        <f>_xll.EVDES(D193)</f>
        <v>EBITDAR</v>
      </c>
      <c r="G193" s="60">
        <f ca="1">SUMIFS(OFFSET('BPC Data'!$F:$F,0,Summary!G$2),'BPC Data'!$E:$E,Summary!$D193,'BPC Data'!$B:$B,Summary!$C193)</f>
        <v>22981.380000000099</v>
      </c>
      <c r="H193" s="53">
        <f ca="1">SUMIFS(OFFSET('BPC Data'!$F:$F,0,Summary!H$2),'BPC Data'!$E:$E,Summary!$D193,'BPC Data'!$B:$B,Summary!$C193)</f>
        <v>49016.160000000003</v>
      </c>
      <c r="I193" s="60">
        <f ca="1">SUMIFS(OFFSET('BPC Data'!$F:$F,0,Summary!I$2),'BPC Data'!$E:$E,Summary!$D193,'BPC Data'!$B:$B,Summary!$C193)</f>
        <v>128579.82</v>
      </c>
      <c r="J193" s="53">
        <f ca="1">SUMIFS(OFFSET('BPC Data'!$F:$F,0,Summary!J$2),'BPC Data'!$E:$E,Summary!$D193,'BPC Data'!$B:$B,Summary!$C193)</f>
        <v>238494.5</v>
      </c>
      <c r="K193" s="60">
        <f ca="1">SUMIFS(OFFSET('BPC Data'!$F:$F,0,Summary!K$2),'BPC Data'!$E:$E,Summary!$D193,'BPC Data'!$B:$B,Summary!$C193)</f>
        <v>307022.21000000002</v>
      </c>
      <c r="L193" s="53">
        <f ca="1">SUMIFS(OFFSET('BPC Data'!$F:$F,0,Summary!L$2),'BPC Data'!$E:$E,Summary!$D193,'BPC Data'!$B:$B,Summary!$C193)</f>
        <v>275858.43</v>
      </c>
      <c r="M193" s="60">
        <f ca="1">SUMIFS(OFFSET('BPC Data'!$F:$F,0,Summary!M$2),'BPC Data'!$E:$E,Summary!$D193,'BPC Data'!$B:$B,Summary!$C193)</f>
        <v>248059.31</v>
      </c>
      <c r="N193" s="53">
        <f ca="1">SUMIFS(OFFSET('BPC Data'!$F:$F,0,Summary!N$2),'BPC Data'!$E:$E,Summary!$D193,'BPC Data'!$B:$B,Summary!$C193)</f>
        <v>134219.28</v>
      </c>
      <c r="O193" s="18">
        <f t="shared" ca="1" si="40"/>
        <v>1404231.09</v>
      </c>
    </row>
    <row r="194" spans="1:15" s="11" customFormat="1" x14ac:dyDescent="0.55000000000000004">
      <c r="A194" s="11">
        <f t="shared" si="39"/>
        <v>17</v>
      </c>
      <c r="B194"/>
      <c r="C194" t="str">
        <f>$F185</f>
        <v>Alamitos-Belmont Rehab Hosp</v>
      </c>
      <c r="D194" s="1" t="str">
        <f t="shared" si="32"/>
        <v>T_RENT_EXP - Tenant Rent Expense</v>
      </c>
      <c r="E194"/>
      <c r="F194" s="14" t="str">
        <f>_xll.EVDES(D194)</f>
        <v>Tenant Rent Expense</v>
      </c>
      <c r="G194" s="60">
        <f ca="1">SUMIFS(OFFSET('BPC Data'!$F:$F,0,Summary!G$2),'BPC Data'!$E:$E,Summary!$D194,'BPC Data'!$B:$B,Summary!$C194)</f>
        <v>182712.27</v>
      </c>
      <c r="H194" s="53">
        <f ca="1">SUMIFS(OFFSET('BPC Data'!$F:$F,0,Summary!H$2),'BPC Data'!$E:$E,Summary!$D194,'BPC Data'!$B:$B,Summary!$C194)</f>
        <v>182712.27</v>
      </c>
      <c r="I194" s="60">
        <f ca="1">SUMIFS(OFFSET('BPC Data'!$F:$F,0,Summary!I$2),'BPC Data'!$E:$E,Summary!$D194,'BPC Data'!$B:$B,Summary!$C194)</f>
        <v>182712.27</v>
      </c>
      <c r="J194" s="53">
        <f ca="1">SUMIFS(OFFSET('BPC Data'!$F:$F,0,Summary!J$2),'BPC Data'!$E:$E,Summary!$D194,'BPC Data'!$B:$B,Summary!$C194)</f>
        <v>182712.27</v>
      </c>
      <c r="K194" s="60">
        <f ca="1">SUMIFS(OFFSET('BPC Data'!$F:$F,0,Summary!K$2),'BPC Data'!$E:$E,Summary!$D194,'BPC Data'!$B:$B,Summary!$C194)</f>
        <v>182712.27</v>
      </c>
      <c r="L194" s="53">
        <f ca="1">SUMIFS(OFFSET('BPC Data'!$F:$F,0,Summary!L$2),'BPC Data'!$E:$E,Summary!$D194,'BPC Data'!$B:$B,Summary!$C194)</f>
        <v>182712.27</v>
      </c>
      <c r="M194" s="60">
        <f ca="1">SUMIFS(OFFSET('BPC Data'!$F:$F,0,Summary!M$2),'BPC Data'!$E:$E,Summary!$D194,'BPC Data'!$B:$B,Summary!$C194)</f>
        <v>182712.27</v>
      </c>
      <c r="N194" s="53">
        <f ca="1">SUMIFS(OFFSET('BPC Data'!$F:$F,0,Summary!N$2),'BPC Data'!$E:$E,Summary!$D194,'BPC Data'!$B:$B,Summary!$C194)</f>
        <v>182712.27</v>
      </c>
      <c r="O194" s="18">
        <f t="shared" ca="1" si="40"/>
        <v>1461698.16</v>
      </c>
    </row>
    <row r="195" spans="1:15" s="11" customFormat="1" x14ac:dyDescent="0.55000000000000004">
      <c r="A195" s="11">
        <f t="shared" si="39"/>
        <v>17</v>
      </c>
      <c r="B195"/>
      <c r="C195"/>
      <c r="D195" s="1" t="str">
        <f t="shared" si="32"/>
        <v>x</v>
      </c>
      <c r="E195"/>
      <c r="F195" s="14" t="s">
        <v>0</v>
      </c>
      <c r="G195" s="61">
        <f ca="1">SUMIFS(OFFSET('BPC Data'!$F:$F,0,Summary!G$2),'BPC Data'!$E:$E,Summary!$D195,'BPC Data'!$B:$B,Summary!$C195)</f>
        <v>0</v>
      </c>
      <c r="H195" s="54">
        <f ca="1">SUMIFS(OFFSET('BPC Data'!$F:$F,0,Summary!H$2),'BPC Data'!$E:$E,Summary!$D195,'BPC Data'!$B:$B,Summary!$C195)</f>
        <v>0</v>
      </c>
      <c r="I195" s="61">
        <f ca="1">SUMIFS(OFFSET('BPC Data'!$F:$F,0,Summary!I$2),'BPC Data'!$E:$E,Summary!$D195,'BPC Data'!$B:$B,Summary!$C195)</f>
        <v>0</v>
      </c>
      <c r="J195" s="54">
        <f ca="1">SUMIFS(OFFSET('BPC Data'!$F:$F,0,Summary!J$2),'BPC Data'!$E:$E,Summary!$D195,'BPC Data'!$B:$B,Summary!$C195)</f>
        <v>0</v>
      </c>
      <c r="K195" s="61">
        <f ca="1">SUMIFS(OFFSET('BPC Data'!$F:$F,0,Summary!K$2),'BPC Data'!$E:$E,Summary!$D195,'BPC Data'!$B:$B,Summary!$C195)</f>
        <v>0</v>
      </c>
      <c r="L195" s="54">
        <f ca="1">SUMIFS(OFFSET('BPC Data'!$F:$F,0,Summary!L$2),'BPC Data'!$E:$E,Summary!$D195,'BPC Data'!$B:$B,Summary!$C195)</f>
        <v>0</v>
      </c>
      <c r="M195" s="61">
        <f ca="1">SUMIFS(OFFSET('BPC Data'!$F:$F,0,Summary!M$2),'BPC Data'!$E:$E,Summary!$D195,'BPC Data'!$B:$B,Summary!$C195)</f>
        <v>0</v>
      </c>
      <c r="N195" s="54">
        <f ca="1">SUMIFS(OFFSET('BPC Data'!$F:$F,0,Summary!N$2),'BPC Data'!$E:$E,Summary!$D195,'BPC Data'!$B:$B,Summary!$C195)</f>
        <v>0</v>
      </c>
      <c r="O195" s="18">
        <f t="shared" ca="1" si="40"/>
        <v>0</v>
      </c>
    </row>
    <row r="196" spans="1:15" s="11" customFormat="1" x14ac:dyDescent="0.55000000000000004">
      <c r="A196" s="11">
        <f>IF(AND(D196&lt;&gt;"",C196=""),A195+1,A195)</f>
        <v>18</v>
      </c>
      <c r="B196" s="4"/>
      <c r="C196" s="4"/>
      <c r="D196" s="4" t="str">
        <f t="shared" si="32"/>
        <v>x</v>
      </c>
      <c r="E196" s="4"/>
      <c r="F196" s="13" t="str">
        <f>INDEX(PropertyList!$D:$D,MATCH(Summary!$A196,PropertyList!$C:$C,0))</f>
        <v>Edgewater Skilled Nursing Ctr</v>
      </c>
      <c r="G196" s="59">
        <f ca="1">SUMIFS(OFFSET('BPC Data'!$F:$F,0,Summary!G$2),'BPC Data'!$E:$E,Summary!$D196,'BPC Data'!$B:$B,Summary!$C196)</f>
        <v>0</v>
      </c>
      <c r="H196" s="52">
        <f ca="1">SUMIFS(OFFSET('BPC Data'!$F:$F,0,Summary!H$2),'BPC Data'!$E:$E,Summary!$D196,'BPC Data'!$B:$B,Summary!$C196)</f>
        <v>0</v>
      </c>
      <c r="I196" s="59">
        <f ca="1">SUMIFS(OFFSET('BPC Data'!$F:$F,0,Summary!I$2),'BPC Data'!$E:$E,Summary!$D196,'BPC Data'!$B:$B,Summary!$C196)</f>
        <v>0</v>
      </c>
      <c r="J196" s="52">
        <f ca="1">SUMIFS(OFFSET('BPC Data'!$F:$F,0,Summary!J$2),'BPC Data'!$E:$E,Summary!$D196,'BPC Data'!$B:$B,Summary!$C196)</f>
        <v>0</v>
      </c>
      <c r="K196" s="59">
        <f ca="1">SUMIFS(OFFSET('BPC Data'!$F:$F,0,Summary!K$2),'BPC Data'!$E:$E,Summary!$D196,'BPC Data'!$B:$B,Summary!$C196)</f>
        <v>0</v>
      </c>
      <c r="L196" s="52">
        <f ca="1">SUMIFS(OFFSET('BPC Data'!$F:$F,0,Summary!L$2),'BPC Data'!$E:$E,Summary!$D196,'BPC Data'!$B:$B,Summary!$C196)</f>
        <v>0</v>
      </c>
      <c r="M196" s="59">
        <f ca="1">SUMIFS(OFFSET('BPC Data'!$F:$F,0,Summary!M$2),'BPC Data'!$E:$E,Summary!$D196,'BPC Data'!$B:$B,Summary!$C196)</f>
        <v>0</v>
      </c>
      <c r="N196" s="52">
        <f ca="1">SUMIFS(OFFSET('BPC Data'!$F:$F,0,Summary!N$2),'BPC Data'!$E:$E,Summary!$D196,'BPC Data'!$B:$B,Summary!$C196)</f>
        <v>0</v>
      </c>
      <c r="O196" s="18">
        <f t="shared" ca="1" si="40"/>
        <v>0</v>
      </c>
    </row>
    <row r="197" spans="1:15" s="11" customFormat="1" x14ac:dyDescent="0.55000000000000004">
      <c r="A197" s="11">
        <f>IF(AND(F197&lt;&gt;"",D197=""),A196+1,A196)</f>
        <v>18</v>
      </c>
      <c r="C197" t="str">
        <f>$F196</f>
        <v>Edgewater Skilled Nursing Ctr</v>
      </c>
      <c r="D197" s="3" t="str">
        <f t="shared" si="32"/>
        <v>PAY_PAT_DAYS - Total Payor Patient Days</v>
      </c>
      <c r="F197" s="14" t="str">
        <f>_xll.EVDES(D197)</f>
        <v>Total Payor Patient Days</v>
      </c>
      <c r="G197" s="60">
        <f ca="1">SUMIFS(OFFSET('BPC Data'!$F:$F,0,Summary!G$2),'BPC Data'!$E:$E,Summary!$D197,'BPC Data'!$B:$B,Summary!$C197)</f>
        <v>1963</v>
      </c>
      <c r="H197" s="53">
        <f ca="1">SUMIFS(OFFSET('BPC Data'!$F:$F,0,Summary!H$2),'BPC Data'!$E:$E,Summary!$D197,'BPC Data'!$B:$B,Summary!$C197)</f>
        <v>1576</v>
      </c>
      <c r="I197" s="60">
        <f ca="1">SUMIFS(OFFSET('BPC Data'!$F:$F,0,Summary!I$2),'BPC Data'!$E:$E,Summary!$D197,'BPC Data'!$B:$B,Summary!$C197)</f>
        <v>1877</v>
      </c>
      <c r="J197" s="53">
        <f ca="1">SUMIFS(OFFSET('BPC Data'!$F:$F,0,Summary!J$2),'BPC Data'!$E:$E,Summary!$D197,'BPC Data'!$B:$B,Summary!$C197)</f>
        <v>1882</v>
      </c>
      <c r="K197" s="60">
        <f ca="1">SUMIFS(OFFSET('BPC Data'!$F:$F,0,Summary!K$2),'BPC Data'!$E:$E,Summary!$D197,'BPC Data'!$B:$B,Summary!$C197)</f>
        <v>1942</v>
      </c>
      <c r="L197" s="53">
        <f ca="1">SUMIFS(OFFSET('BPC Data'!$F:$F,0,Summary!L$2),'BPC Data'!$E:$E,Summary!$D197,'BPC Data'!$B:$B,Summary!$C197)</f>
        <v>1950</v>
      </c>
      <c r="M197" s="60">
        <f ca="1">SUMIFS(OFFSET('BPC Data'!$F:$F,0,Summary!M$2),'BPC Data'!$E:$E,Summary!$D197,'BPC Data'!$B:$B,Summary!$C197)</f>
        <v>2060</v>
      </c>
      <c r="N197" s="53">
        <f ca="1">SUMIFS(OFFSET('BPC Data'!$F:$F,0,Summary!N$2),'BPC Data'!$E:$E,Summary!$D197,'BPC Data'!$B:$B,Summary!$C197)</f>
        <v>2099</v>
      </c>
      <c r="O197" s="18">
        <f t="shared" ca="1" si="40"/>
        <v>15349</v>
      </c>
    </row>
    <row r="198" spans="1:15" s="11" customFormat="1" x14ac:dyDescent="0.55000000000000004">
      <c r="A198" s="11">
        <f t="shared" ref="A198:A206" si="41">IF(AND(F198&lt;&gt;"",D198=""),A197+1,A197)</f>
        <v>18</v>
      </c>
      <c r="C198" t="str">
        <f>$F196</f>
        <v>Edgewater Skilled Nursing Ctr</v>
      </c>
      <c r="D198" s="3" t="str">
        <f t="shared" si="32"/>
        <v>A_BEDS_TOTAL - Total Available Beds</v>
      </c>
      <c r="F198" s="14" t="str">
        <f>_xll.EVDES(D198)</f>
        <v>Total Available Beds</v>
      </c>
      <c r="G198" s="60">
        <f ca="1">SUMIFS(OFFSET('BPC Data'!$F:$F,0,Summary!G$2),'BPC Data'!$E:$E,Summary!$D198,'BPC Data'!$B:$B,Summary!$C198)</f>
        <v>81</v>
      </c>
      <c r="H198" s="53">
        <f ca="1">SUMIFS(OFFSET('BPC Data'!$F:$F,0,Summary!H$2),'BPC Data'!$E:$E,Summary!$D198,'BPC Data'!$B:$B,Summary!$C198)</f>
        <v>81</v>
      </c>
      <c r="I198" s="60">
        <f ca="1">SUMIFS(OFFSET('BPC Data'!$F:$F,0,Summary!I$2),'BPC Data'!$E:$E,Summary!$D198,'BPC Data'!$B:$B,Summary!$C198)</f>
        <v>81</v>
      </c>
      <c r="J198" s="53">
        <f ca="1">SUMIFS(OFFSET('BPC Data'!$F:$F,0,Summary!J$2),'BPC Data'!$E:$E,Summary!$D198,'BPC Data'!$B:$B,Summary!$C198)</f>
        <v>81</v>
      </c>
      <c r="K198" s="60">
        <f ca="1">SUMIFS(OFFSET('BPC Data'!$F:$F,0,Summary!K$2),'BPC Data'!$E:$E,Summary!$D198,'BPC Data'!$B:$B,Summary!$C198)</f>
        <v>81</v>
      </c>
      <c r="L198" s="53">
        <f ca="1">SUMIFS(OFFSET('BPC Data'!$F:$F,0,Summary!L$2),'BPC Data'!$E:$E,Summary!$D198,'BPC Data'!$B:$B,Summary!$C198)</f>
        <v>81</v>
      </c>
      <c r="M198" s="60">
        <f ca="1">SUMIFS(OFFSET('BPC Data'!$F:$F,0,Summary!M$2),'BPC Data'!$E:$E,Summary!$D198,'BPC Data'!$B:$B,Summary!$C198)</f>
        <v>81</v>
      </c>
      <c r="N198" s="53">
        <f ca="1">SUMIFS(OFFSET('BPC Data'!$F:$F,0,Summary!N$2),'BPC Data'!$E:$E,Summary!$D198,'BPC Data'!$B:$B,Summary!$C198)</f>
        <v>81</v>
      </c>
      <c r="O198" s="18">
        <f ca="1">N198</f>
        <v>81</v>
      </c>
    </row>
    <row r="199" spans="1:15" s="11" customFormat="1" x14ac:dyDescent="0.55000000000000004">
      <c r="A199" s="11">
        <f t="shared" si="41"/>
        <v>18</v>
      </c>
      <c r="B199"/>
      <c r="C199" t="str">
        <f>$F196</f>
        <v>Edgewater Skilled Nursing Ctr</v>
      </c>
      <c r="D199" s="3" t="str">
        <f t="shared" si="32"/>
        <v>T_REVENUES - Total Tenant Revenues</v>
      </c>
      <c r="E199"/>
      <c r="F199" s="14" t="str">
        <f>_xll.EVDES(D199)</f>
        <v>Total Tenant Revenues</v>
      </c>
      <c r="G199" s="60">
        <f ca="1">SUMIFS(OFFSET('BPC Data'!$F:$F,0,Summary!G$2),'BPC Data'!$E:$E,Summary!$D199,'BPC Data'!$B:$B,Summary!$C199)</f>
        <v>1167839.74</v>
      </c>
      <c r="H199" s="53">
        <f ca="1">SUMIFS(OFFSET('BPC Data'!$F:$F,0,Summary!H$2),'BPC Data'!$E:$E,Summary!$D199,'BPC Data'!$B:$B,Summary!$C199)</f>
        <v>1146439.52</v>
      </c>
      <c r="I199" s="60">
        <f ca="1">SUMIFS(OFFSET('BPC Data'!$F:$F,0,Summary!I$2),'BPC Data'!$E:$E,Summary!$D199,'BPC Data'!$B:$B,Summary!$C199)</f>
        <v>897446.58</v>
      </c>
      <c r="J199" s="53">
        <f ca="1">SUMIFS(OFFSET('BPC Data'!$F:$F,0,Summary!J$2),'BPC Data'!$E:$E,Summary!$D199,'BPC Data'!$B:$B,Summary!$C199)</f>
        <v>832065.67</v>
      </c>
      <c r="K199" s="60">
        <f ca="1">SUMIFS(OFFSET('BPC Data'!$F:$F,0,Summary!K$2),'BPC Data'!$E:$E,Summary!$D199,'BPC Data'!$B:$B,Summary!$C199)</f>
        <v>910392.75</v>
      </c>
      <c r="L199" s="53">
        <f ca="1">SUMIFS(OFFSET('BPC Data'!$F:$F,0,Summary!L$2),'BPC Data'!$E:$E,Summary!$D199,'BPC Data'!$B:$B,Summary!$C199)</f>
        <v>916296.65</v>
      </c>
      <c r="M199" s="60">
        <f ca="1">SUMIFS(OFFSET('BPC Data'!$F:$F,0,Summary!M$2),'BPC Data'!$E:$E,Summary!$D199,'BPC Data'!$B:$B,Summary!$C199)</f>
        <v>944566.15</v>
      </c>
      <c r="N199" s="53">
        <f ca="1">SUMIFS(OFFSET('BPC Data'!$F:$F,0,Summary!N$2),'BPC Data'!$E:$E,Summary!$D199,'BPC Data'!$B:$B,Summary!$C199)</f>
        <v>980681.84</v>
      </c>
      <c r="O199" s="18">
        <f t="shared" ref="O199:O208" ca="1" si="42">SUM(G199:N199)</f>
        <v>7795728.9000000004</v>
      </c>
    </row>
    <row r="200" spans="1:15" s="11" customFormat="1" x14ac:dyDescent="0.55000000000000004">
      <c r="A200" s="11">
        <f t="shared" si="41"/>
        <v>18</v>
      </c>
      <c r="B200"/>
      <c r="C200" t="str">
        <f>$F196</f>
        <v>Edgewater Skilled Nursing Ctr</v>
      </c>
      <c r="D200" s="3" t="str">
        <f t="shared" si="32"/>
        <v>T_OPEX - Tenant Operating Expenses</v>
      </c>
      <c r="E200"/>
      <c r="F200" s="14" t="str">
        <f>_xll.EVDES(D200)</f>
        <v>Tenant Operating Expenses</v>
      </c>
      <c r="G200" s="60">
        <f ca="1">SUMIFS(OFFSET('BPC Data'!$F:$F,0,Summary!G$2),'BPC Data'!$E:$E,Summary!$D200,'BPC Data'!$B:$B,Summary!$C200)</f>
        <v>722790.22</v>
      </c>
      <c r="H200" s="53">
        <f ca="1">SUMIFS(OFFSET('BPC Data'!$F:$F,0,Summary!H$2),'BPC Data'!$E:$E,Summary!$D200,'BPC Data'!$B:$B,Summary!$C200)</f>
        <v>623262.04</v>
      </c>
      <c r="I200" s="60">
        <f ca="1">SUMIFS(OFFSET('BPC Data'!$F:$F,0,Summary!I$2),'BPC Data'!$E:$E,Summary!$D200,'BPC Data'!$B:$B,Summary!$C200)</f>
        <v>696212.78</v>
      </c>
      <c r="J200" s="53">
        <f ca="1">SUMIFS(OFFSET('BPC Data'!$F:$F,0,Summary!J$2),'BPC Data'!$E:$E,Summary!$D200,'BPC Data'!$B:$B,Summary!$C200)</f>
        <v>662835.47</v>
      </c>
      <c r="K200" s="60">
        <f ca="1">SUMIFS(OFFSET('BPC Data'!$F:$F,0,Summary!K$2),'BPC Data'!$E:$E,Summary!$D200,'BPC Data'!$B:$B,Summary!$C200)</f>
        <v>674422.28</v>
      </c>
      <c r="L200" s="53">
        <f ca="1">SUMIFS(OFFSET('BPC Data'!$F:$F,0,Summary!L$2),'BPC Data'!$E:$E,Summary!$D200,'BPC Data'!$B:$B,Summary!$C200)</f>
        <v>640123.36</v>
      </c>
      <c r="M200" s="60">
        <f ca="1">SUMIFS(OFFSET('BPC Data'!$F:$F,0,Summary!M$2),'BPC Data'!$E:$E,Summary!$D200,'BPC Data'!$B:$B,Summary!$C200)</f>
        <v>758133.94</v>
      </c>
      <c r="N200" s="53">
        <f ca="1">SUMIFS(OFFSET('BPC Data'!$F:$F,0,Summary!N$2),'BPC Data'!$E:$E,Summary!$D200,'BPC Data'!$B:$B,Summary!$C200)</f>
        <v>656908.6</v>
      </c>
      <c r="O200" s="18">
        <f t="shared" ca="1" si="42"/>
        <v>5434688.6899999995</v>
      </c>
    </row>
    <row r="201" spans="1:15" s="11" customFormat="1" x14ac:dyDescent="0.55000000000000004">
      <c r="A201" s="11">
        <f t="shared" si="41"/>
        <v>18</v>
      </c>
      <c r="B201"/>
      <c r="C201" t="str">
        <f>$F196</f>
        <v>Edgewater Skilled Nursing Ctr</v>
      </c>
      <c r="D201" s="3" t="str">
        <f t="shared" si="32"/>
        <v>T_BAD_DEBT - Tenant Bad Debt Expense</v>
      </c>
      <c r="E201"/>
      <c r="F201" s="14" t="str">
        <f>_xll.EVDES(D201)</f>
        <v>Tenant Bad Debt Expense</v>
      </c>
      <c r="G201" s="60">
        <f ca="1">SUMIFS(OFFSET('BPC Data'!$F:$F,0,Summary!G$2),'BPC Data'!$E:$E,Summary!$D201,'BPC Data'!$B:$B,Summary!$C201)</f>
        <v>12839.6</v>
      </c>
      <c r="H201" s="53">
        <f ca="1">SUMIFS(OFFSET('BPC Data'!$F:$F,0,Summary!H$2),'BPC Data'!$E:$E,Summary!$D201,'BPC Data'!$B:$B,Summary!$C201)</f>
        <v>-65522.14</v>
      </c>
      <c r="I201" s="60">
        <f ca="1">SUMIFS(OFFSET('BPC Data'!$F:$F,0,Summary!I$2),'BPC Data'!$E:$E,Summary!$D201,'BPC Data'!$B:$B,Summary!$C201)</f>
        <v>-19980.759999999998</v>
      </c>
      <c r="J201" s="53">
        <f ca="1">SUMIFS(OFFSET('BPC Data'!$F:$F,0,Summary!J$2),'BPC Data'!$E:$E,Summary!$D201,'BPC Data'!$B:$B,Summary!$C201)</f>
        <v>31906.43</v>
      </c>
      <c r="K201" s="60">
        <f ca="1">SUMIFS(OFFSET('BPC Data'!$F:$F,0,Summary!K$2),'BPC Data'!$E:$E,Summary!$D201,'BPC Data'!$B:$B,Summary!$C201)</f>
        <v>21335.8</v>
      </c>
      <c r="L201" s="53">
        <f ca="1">SUMIFS(OFFSET('BPC Data'!$F:$F,0,Summary!L$2),'BPC Data'!$E:$E,Summary!$D201,'BPC Data'!$B:$B,Summary!$C201)</f>
        <v>-29215.49</v>
      </c>
      <c r="M201" s="60">
        <f ca="1">SUMIFS(OFFSET('BPC Data'!$F:$F,0,Summary!M$2),'BPC Data'!$E:$E,Summary!$D201,'BPC Data'!$B:$B,Summary!$C201)</f>
        <v>82977.789999999994</v>
      </c>
      <c r="N201" s="53">
        <f ca="1">SUMIFS(OFFSET('BPC Data'!$F:$F,0,Summary!N$2),'BPC Data'!$E:$E,Summary!$D201,'BPC Data'!$B:$B,Summary!$C201)</f>
        <v>-29986.62</v>
      </c>
      <c r="O201" s="18">
        <f t="shared" ca="1" si="42"/>
        <v>4354.6099999999897</v>
      </c>
    </row>
    <row r="202" spans="1:15" s="11" customFormat="1" x14ac:dyDescent="0.55000000000000004">
      <c r="A202" s="11">
        <f t="shared" si="41"/>
        <v>18</v>
      </c>
      <c r="B202"/>
      <c r="C202" t="str">
        <f>$F196</f>
        <v>Edgewater Skilled Nursing Ctr</v>
      </c>
      <c r="D202" s="2" t="str">
        <f t="shared" si="32"/>
        <v>T_EBITDARM - EBITDARM</v>
      </c>
      <c r="E202"/>
      <c r="F202" s="14" t="str">
        <f>_xll.EVDES(D202)</f>
        <v>EBITDARM</v>
      </c>
      <c r="G202" s="60">
        <f ca="1">SUMIFS(OFFSET('BPC Data'!$F:$F,0,Summary!G$2),'BPC Data'!$E:$E,Summary!$D202,'BPC Data'!$B:$B,Summary!$C202)</f>
        <v>445049.52</v>
      </c>
      <c r="H202" s="53">
        <f ca="1">SUMIFS(OFFSET('BPC Data'!$F:$F,0,Summary!H$2),'BPC Data'!$E:$E,Summary!$D202,'BPC Data'!$B:$B,Summary!$C202)</f>
        <v>523177.48</v>
      </c>
      <c r="I202" s="60">
        <f ca="1">SUMIFS(OFFSET('BPC Data'!$F:$F,0,Summary!I$2),'BPC Data'!$E:$E,Summary!$D202,'BPC Data'!$B:$B,Summary!$C202)</f>
        <v>201233.8</v>
      </c>
      <c r="J202" s="53">
        <f ca="1">SUMIFS(OFFSET('BPC Data'!$F:$F,0,Summary!J$2),'BPC Data'!$E:$E,Summary!$D202,'BPC Data'!$B:$B,Summary!$C202)</f>
        <v>169230.2</v>
      </c>
      <c r="K202" s="60">
        <f ca="1">SUMIFS(OFFSET('BPC Data'!$F:$F,0,Summary!K$2),'BPC Data'!$E:$E,Summary!$D202,'BPC Data'!$B:$B,Summary!$C202)</f>
        <v>235970.47</v>
      </c>
      <c r="L202" s="53">
        <f ca="1">SUMIFS(OFFSET('BPC Data'!$F:$F,0,Summary!L$2),'BPC Data'!$E:$E,Summary!$D202,'BPC Data'!$B:$B,Summary!$C202)</f>
        <v>276173.28999999998</v>
      </c>
      <c r="M202" s="60">
        <f ca="1">SUMIFS(OFFSET('BPC Data'!$F:$F,0,Summary!M$2),'BPC Data'!$E:$E,Summary!$D202,'BPC Data'!$B:$B,Summary!$C202)</f>
        <v>186432.21</v>
      </c>
      <c r="N202" s="53">
        <f ca="1">SUMIFS(OFFSET('BPC Data'!$F:$F,0,Summary!N$2),'BPC Data'!$E:$E,Summary!$D202,'BPC Data'!$B:$B,Summary!$C202)</f>
        <v>323773.24</v>
      </c>
      <c r="O202" s="18">
        <f t="shared" ca="1" si="42"/>
        <v>2361040.21</v>
      </c>
    </row>
    <row r="203" spans="1:15" s="11" customFormat="1" x14ac:dyDescent="0.55000000000000004">
      <c r="A203" s="11">
        <f t="shared" si="41"/>
        <v>18</v>
      </c>
      <c r="B203"/>
      <c r="C203" t="str">
        <f>$F196</f>
        <v>Edgewater Skilled Nursing Ctr</v>
      </c>
      <c r="D203" s="2" t="str">
        <f t="shared" si="32"/>
        <v>T_MGMT_FEE - Tenant Management Fee - Actual</v>
      </c>
      <c r="E203"/>
      <c r="F203" s="14" t="str">
        <f>_xll.EVDES(D203)</f>
        <v>Tenant Management Fee - Actual</v>
      </c>
      <c r="G203" s="60">
        <f ca="1">SUMIFS(OFFSET('BPC Data'!$F:$F,0,Summary!G$2),'BPC Data'!$E:$E,Summary!$D203,'BPC Data'!$B:$B,Summary!$C203)</f>
        <v>60098</v>
      </c>
      <c r="H203" s="53">
        <f ca="1">SUMIFS(OFFSET('BPC Data'!$F:$F,0,Summary!H$2),'BPC Data'!$E:$E,Summary!$D203,'BPC Data'!$B:$B,Summary!$C203)</f>
        <v>58391</v>
      </c>
      <c r="I203" s="60">
        <f ca="1">SUMIFS(OFFSET('BPC Data'!$F:$F,0,Summary!I$2),'BPC Data'!$E:$E,Summary!$D203,'BPC Data'!$B:$B,Summary!$C203)</f>
        <v>43761</v>
      </c>
      <c r="J203" s="53">
        <f ca="1">SUMIFS(OFFSET('BPC Data'!$F:$F,0,Summary!J$2),'BPC Data'!$E:$E,Summary!$D203,'BPC Data'!$B:$B,Summary!$C203)</f>
        <v>44872</v>
      </c>
      <c r="K203" s="60">
        <f ca="1">SUMIFS(OFFSET('BPC Data'!$F:$F,0,Summary!K$2),'BPC Data'!$E:$E,Summary!$D203,'BPC Data'!$B:$B,Summary!$C203)</f>
        <v>41603</v>
      </c>
      <c r="L203" s="53">
        <f ca="1">SUMIFS(OFFSET('BPC Data'!$F:$F,0,Summary!L$2),'BPC Data'!$E:$E,Summary!$D203,'BPC Data'!$B:$B,Summary!$C203)</f>
        <v>45519</v>
      </c>
      <c r="M203" s="60">
        <f ca="1">SUMIFS(OFFSET('BPC Data'!$F:$F,0,Summary!M$2),'BPC Data'!$E:$E,Summary!$D203,'BPC Data'!$B:$B,Summary!$C203)</f>
        <v>45814</v>
      </c>
      <c r="N203" s="53">
        <f ca="1">SUMIFS(OFFSET('BPC Data'!$F:$F,0,Summary!N$2),'BPC Data'!$E:$E,Summary!$D203,'BPC Data'!$B:$B,Summary!$C203)</f>
        <v>47228</v>
      </c>
      <c r="O203" s="18">
        <f t="shared" ca="1" si="42"/>
        <v>387286</v>
      </c>
    </row>
    <row r="204" spans="1:15" s="11" customFormat="1" x14ac:dyDescent="0.55000000000000004">
      <c r="A204" s="11">
        <f t="shared" si="41"/>
        <v>18</v>
      </c>
      <c r="B204"/>
      <c r="C204" t="str">
        <f>$F196</f>
        <v>Edgewater Skilled Nursing Ctr</v>
      </c>
      <c r="D204" s="1" t="str">
        <f t="shared" si="32"/>
        <v>T_EBITDAR - EBITDAR</v>
      </c>
      <c r="E204"/>
      <c r="F204" s="14" t="str">
        <f>_xll.EVDES(D204)</f>
        <v>EBITDAR</v>
      </c>
      <c r="G204" s="60">
        <f ca="1">SUMIFS(OFFSET('BPC Data'!$F:$F,0,Summary!G$2),'BPC Data'!$E:$E,Summary!$D204,'BPC Data'!$B:$B,Summary!$C204)</f>
        <v>384951.52</v>
      </c>
      <c r="H204" s="53">
        <f ca="1">SUMIFS(OFFSET('BPC Data'!$F:$F,0,Summary!H$2),'BPC Data'!$E:$E,Summary!$D204,'BPC Data'!$B:$B,Summary!$C204)</f>
        <v>464786.48</v>
      </c>
      <c r="I204" s="60">
        <f ca="1">SUMIFS(OFFSET('BPC Data'!$F:$F,0,Summary!I$2),'BPC Data'!$E:$E,Summary!$D204,'BPC Data'!$B:$B,Summary!$C204)</f>
        <v>157472.79999999999</v>
      </c>
      <c r="J204" s="53">
        <f ca="1">SUMIFS(OFFSET('BPC Data'!$F:$F,0,Summary!J$2),'BPC Data'!$E:$E,Summary!$D204,'BPC Data'!$B:$B,Summary!$C204)</f>
        <v>124358.2</v>
      </c>
      <c r="K204" s="60">
        <f ca="1">SUMIFS(OFFSET('BPC Data'!$F:$F,0,Summary!K$2),'BPC Data'!$E:$E,Summary!$D204,'BPC Data'!$B:$B,Summary!$C204)</f>
        <v>194367.47</v>
      </c>
      <c r="L204" s="53">
        <f ca="1">SUMIFS(OFFSET('BPC Data'!$F:$F,0,Summary!L$2),'BPC Data'!$E:$E,Summary!$D204,'BPC Data'!$B:$B,Summary!$C204)</f>
        <v>230654.29</v>
      </c>
      <c r="M204" s="60">
        <f ca="1">SUMIFS(OFFSET('BPC Data'!$F:$F,0,Summary!M$2),'BPC Data'!$E:$E,Summary!$D204,'BPC Data'!$B:$B,Summary!$C204)</f>
        <v>140618.21</v>
      </c>
      <c r="N204" s="53">
        <f ca="1">SUMIFS(OFFSET('BPC Data'!$F:$F,0,Summary!N$2),'BPC Data'!$E:$E,Summary!$D204,'BPC Data'!$B:$B,Summary!$C204)</f>
        <v>276545.24</v>
      </c>
      <c r="O204" s="18">
        <f t="shared" ca="1" si="42"/>
        <v>1973754.21</v>
      </c>
    </row>
    <row r="205" spans="1:15" s="11" customFormat="1" x14ac:dyDescent="0.55000000000000004">
      <c r="A205" s="11">
        <f t="shared" si="41"/>
        <v>18</v>
      </c>
      <c r="B205"/>
      <c r="C205" t="str">
        <f>$F196</f>
        <v>Edgewater Skilled Nursing Ctr</v>
      </c>
      <c r="D205" s="1" t="str">
        <f t="shared" si="32"/>
        <v>T_RENT_EXP - Tenant Rent Expense</v>
      </c>
      <c r="E205"/>
      <c r="F205" s="14" t="str">
        <f>_xll.EVDES(D205)</f>
        <v>Tenant Rent Expense</v>
      </c>
      <c r="G205" s="60">
        <f ca="1">SUMIFS(OFFSET('BPC Data'!$F:$F,0,Summary!G$2),'BPC Data'!$E:$E,Summary!$D205,'BPC Data'!$B:$B,Summary!$C205)</f>
        <v>63317.81</v>
      </c>
      <c r="H205" s="53">
        <f ca="1">SUMIFS(OFFSET('BPC Data'!$F:$F,0,Summary!H$2),'BPC Data'!$E:$E,Summary!$D205,'BPC Data'!$B:$B,Summary!$C205)</f>
        <v>63317.81</v>
      </c>
      <c r="I205" s="60">
        <f ca="1">SUMIFS(OFFSET('BPC Data'!$F:$F,0,Summary!I$2),'BPC Data'!$E:$E,Summary!$D205,'BPC Data'!$B:$B,Summary!$C205)</f>
        <v>63317.81</v>
      </c>
      <c r="J205" s="53">
        <f ca="1">SUMIFS(OFFSET('BPC Data'!$F:$F,0,Summary!J$2),'BPC Data'!$E:$E,Summary!$D205,'BPC Data'!$B:$B,Summary!$C205)</f>
        <v>63317.81</v>
      </c>
      <c r="K205" s="60">
        <f ca="1">SUMIFS(OFFSET('BPC Data'!$F:$F,0,Summary!K$2),'BPC Data'!$E:$E,Summary!$D205,'BPC Data'!$B:$B,Summary!$C205)</f>
        <v>63317.81</v>
      </c>
      <c r="L205" s="53">
        <f ca="1">SUMIFS(OFFSET('BPC Data'!$F:$F,0,Summary!L$2),'BPC Data'!$E:$E,Summary!$D205,'BPC Data'!$B:$B,Summary!$C205)</f>
        <v>63317.81</v>
      </c>
      <c r="M205" s="60">
        <f ca="1">SUMIFS(OFFSET('BPC Data'!$F:$F,0,Summary!M$2),'BPC Data'!$E:$E,Summary!$D205,'BPC Data'!$B:$B,Summary!$C205)</f>
        <v>63317.81</v>
      </c>
      <c r="N205" s="53">
        <f ca="1">SUMIFS(OFFSET('BPC Data'!$F:$F,0,Summary!N$2),'BPC Data'!$E:$E,Summary!$D205,'BPC Data'!$B:$B,Summary!$C205)</f>
        <v>63317.81</v>
      </c>
      <c r="O205" s="18">
        <f t="shared" ca="1" si="42"/>
        <v>506542.48</v>
      </c>
    </row>
    <row r="206" spans="1:15" s="11" customFormat="1" x14ac:dyDescent="0.55000000000000004">
      <c r="A206" s="11">
        <f t="shared" si="41"/>
        <v>18</v>
      </c>
      <c r="B206"/>
      <c r="C206"/>
      <c r="D206" s="1" t="str">
        <f t="shared" si="32"/>
        <v>x</v>
      </c>
      <c r="E206"/>
      <c r="F206" s="14" t="s">
        <v>0</v>
      </c>
      <c r="G206" s="61">
        <f ca="1">SUMIFS(OFFSET('BPC Data'!$F:$F,0,Summary!G$2),'BPC Data'!$E:$E,Summary!$D206,'BPC Data'!$B:$B,Summary!$C206)</f>
        <v>0</v>
      </c>
      <c r="H206" s="54">
        <f ca="1">SUMIFS(OFFSET('BPC Data'!$F:$F,0,Summary!H$2),'BPC Data'!$E:$E,Summary!$D206,'BPC Data'!$B:$B,Summary!$C206)</f>
        <v>0</v>
      </c>
      <c r="I206" s="61">
        <f ca="1">SUMIFS(OFFSET('BPC Data'!$F:$F,0,Summary!I$2),'BPC Data'!$E:$E,Summary!$D206,'BPC Data'!$B:$B,Summary!$C206)</f>
        <v>0</v>
      </c>
      <c r="J206" s="54">
        <f ca="1">SUMIFS(OFFSET('BPC Data'!$F:$F,0,Summary!J$2),'BPC Data'!$E:$E,Summary!$D206,'BPC Data'!$B:$B,Summary!$C206)</f>
        <v>0</v>
      </c>
      <c r="K206" s="61">
        <f ca="1">SUMIFS(OFFSET('BPC Data'!$F:$F,0,Summary!K$2),'BPC Data'!$E:$E,Summary!$D206,'BPC Data'!$B:$B,Summary!$C206)</f>
        <v>0</v>
      </c>
      <c r="L206" s="54">
        <f ca="1">SUMIFS(OFFSET('BPC Data'!$F:$F,0,Summary!L$2),'BPC Data'!$E:$E,Summary!$D206,'BPC Data'!$B:$B,Summary!$C206)</f>
        <v>0</v>
      </c>
      <c r="M206" s="61">
        <f ca="1">SUMIFS(OFFSET('BPC Data'!$F:$F,0,Summary!M$2),'BPC Data'!$E:$E,Summary!$D206,'BPC Data'!$B:$B,Summary!$C206)</f>
        <v>0</v>
      </c>
      <c r="N206" s="54">
        <f ca="1">SUMIFS(OFFSET('BPC Data'!$F:$F,0,Summary!N$2),'BPC Data'!$E:$E,Summary!$D206,'BPC Data'!$B:$B,Summary!$C206)</f>
        <v>0</v>
      </c>
      <c r="O206" s="18">
        <f t="shared" ca="1" si="42"/>
        <v>0</v>
      </c>
    </row>
    <row r="207" spans="1:15" s="11" customFormat="1" x14ac:dyDescent="0.55000000000000004">
      <c r="A207" s="11">
        <f>IF(AND(D207&lt;&gt;"",C207=""),A206+1,A206)</f>
        <v>19</v>
      </c>
      <c r="B207" s="4"/>
      <c r="C207" s="4"/>
      <c r="D207" s="4" t="str">
        <f t="shared" si="32"/>
        <v>x</v>
      </c>
      <c r="E207" s="4"/>
      <c r="F207" s="13" t="str">
        <f>INDEX(PropertyList!$D:$D,MATCH(Summary!$A207,PropertyList!$C:$C,0))</f>
        <v>Fairmont Rehabilitation Hosp</v>
      </c>
      <c r="G207" s="59">
        <f ca="1">SUMIFS(OFFSET('BPC Data'!$F:$F,0,Summary!G$2),'BPC Data'!$E:$E,Summary!$D207,'BPC Data'!$B:$B,Summary!$C207)</f>
        <v>0</v>
      </c>
      <c r="H207" s="52">
        <f ca="1">SUMIFS(OFFSET('BPC Data'!$F:$F,0,Summary!H$2),'BPC Data'!$E:$E,Summary!$D207,'BPC Data'!$B:$B,Summary!$C207)</f>
        <v>0</v>
      </c>
      <c r="I207" s="59">
        <f ca="1">SUMIFS(OFFSET('BPC Data'!$F:$F,0,Summary!I$2),'BPC Data'!$E:$E,Summary!$D207,'BPC Data'!$B:$B,Summary!$C207)</f>
        <v>0</v>
      </c>
      <c r="J207" s="52">
        <f ca="1">SUMIFS(OFFSET('BPC Data'!$F:$F,0,Summary!J$2),'BPC Data'!$E:$E,Summary!$D207,'BPC Data'!$B:$B,Summary!$C207)</f>
        <v>0</v>
      </c>
      <c r="K207" s="59">
        <f ca="1">SUMIFS(OFFSET('BPC Data'!$F:$F,0,Summary!K$2),'BPC Data'!$E:$E,Summary!$D207,'BPC Data'!$B:$B,Summary!$C207)</f>
        <v>0</v>
      </c>
      <c r="L207" s="52">
        <f ca="1">SUMIFS(OFFSET('BPC Data'!$F:$F,0,Summary!L$2),'BPC Data'!$E:$E,Summary!$D207,'BPC Data'!$B:$B,Summary!$C207)</f>
        <v>0</v>
      </c>
      <c r="M207" s="59">
        <f ca="1">SUMIFS(OFFSET('BPC Data'!$F:$F,0,Summary!M$2),'BPC Data'!$E:$E,Summary!$D207,'BPC Data'!$B:$B,Summary!$C207)</f>
        <v>0</v>
      </c>
      <c r="N207" s="52">
        <f ca="1">SUMIFS(OFFSET('BPC Data'!$F:$F,0,Summary!N$2),'BPC Data'!$E:$E,Summary!$D207,'BPC Data'!$B:$B,Summary!$C207)</f>
        <v>0</v>
      </c>
      <c r="O207" s="18">
        <f t="shared" ca="1" si="42"/>
        <v>0</v>
      </c>
    </row>
    <row r="208" spans="1:15" s="11" customFormat="1" x14ac:dyDescent="0.55000000000000004">
      <c r="A208" s="11">
        <f>IF(AND(F208&lt;&gt;"",D208=""),A207+1,A207)</f>
        <v>19</v>
      </c>
      <c r="C208" t="str">
        <f>$F207</f>
        <v>Fairmont Rehabilitation Hosp</v>
      </c>
      <c r="D208" s="3" t="str">
        <f t="shared" si="32"/>
        <v>PAY_PAT_DAYS - Total Payor Patient Days</v>
      </c>
      <c r="F208" s="14" t="str">
        <f>_xll.EVDES(D208)</f>
        <v>Total Payor Patient Days</v>
      </c>
      <c r="G208" s="60">
        <f ca="1">SUMIFS(OFFSET('BPC Data'!$F:$F,0,Summary!G$2),'BPC Data'!$E:$E,Summary!$D208,'BPC Data'!$B:$B,Summary!$C208)</f>
        <v>972</v>
      </c>
      <c r="H208" s="53">
        <f ca="1">SUMIFS(OFFSET('BPC Data'!$F:$F,0,Summary!H$2),'BPC Data'!$E:$E,Summary!$D208,'BPC Data'!$B:$B,Summary!$C208)</f>
        <v>1113</v>
      </c>
      <c r="I208" s="60">
        <f ca="1">SUMIFS(OFFSET('BPC Data'!$F:$F,0,Summary!I$2),'BPC Data'!$E:$E,Summary!$D208,'BPC Data'!$B:$B,Summary!$C208)</f>
        <v>1252</v>
      </c>
      <c r="J208" s="53">
        <f ca="1">SUMIFS(OFFSET('BPC Data'!$F:$F,0,Summary!J$2),'BPC Data'!$E:$E,Summary!$D208,'BPC Data'!$B:$B,Summary!$C208)</f>
        <v>1272</v>
      </c>
      <c r="K208" s="60">
        <f ca="1">SUMIFS(OFFSET('BPC Data'!$F:$F,0,Summary!K$2),'BPC Data'!$E:$E,Summary!$D208,'BPC Data'!$B:$B,Summary!$C208)</f>
        <v>1486</v>
      </c>
      <c r="L208" s="53">
        <f ca="1">SUMIFS(OFFSET('BPC Data'!$F:$F,0,Summary!L$2),'BPC Data'!$E:$E,Summary!$D208,'BPC Data'!$B:$B,Summary!$C208)</f>
        <v>1461</v>
      </c>
      <c r="M208" s="60">
        <f ca="1">SUMIFS(OFFSET('BPC Data'!$F:$F,0,Summary!M$2),'BPC Data'!$E:$E,Summary!$D208,'BPC Data'!$B:$B,Summary!$C208)</f>
        <v>1524</v>
      </c>
      <c r="N208" s="53">
        <f ca="1">SUMIFS(OFFSET('BPC Data'!$F:$F,0,Summary!N$2),'BPC Data'!$E:$E,Summary!$D208,'BPC Data'!$B:$B,Summary!$C208)</f>
        <v>1537</v>
      </c>
      <c r="O208" s="18">
        <f t="shared" ca="1" si="42"/>
        <v>10617</v>
      </c>
    </row>
    <row r="209" spans="1:15" s="11" customFormat="1" x14ac:dyDescent="0.55000000000000004">
      <c r="A209" s="11">
        <f t="shared" ref="A209:A217" si="43">IF(AND(F209&lt;&gt;"",D209=""),A208+1,A208)</f>
        <v>19</v>
      </c>
      <c r="C209" t="str">
        <f>$F207</f>
        <v>Fairmont Rehabilitation Hosp</v>
      </c>
      <c r="D209" s="3" t="str">
        <f t="shared" si="32"/>
        <v>A_BEDS_TOTAL - Total Available Beds</v>
      </c>
      <c r="F209" s="14" t="str">
        <f>_xll.EVDES(D209)</f>
        <v>Total Available Beds</v>
      </c>
      <c r="G209" s="60">
        <f ca="1">SUMIFS(OFFSET('BPC Data'!$F:$F,0,Summary!G$2),'BPC Data'!$E:$E,Summary!$D209,'BPC Data'!$B:$B,Summary!$C209)</f>
        <v>59</v>
      </c>
      <c r="H209" s="53">
        <f ca="1">SUMIFS(OFFSET('BPC Data'!$F:$F,0,Summary!H$2),'BPC Data'!$E:$E,Summary!$D209,'BPC Data'!$B:$B,Summary!$C209)</f>
        <v>59</v>
      </c>
      <c r="I209" s="60">
        <f ca="1">SUMIFS(OFFSET('BPC Data'!$F:$F,0,Summary!I$2),'BPC Data'!$E:$E,Summary!$D209,'BPC Data'!$B:$B,Summary!$C209)</f>
        <v>59</v>
      </c>
      <c r="J209" s="53">
        <f ca="1">SUMIFS(OFFSET('BPC Data'!$F:$F,0,Summary!J$2),'BPC Data'!$E:$E,Summary!$D209,'BPC Data'!$B:$B,Summary!$C209)</f>
        <v>59</v>
      </c>
      <c r="K209" s="60">
        <f ca="1">SUMIFS(OFFSET('BPC Data'!$F:$F,0,Summary!K$2),'BPC Data'!$E:$E,Summary!$D209,'BPC Data'!$B:$B,Summary!$C209)</f>
        <v>59</v>
      </c>
      <c r="L209" s="53">
        <f ca="1">SUMIFS(OFFSET('BPC Data'!$F:$F,0,Summary!L$2),'BPC Data'!$E:$E,Summary!$D209,'BPC Data'!$B:$B,Summary!$C209)</f>
        <v>59</v>
      </c>
      <c r="M209" s="60">
        <f ca="1">SUMIFS(OFFSET('BPC Data'!$F:$F,0,Summary!M$2),'BPC Data'!$E:$E,Summary!$D209,'BPC Data'!$B:$B,Summary!$C209)</f>
        <v>59</v>
      </c>
      <c r="N209" s="53">
        <f ca="1">SUMIFS(OFFSET('BPC Data'!$F:$F,0,Summary!N$2),'BPC Data'!$E:$E,Summary!$D209,'BPC Data'!$B:$B,Summary!$C209)</f>
        <v>59</v>
      </c>
      <c r="O209" s="18">
        <f ca="1">N209</f>
        <v>59</v>
      </c>
    </row>
    <row r="210" spans="1:15" s="11" customFormat="1" x14ac:dyDescent="0.55000000000000004">
      <c r="A210" s="11">
        <f t="shared" si="43"/>
        <v>19</v>
      </c>
      <c r="B210"/>
      <c r="C210" t="str">
        <f>$F207</f>
        <v>Fairmont Rehabilitation Hosp</v>
      </c>
      <c r="D210" s="3" t="str">
        <f t="shared" si="32"/>
        <v>T_REVENUES - Total Tenant Revenues</v>
      </c>
      <c r="E210"/>
      <c r="F210" s="14" t="str">
        <f>_xll.EVDES(D210)</f>
        <v>Total Tenant Revenues</v>
      </c>
      <c r="G210" s="60">
        <f ca="1">SUMIFS(OFFSET('BPC Data'!$F:$F,0,Summary!G$2),'BPC Data'!$E:$E,Summary!$D210,'BPC Data'!$B:$B,Summary!$C210)</f>
        <v>554556.06000000006</v>
      </c>
      <c r="H210" s="53">
        <f ca="1">SUMIFS(OFFSET('BPC Data'!$F:$F,0,Summary!H$2),'BPC Data'!$E:$E,Summary!$D210,'BPC Data'!$B:$B,Summary!$C210)</f>
        <v>633075.94999999995</v>
      </c>
      <c r="I210" s="60">
        <f ca="1">SUMIFS(OFFSET('BPC Data'!$F:$F,0,Summary!I$2),'BPC Data'!$E:$E,Summary!$D210,'BPC Data'!$B:$B,Summary!$C210)</f>
        <v>638241.65</v>
      </c>
      <c r="J210" s="53">
        <f ca="1">SUMIFS(OFFSET('BPC Data'!$F:$F,0,Summary!J$2),'BPC Data'!$E:$E,Summary!$D210,'BPC Data'!$B:$B,Summary!$C210)</f>
        <v>649932.44999999995</v>
      </c>
      <c r="K210" s="60">
        <f ca="1">SUMIFS(OFFSET('BPC Data'!$F:$F,0,Summary!K$2),'BPC Data'!$E:$E,Summary!$D210,'BPC Data'!$B:$B,Summary!$C210)</f>
        <v>793941.22</v>
      </c>
      <c r="L210" s="53">
        <f ca="1">SUMIFS(OFFSET('BPC Data'!$F:$F,0,Summary!L$2),'BPC Data'!$E:$E,Summary!$D210,'BPC Data'!$B:$B,Summary!$C210)</f>
        <v>801573.63</v>
      </c>
      <c r="M210" s="60">
        <f ca="1">SUMIFS(OFFSET('BPC Data'!$F:$F,0,Summary!M$2),'BPC Data'!$E:$E,Summary!$D210,'BPC Data'!$B:$B,Summary!$C210)</f>
        <v>801501.01</v>
      </c>
      <c r="N210" s="53">
        <f ca="1">SUMIFS(OFFSET('BPC Data'!$F:$F,0,Summary!N$2),'BPC Data'!$E:$E,Summary!$D210,'BPC Data'!$B:$B,Summary!$C210)</f>
        <v>845860.39</v>
      </c>
      <c r="O210" s="18">
        <f t="shared" ref="O210:O219" ca="1" si="44">SUM(G210:N210)</f>
        <v>5718682.3599999994</v>
      </c>
    </row>
    <row r="211" spans="1:15" s="11" customFormat="1" x14ac:dyDescent="0.55000000000000004">
      <c r="A211" s="11">
        <f t="shared" si="43"/>
        <v>19</v>
      </c>
      <c r="B211"/>
      <c r="C211" t="str">
        <f>$F207</f>
        <v>Fairmont Rehabilitation Hosp</v>
      </c>
      <c r="D211" s="3" t="str">
        <f t="shared" si="32"/>
        <v>T_OPEX - Tenant Operating Expenses</v>
      </c>
      <c r="E211"/>
      <c r="F211" s="14" t="str">
        <f>_xll.EVDES(D211)</f>
        <v>Tenant Operating Expenses</v>
      </c>
      <c r="G211" s="60">
        <f ca="1">SUMIFS(OFFSET('BPC Data'!$F:$F,0,Summary!G$2),'BPC Data'!$E:$E,Summary!$D211,'BPC Data'!$B:$B,Summary!$C211)</f>
        <v>511191.35</v>
      </c>
      <c r="H211" s="53">
        <f ca="1">SUMIFS(OFFSET('BPC Data'!$F:$F,0,Summary!H$2),'BPC Data'!$E:$E,Summary!$D211,'BPC Data'!$B:$B,Summary!$C211)</f>
        <v>503866.75</v>
      </c>
      <c r="I211" s="60">
        <f ca="1">SUMIFS(OFFSET('BPC Data'!$F:$F,0,Summary!I$2),'BPC Data'!$E:$E,Summary!$D211,'BPC Data'!$B:$B,Summary!$C211)</f>
        <v>577696.12</v>
      </c>
      <c r="J211" s="53">
        <f ca="1">SUMIFS(OFFSET('BPC Data'!$F:$F,0,Summary!J$2),'BPC Data'!$E:$E,Summary!$D211,'BPC Data'!$B:$B,Summary!$C211)</f>
        <v>541833.76</v>
      </c>
      <c r="K211" s="60">
        <f ca="1">SUMIFS(OFFSET('BPC Data'!$F:$F,0,Summary!K$2),'BPC Data'!$E:$E,Summary!$D211,'BPC Data'!$B:$B,Summary!$C211)</f>
        <v>582726.56000000006</v>
      </c>
      <c r="L211" s="53">
        <f ca="1">SUMIFS(OFFSET('BPC Data'!$F:$F,0,Summary!L$2),'BPC Data'!$E:$E,Summary!$D211,'BPC Data'!$B:$B,Summary!$C211)</f>
        <v>598944</v>
      </c>
      <c r="M211" s="60">
        <f ca="1">SUMIFS(OFFSET('BPC Data'!$F:$F,0,Summary!M$2),'BPC Data'!$E:$E,Summary!$D211,'BPC Data'!$B:$B,Summary!$C211)</f>
        <v>571764.52</v>
      </c>
      <c r="N211" s="53">
        <f ca="1">SUMIFS(OFFSET('BPC Data'!$F:$F,0,Summary!N$2),'BPC Data'!$E:$E,Summary!$D211,'BPC Data'!$B:$B,Summary!$C211)</f>
        <v>615478.88</v>
      </c>
      <c r="O211" s="18">
        <f t="shared" ca="1" si="44"/>
        <v>4503501.9400000004</v>
      </c>
    </row>
    <row r="212" spans="1:15" s="11" customFormat="1" x14ac:dyDescent="0.55000000000000004">
      <c r="A212" s="11">
        <f t="shared" si="43"/>
        <v>19</v>
      </c>
      <c r="B212"/>
      <c r="C212" t="str">
        <f>$F207</f>
        <v>Fairmont Rehabilitation Hosp</v>
      </c>
      <c r="D212" s="3" t="str">
        <f t="shared" si="32"/>
        <v>T_BAD_DEBT - Tenant Bad Debt Expense</v>
      </c>
      <c r="E212"/>
      <c r="F212" s="14" t="str">
        <f>_xll.EVDES(D212)</f>
        <v>Tenant Bad Debt Expense</v>
      </c>
      <c r="G212" s="60">
        <f ca="1">SUMIFS(OFFSET('BPC Data'!$F:$F,0,Summary!G$2),'BPC Data'!$E:$E,Summary!$D212,'BPC Data'!$B:$B,Summary!$C212)</f>
        <v>-2209.39</v>
      </c>
      <c r="H212" s="53">
        <f ca="1">SUMIFS(OFFSET('BPC Data'!$F:$F,0,Summary!H$2),'BPC Data'!$E:$E,Summary!$D212,'BPC Data'!$B:$B,Summary!$C212)</f>
        <v>6397.1</v>
      </c>
      <c r="I212" s="60">
        <f ca="1">SUMIFS(OFFSET('BPC Data'!$F:$F,0,Summary!I$2),'BPC Data'!$E:$E,Summary!$D212,'BPC Data'!$B:$B,Summary!$C212)</f>
        <v>3860.17</v>
      </c>
      <c r="J212" s="53">
        <f ca="1">SUMIFS(OFFSET('BPC Data'!$F:$F,0,Summary!J$2),'BPC Data'!$E:$E,Summary!$D212,'BPC Data'!$B:$B,Summary!$C212)</f>
        <v>21429.07</v>
      </c>
      <c r="K212" s="60">
        <f ca="1">SUMIFS(OFFSET('BPC Data'!$F:$F,0,Summary!K$2),'BPC Data'!$E:$E,Summary!$D212,'BPC Data'!$B:$B,Summary!$C212)</f>
        <v>17323.89</v>
      </c>
      <c r="L212" s="53">
        <f ca="1">SUMIFS(OFFSET('BPC Data'!$F:$F,0,Summary!L$2),'BPC Data'!$E:$E,Summary!$D212,'BPC Data'!$B:$B,Summary!$C212)</f>
        <v>3109.35</v>
      </c>
      <c r="M212" s="60">
        <f ca="1">SUMIFS(OFFSET('BPC Data'!$F:$F,0,Summary!M$2),'BPC Data'!$E:$E,Summary!$D212,'BPC Data'!$B:$B,Summary!$C212)</f>
        <v>-13457.33</v>
      </c>
      <c r="N212" s="53">
        <f ca="1">SUMIFS(OFFSET('BPC Data'!$F:$F,0,Summary!N$2),'BPC Data'!$E:$E,Summary!$D212,'BPC Data'!$B:$B,Summary!$C212)</f>
        <v>-7452.37</v>
      </c>
      <c r="O212" s="18">
        <f t="shared" ca="1" si="44"/>
        <v>29000.489999999994</v>
      </c>
    </row>
    <row r="213" spans="1:15" s="11" customFormat="1" x14ac:dyDescent="0.55000000000000004">
      <c r="A213" s="11">
        <f t="shared" si="43"/>
        <v>19</v>
      </c>
      <c r="B213"/>
      <c r="C213" t="str">
        <f>$F207</f>
        <v>Fairmont Rehabilitation Hosp</v>
      </c>
      <c r="D213" s="2" t="str">
        <f t="shared" si="32"/>
        <v>T_EBITDARM - EBITDARM</v>
      </c>
      <c r="E213"/>
      <c r="F213" s="14" t="str">
        <f>_xll.EVDES(D213)</f>
        <v>EBITDARM</v>
      </c>
      <c r="G213" s="60">
        <f ca="1">SUMIFS(OFFSET('BPC Data'!$F:$F,0,Summary!G$2),'BPC Data'!$E:$E,Summary!$D213,'BPC Data'!$B:$B,Summary!$C213)</f>
        <v>43364.709999999897</v>
      </c>
      <c r="H213" s="53">
        <f ca="1">SUMIFS(OFFSET('BPC Data'!$F:$F,0,Summary!H$2),'BPC Data'!$E:$E,Summary!$D213,'BPC Data'!$B:$B,Summary!$C213)</f>
        <v>129209.2</v>
      </c>
      <c r="I213" s="60">
        <f ca="1">SUMIFS(OFFSET('BPC Data'!$F:$F,0,Summary!I$2),'BPC Data'!$E:$E,Summary!$D213,'BPC Data'!$B:$B,Summary!$C213)</f>
        <v>60545.529999999897</v>
      </c>
      <c r="J213" s="53">
        <f ca="1">SUMIFS(OFFSET('BPC Data'!$F:$F,0,Summary!J$2),'BPC Data'!$E:$E,Summary!$D213,'BPC Data'!$B:$B,Summary!$C213)</f>
        <v>108098.69</v>
      </c>
      <c r="K213" s="60">
        <f ca="1">SUMIFS(OFFSET('BPC Data'!$F:$F,0,Summary!K$2),'BPC Data'!$E:$E,Summary!$D213,'BPC Data'!$B:$B,Summary!$C213)</f>
        <v>211214.66</v>
      </c>
      <c r="L213" s="53">
        <f ca="1">SUMIFS(OFFSET('BPC Data'!$F:$F,0,Summary!L$2),'BPC Data'!$E:$E,Summary!$D213,'BPC Data'!$B:$B,Summary!$C213)</f>
        <v>202629.63</v>
      </c>
      <c r="M213" s="60">
        <f ca="1">SUMIFS(OFFSET('BPC Data'!$F:$F,0,Summary!M$2),'BPC Data'!$E:$E,Summary!$D213,'BPC Data'!$B:$B,Summary!$C213)</f>
        <v>229736.49</v>
      </c>
      <c r="N213" s="53">
        <f ca="1">SUMIFS(OFFSET('BPC Data'!$F:$F,0,Summary!N$2),'BPC Data'!$E:$E,Summary!$D213,'BPC Data'!$B:$B,Summary!$C213)</f>
        <v>230381.51</v>
      </c>
      <c r="O213" s="18">
        <f t="shared" ca="1" si="44"/>
        <v>1215180.42</v>
      </c>
    </row>
    <row r="214" spans="1:15" s="11" customFormat="1" x14ac:dyDescent="0.55000000000000004">
      <c r="A214" s="11">
        <f t="shared" si="43"/>
        <v>19</v>
      </c>
      <c r="B214"/>
      <c r="C214" t="str">
        <f>$F207</f>
        <v>Fairmont Rehabilitation Hosp</v>
      </c>
      <c r="D214" s="2" t="str">
        <f t="shared" ref="D214:D277" si="45">$D203</f>
        <v>T_MGMT_FEE - Tenant Management Fee - Actual</v>
      </c>
      <c r="E214"/>
      <c r="F214" s="14" t="str">
        <f>_xll.EVDES(D214)</f>
        <v>Tenant Management Fee - Actual</v>
      </c>
      <c r="G214" s="60">
        <f ca="1">SUMIFS(OFFSET('BPC Data'!$F:$F,0,Summary!G$2),'BPC Data'!$E:$E,Summary!$D214,'BPC Data'!$B:$B,Summary!$C214)</f>
        <v>31673</v>
      </c>
      <c r="H214" s="53">
        <f ca="1">SUMIFS(OFFSET('BPC Data'!$F:$F,0,Summary!H$2),'BPC Data'!$E:$E,Summary!$D214,'BPC Data'!$B:$B,Summary!$C214)</f>
        <v>27727</v>
      </c>
      <c r="I214" s="60">
        <f ca="1">SUMIFS(OFFSET('BPC Data'!$F:$F,0,Summary!I$2),'BPC Data'!$E:$E,Summary!$D214,'BPC Data'!$B:$B,Summary!$C214)</f>
        <v>31653</v>
      </c>
      <c r="J214" s="53">
        <f ca="1">SUMIFS(OFFSET('BPC Data'!$F:$F,0,Summary!J$2),'BPC Data'!$E:$E,Summary!$D214,'BPC Data'!$B:$B,Summary!$C214)</f>
        <v>31912</v>
      </c>
      <c r="K214" s="60">
        <f ca="1">SUMIFS(OFFSET('BPC Data'!$F:$F,0,Summary!K$2),'BPC Data'!$E:$E,Summary!$D214,'BPC Data'!$B:$B,Summary!$C214)</f>
        <v>32496</v>
      </c>
      <c r="L214" s="53">
        <f ca="1">SUMIFS(OFFSET('BPC Data'!$F:$F,0,Summary!L$2),'BPC Data'!$E:$E,Summary!$D214,'BPC Data'!$B:$B,Summary!$C214)</f>
        <v>39697</v>
      </c>
      <c r="M214" s="60">
        <f ca="1">SUMIFS(OFFSET('BPC Data'!$F:$F,0,Summary!M$2),'BPC Data'!$E:$E,Summary!$D214,'BPC Data'!$B:$B,Summary!$C214)</f>
        <v>40078</v>
      </c>
      <c r="N214" s="53">
        <f ca="1">SUMIFS(OFFSET('BPC Data'!$F:$F,0,Summary!N$2),'BPC Data'!$E:$E,Summary!$D214,'BPC Data'!$B:$B,Summary!$C214)</f>
        <v>40075</v>
      </c>
      <c r="O214" s="18">
        <f t="shared" ca="1" si="44"/>
        <v>275311</v>
      </c>
    </row>
    <row r="215" spans="1:15" s="11" customFormat="1" x14ac:dyDescent="0.55000000000000004">
      <c r="A215" s="11">
        <f t="shared" si="43"/>
        <v>19</v>
      </c>
      <c r="B215"/>
      <c r="C215" t="str">
        <f>$F207</f>
        <v>Fairmont Rehabilitation Hosp</v>
      </c>
      <c r="D215" s="1" t="str">
        <f t="shared" si="45"/>
        <v>T_EBITDAR - EBITDAR</v>
      </c>
      <c r="E215"/>
      <c r="F215" s="14" t="str">
        <f>_xll.EVDES(D215)</f>
        <v>EBITDAR</v>
      </c>
      <c r="G215" s="60">
        <f ca="1">SUMIFS(OFFSET('BPC Data'!$F:$F,0,Summary!G$2),'BPC Data'!$E:$E,Summary!$D215,'BPC Data'!$B:$B,Summary!$C215)</f>
        <v>11691.709999999901</v>
      </c>
      <c r="H215" s="53">
        <f ca="1">SUMIFS(OFFSET('BPC Data'!$F:$F,0,Summary!H$2),'BPC Data'!$E:$E,Summary!$D215,'BPC Data'!$B:$B,Summary!$C215)</f>
        <v>101482.2</v>
      </c>
      <c r="I215" s="60">
        <f ca="1">SUMIFS(OFFSET('BPC Data'!$F:$F,0,Summary!I$2),'BPC Data'!$E:$E,Summary!$D215,'BPC Data'!$B:$B,Summary!$C215)</f>
        <v>28892.529999999901</v>
      </c>
      <c r="J215" s="53">
        <f ca="1">SUMIFS(OFFSET('BPC Data'!$F:$F,0,Summary!J$2),'BPC Data'!$E:$E,Summary!$D215,'BPC Data'!$B:$B,Summary!$C215)</f>
        <v>76186.690000000104</v>
      </c>
      <c r="K215" s="60">
        <f ca="1">SUMIFS(OFFSET('BPC Data'!$F:$F,0,Summary!K$2),'BPC Data'!$E:$E,Summary!$D215,'BPC Data'!$B:$B,Summary!$C215)</f>
        <v>178718.66</v>
      </c>
      <c r="L215" s="53">
        <f ca="1">SUMIFS(OFFSET('BPC Data'!$F:$F,0,Summary!L$2),'BPC Data'!$E:$E,Summary!$D215,'BPC Data'!$B:$B,Summary!$C215)</f>
        <v>162932.63</v>
      </c>
      <c r="M215" s="60">
        <f ca="1">SUMIFS(OFFSET('BPC Data'!$F:$F,0,Summary!M$2),'BPC Data'!$E:$E,Summary!$D215,'BPC Data'!$B:$B,Summary!$C215)</f>
        <v>189658.49</v>
      </c>
      <c r="N215" s="53">
        <f ca="1">SUMIFS(OFFSET('BPC Data'!$F:$F,0,Summary!N$2),'BPC Data'!$E:$E,Summary!$D215,'BPC Data'!$B:$B,Summary!$C215)</f>
        <v>190306.51</v>
      </c>
      <c r="O215" s="18">
        <f t="shared" ca="1" si="44"/>
        <v>939869.41999999993</v>
      </c>
    </row>
    <row r="216" spans="1:15" s="11" customFormat="1" x14ac:dyDescent="0.55000000000000004">
      <c r="A216" s="11">
        <f t="shared" si="43"/>
        <v>19</v>
      </c>
      <c r="B216"/>
      <c r="C216" t="str">
        <f>$F207</f>
        <v>Fairmont Rehabilitation Hosp</v>
      </c>
      <c r="D216" s="1" t="str">
        <f t="shared" si="45"/>
        <v>T_RENT_EXP - Tenant Rent Expense</v>
      </c>
      <c r="E216"/>
      <c r="F216" s="14" t="str">
        <f>_xll.EVDES(D216)</f>
        <v>Tenant Rent Expense</v>
      </c>
      <c r="G216" s="60">
        <f ca="1">SUMIFS(OFFSET('BPC Data'!$F:$F,0,Summary!G$2),'BPC Data'!$E:$E,Summary!$D216,'BPC Data'!$B:$B,Summary!$C216)</f>
        <v>161151.62</v>
      </c>
      <c r="H216" s="53">
        <f ca="1">SUMIFS(OFFSET('BPC Data'!$F:$F,0,Summary!H$2),'BPC Data'!$E:$E,Summary!$D216,'BPC Data'!$B:$B,Summary!$C216)</f>
        <v>161151.62</v>
      </c>
      <c r="I216" s="60">
        <f ca="1">SUMIFS(OFFSET('BPC Data'!$F:$F,0,Summary!I$2),'BPC Data'!$E:$E,Summary!$D216,'BPC Data'!$B:$B,Summary!$C216)</f>
        <v>161151.67999999999</v>
      </c>
      <c r="J216" s="53">
        <f ca="1">SUMIFS(OFFSET('BPC Data'!$F:$F,0,Summary!J$2),'BPC Data'!$E:$E,Summary!$D216,'BPC Data'!$B:$B,Summary!$C216)</f>
        <v>161151.62</v>
      </c>
      <c r="K216" s="60">
        <f ca="1">SUMIFS(OFFSET('BPC Data'!$F:$F,0,Summary!K$2),'BPC Data'!$E:$E,Summary!$D216,'BPC Data'!$B:$B,Summary!$C216)</f>
        <v>161151.62</v>
      </c>
      <c r="L216" s="53">
        <f ca="1">SUMIFS(OFFSET('BPC Data'!$F:$F,0,Summary!L$2),'BPC Data'!$E:$E,Summary!$D216,'BPC Data'!$B:$B,Summary!$C216)</f>
        <v>161151.62</v>
      </c>
      <c r="M216" s="60">
        <f ca="1">SUMIFS(OFFSET('BPC Data'!$F:$F,0,Summary!M$2),'BPC Data'!$E:$E,Summary!$D216,'BPC Data'!$B:$B,Summary!$C216)</f>
        <v>161151.62</v>
      </c>
      <c r="N216" s="53">
        <f ca="1">SUMIFS(OFFSET('BPC Data'!$F:$F,0,Summary!N$2),'BPC Data'!$E:$E,Summary!$D216,'BPC Data'!$B:$B,Summary!$C216)</f>
        <v>161151.62</v>
      </c>
      <c r="O216" s="18">
        <f t="shared" ca="1" si="44"/>
        <v>1289213.02</v>
      </c>
    </row>
    <row r="217" spans="1:15" s="11" customFormat="1" x14ac:dyDescent="0.55000000000000004">
      <c r="A217" s="11">
        <f t="shared" si="43"/>
        <v>19</v>
      </c>
      <c r="B217"/>
      <c r="C217"/>
      <c r="D217" s="1" t="str">
        <f t="shared" si="45"/>
        <v>x</v>
      </c>
      <c r="E217"/>
      <c r="F217" s="14" t="s">
        <v>0</v>
      </c>
      <c r="G217" s="61">
        <f ca="1">SUMIFS(OFFSET('BPC Data'!$F:$F,0,Summary!G$2),'BPC Data'!$E:$E,Summary!$D217,'BPC Data'!$B:$B,Summary!$C217)</f>
        <v>0</v>
      </c>
      <c r="H217" s="54">
        <f ca="1">SUMIFS(OFFSET('BPC Data'!$F:$F,0,Summary!H$2),'BPC Data'!$E:$E,Summary!$D217,'BPC Data'!$B:$B,Summary!$C217)</f>
        <v>0</v>
      </c>
      <c r="I217" s="61">
        <f ca="1">SUMIFS(OFFSET('BPC Data'!$F:$F,0,Summary!I$2),'BPC Data'!$E:$E,Summary!$D217,'BPC Data'!$B:$B,Summary!$C217)</f>
        <v>0</v>
      </c>
      <c r="J217" s="54">
        <f ca="1">SUMIFS(OFFSET('BPC Data'!$F:$F,0,Summary!J$2),'BPC Data'!$E:$E,Summary!$D217,'BPC Data'!$B:$B,Summary!$C217)</f>
        <v>0</v>
      </c>
      <c r="K217" s="61">
        <f ca="1">SUMIFS(OFFSET('BPC Data'!$F:$F,0,Summary!K$2),'BPC Data'!$E:$E,Summary!$D217,'BPC Data'!$B:$B,Summary!$C217)</f>
        <v>0</v>
      </c>
      <c r="L217" s="54">
        <f ca="1">SUMIFS(OFFSET('BPC Data'!$F:$F,0,Summary!L$2),'BPC Data'!$E:$E,Summary!$D217,'BPC Data'!$B:$B,Summary!$C217)</f>
        <v>0</v>
      </c>
      <c r="M217" s="61">
        <f ca="1">SUMIFS(OFFSET('BPC Data'!$F:$F,0,Summary!M$2),'BPC Data'!$E:$E,Summary!$D217,'BPC Data'!$B:$B,Summary!$C217)</f>
        <v>0</v>
      </c>
      <c r="N217" s="54">
        <f ca="1">SUMIFS(OFFSET('BPC Data'!$F:$F,0,Summary!N$2),'BPC Data'!$E:$E,Summary!$D217,'BPC Data'!$B:$B,Summary!$C217)</f>
        <v>0</v>
      </c>
      <c r="O217" s="18">
        <f t="shared" ca="1" si="44"/>
        <v>0</v>
      </c>
    </row>
    <row r="218" spans="1:15" s="11" customFormat="1" x14ac:dyDescent="0.55000000000000004">
      <c r="A218" s="11">
        <f>IF(AND(D218&lt;&gt;"",C218=""),A217+1,A217)</f>
        <v>20</v>
      </c>
      <c r="B218" s="4"/>
      <c r="C218" s="4"/>
      <c r="D218" s="4" t="str">
        <f t="shared" si="45"/>
        <v>x</v>
      </c>
      <c r="E218" s="4"/>
      <c r="F218" s="13" t="str">
        <f>INDEX(PropertyList!$D:$D,MATCH(Summary!$A218,PropertyList!$C:$C,0))</f>
        <v>Palm Terrace Care Center</v>
      </c>
      <c r="G218" s="59">
        <f ca="1">SUMIFS(OFFSET('BPC Data'!$F:$F,0,Summary!G$2),'BPC Data'!$E:$E,Summary!$D218,'BPC Data'!$B:$B,Summary!$C218)</f>
        <v>0</v>
      </c>
      <c r="H218" s="52">
        <f ca="1">SUMIFS(OFFSET('BPC Data'!$F:$F,0,Summary!H$2),'BPC Data'!$E:$E,Summary!$D218,'BPC Data'!$B:$B,Summary!$C218)</f>
        <v>0</v>
      </c>
      <c r="I218" s="59">
        <f ca="1">SUMIFS(OFFSET('BPC Data'!$F:$F,0,Summary!I$2),'BPC Data'!$E:$E,Summary!$D218,'BPC Data'!$B:$B,Summary!$C218)</f>
        <v>0</v>
      </c>
      <c r="J218" s="52">
        <f ca="1">SUMIFS(OFFSET('BPC Data'!$F:$F,0,Summary!J$2),'BPC Data'!$E:$E,Summary!$D218,'BPC Data'!$B:$B,Summary!$C218)</f>
        <v>0</v>
      </c>
      <c r="K218" s="59">
        <f ca="1">SUMIFS(OFFSET('BPC Data'!$F:$F,0,Summary!K$2),'BPC Data'!$E:$E,Summary!$D218,'BPC Data'!$B:$B,Summary!$C218)</f>
        <v>0</v>
      </c>
      <c r="L218" s="52">
        <f ca="1">SUMIFS(OFFSET('BPC Data'!$F:$F,0,Summary!L$2),'BPC Data'!$E:$E,Summary!$D218,'BPC Data'!$B:$B,Summary!$C218)</f>
        <v>0</v>
      </c>
      <c r="M218" s="59">
        <f ca="1">SUMIFS(OFFSET('BPC Data'!$F:$F,0,Summary!M$2),'BPC Data'!$E:$E,Summary!$D218,'BPC Data'!$B:$B,Summary!$C218)</f>
        <v>0</v>
      </c>
      <c r="N218" s="52">
        <f ca="1">SUMIFS(OFFSET('BPC Data'!$F:$F,0,Summary!N$2),'BPC Data'!$E:$E,Summary!$D218,'BPC Data'!$B:$B,Summary!$C218)</f>
        <v>0</v>
      </c>
      <c r="O218" s="18">
        <f t="shared" ca="1" si="44"/>
        <v>0</v>
      </c>
    </row>
    <row r="219" spans="1:15" s="11" customFormat="1" x14ac:dyDescent="0.55000000000000004">
      <c r="A219" s="11">
        <f>IF(AND(F219&lt;&gt;"",D219=""),A218+1,A218)</f>
        <v>20</v>
      </c>
      <c r="C219" t="str">
        <f>$F218</f>
        <v>Palm Terrace Care Center</v>
      </c>
      <c r="D219" s="3" t="str">
        <f t="shared" si="45"/>
        <v>PAY_PAT_DAYS - Total Payor Patient Days</v>
      </c>
      <c r="F219" s="14" t="str">
        <f>_xll.EVDES(D219)</f>
        <v>Total Payor Patient Days</v>
      </c>
      <c r="G219" s="60">
        <f ca="1">SUMIFS(OFFSET('BPC Data'!$F:$F,0,Summary!G$2),'BPC Data'!$E:$E,Summary!$D219,'BPC Data'!$B:$B,Summary!$C219)</f>
        <v>2031</v>
      </c>
      <c r="H219" s="53">
        <f ca="1">SUMIFS(OFFSET('BPC Data'!$F:$F,0,Summary!H$2),'BPC Data'!$E:$E,Summary!$D219,'BPC Data'!$B:$B,Summary!$C219)</f>
        <v>1808</v>
      </c>
      <c r="I219" s="60">
        <f ca="1">SUMIFS(OFFSET('BPC Data'!$F:$F,0,Summary!I$2),'BPC Data'!$E:$E,Summary!$D219,'BPC Data'!$B:$B,Summary!$C219)</f>
        <v>1898</v>
      </c>
      <c r="J219" s="53">
        <f ca="1">SUMIFS(OFFSET('BPC Data'!$F:$F,0,Summary!J$2),'BPC Data'!$E:$E,Summary!$D219,'BPC Data'!$B:$B,Summary!$C219)</f>
        <v>1924</v>
      </c>
      <c r="K219" s="60">
        <f ca="1">SUMIFS(OFFSET('BPC Data'!$F:$F,0,Summary!K$2),'BPC Data'!$E:$E,Summary!$D219,'BPC Data'!$B:$B,Summary!$C219)</f>
        <v>2017</v>
      </c>
      <c r="L219" s="53">
        <f ca="1">SUMIFS(OFFSET('BPC Data'!$F:$F,0,Summary!L$2),'BPC Data'!$E:$E,Summary!$D219,'BPC Data'!$B:$B,Summary!$C219)</f>
        <v>1963</v>
      </c>
      <c r="M219" s="60">
        <f ca="1">SUMIFS(OFFSET('BPC Data'!$F:$F,0,Summary!M$2),'BPC Data'!$E:$E,Summary!$D219,'BPC Data'!$B:$B,Summary!$C219)</f>
        <v>2024</v>
      </c>
      <c r="N219" s="53">
        <f ca="1">SUMIFS(OFFSET('BPC Data'!$F:$F,0,Summary!N$2),'BPC Data'!$E:$E,Summary!$D219,'BPC Data'!$B:$B,Summary!$C219)</f>
        <v>1979</v>
      </c>
      <c r="O219" s="18">
        <f t="shared" ca="1" si="44"/>
        <v>15644</v>
      </c>
    </row>
    <row r="220" spans="1:15" s="11" customFormat="1" x14ac:dyDescent="0.55000000000000004">
      <c r="A220" s="11">
        <f t="shared" ref="A220:A228" si="46">IF(AND(F220&lt;&gt;"",D220=""),A219+1,A219)</f>
        <v>20</v>
      </c>
      <c r="C220" t="str">
        <f>$F218</f>
        <v>Palm Terrace Care Center</v>
      </c>
      <c r="D220" s="3" t="str">
        <f t="shared" si="45"/>
        <v>A_BEDS_TOTAL - Total Available Beds</v>
      </c>
      <c r="F220" s="14" t="str">
        <f>_xll.EVDES(D220)</f>
        <v>Total Available Beds</v>
      </c>
      <c r="G220" s="60">
        <f ca="1">SUMIFS(OFFSET('BPC Data'!$F:$F,0,Summary!G$2),'BPC Data'!$E:$E,Summary!$D220,'BPC Data'!$B:$B,Summary!$C220)</f>
        <v>70</v>
      </c>
      <c r="H220" s="53">
        <f ca="1">SUMIFS(OFFSET('BPC Data'!$F:$F,0,Summary!H$2),'BPC Data'!$E:$E,Summary!$D220,'BPC Data'!$B:$B,Summary!$C220)</f>
        <v>70</v>
      </c>
      <c r="I220" s="60">
        <f ca="1">SUMIFS(OFFSET('BPC Data'!$F:$F,0,Summary!I$2),'BPC Data'!$E:$E,Summary!$D220,'BPC Data'!$B:$B,Summary!$C220)</f>
        <v>70</v>
      </c>
      <c r="J220" s="53">
        <f ca="1">SUMIFS(OFFSET('BPC Data'!$F:$F,0,Summary!J$2),'BPC Data'!$E:$E,Summary!$D220,'BPC Data'!$B:$B,Summary!$C220)</f>
        <v>70</v>
      </c>
      <c r="K220" s="60">
        <f ca="1">SUMIFS(OFFSET('BPC Data'!$F:$F,0,Summary!K$2),'BPC Data'!$E:$E,Summary!$D220,'BPC Data'!$B:$B,Summary!$C220)</f>
        <v>70</v>
      </c>
      <c r="L220" s="53">
        <f ca="1">SUMIFS(OFFSET('BPC Data'!$F:$F,0,Summary!L$2),'BPC Data'!$E:$E,Summary!$D220,'BPC Data'!$B:$B,Summary!$C220)</f>
        <v>70</v>
      </c>
      <c r="M220" s="60">
        <f ca="1">SUMIFS(OFFSET('BPC Data'!$F:$F,0,Summary!M$2),'BPC Data'!$E:$E,Summary!$D220,'BPC Data'!$B:$B,Summary!$C220)</f>
        <v>70</v>
      </c>
      <c r="N220" s="53">
        <f ca="1">SUMIFS(OFFSET('BPC Data'!$F:$F,0,Summary!N$2),'BPC Data'!$E:$E,Summary!$D220,'BPC Data'!$B:$B,Summary!$C220)</f>
        <v>70</v>
      </c>
      <c r="O220" s="18">
        <f ca="1">N220</f>
        <v>70</v>
      </c>
    </row>
    <row r="221" spans="1:15" s="11" customFormat="1" x14ac:dyDescent="0.55000000000000004">
      <c r="A221" s="11">
        <f t="shared" si="46"/>
        <v>20</v>
      </c>
      <c r="B221"/>
      <c r="C221" t="str">
        <f>$F218</f>
        <v>Palm Terrace Care Center</v>
      </c>
      <c r="D221" s="3" t="str">
        <f t="shared" si="45"/>
        <v>T_REVENUES - Total Tenant Revenues</v>
      </c>
      <c r="E221"/>
      <c r="F221" s="14" t="str">
        <f>_xll.EVDES(D221)</f>
        <v>Total Tenant Revenues</v>
      </c>
      <c r="G221" s="60">
        <f ca="1">SUMIFS(OFFSET('BPC Data'!$F:$F,0,Summary!G$2),'BPC Data'!$E:$E,Summary!$D221,'BPC Data'!$B:$B,Summary!$C221)</f>
        <v>1173397.7</v>
      </c>
      <c r="H221" s="53">
        <f ca="1">SUMIFS(OFFSET('BPC Data'!$F:$F,0,Summary!H$2),'BPC Data'!$E:$E,Summary!$D221,'BPC Data'!$B:$B,Summary!$C221)</f>
        <v>1048046.01</v>
      </c>
      <c r="I221" s="60">
        <f ca="1">SUMIFS(OFFSET('BPC Data'!$F:$F,0,Summary!I$2),'BPC Data'!$E:$E,Summary!$D221,'BPC Data'!$B:$B,Summary!$C221)</f>
        <v>1221624.23</v>
      </c>
      <c r="J221" s="53">
        <f ca="1">SUMIFS(OFFSET('BPC Data'!$F:$F,0,Summary!J$2),'BPC Data'!$E:$E,Summary!$D221,'BPC Data'!$B:$B,Summary!$C221)</f>
        <v>1305664.6100000001</v>
      </c>
      <c r="K221" s="60">
        <f ca="1">SUMIFS(OFFSET('BPC Data'!$F:$F,0,Summary!K$2),'BPC Data'!$E:$E,Summary!$D221,'BPC Data'!$B:$B,Summary!$C221)</f>
        <v>1358695.18</v>
      </c>
      <c r="L221" s="53">
        <f ca="1">SUMIFS(OFFSET('BPC Data'!$F:$F,0,Summary!L$2),'BPC Data'!$E:$E,Summary!$D221,'BPC Data'!$B:$B,Summary!$C221)</f>
        <v>1293757.4399999999</v>
      </c>
      <c r="M221" s="60">
        <f ca="1">SUMIFS(OFFSET('BPC Data'!$F:$F,0,Summary!M$2),'BPC Data'!$E:$E,Summary!$D221,'BPC Data'!$B:$B,Summary!$C221)</f>
        <v>1228551.2</v>
      </c>
      <c r="N221" s="53">
        <f ca="1">SUMIFS(OFFSET('BPC Data'!$F:$F,0,Summary!N$2),'BPC Data'!$E:$E,Summary!$D221,'BPC Data'!$B:$B,Summary!$C221)</f>
        <v>1262908.4099999999</v>
      </c>
      <c r="O221" s="18">
        <f t="shared" ref="O221:O230" ca="1" si="47">SUM(G221:N221)</f>
        <v>9892644.7799999993</v>
      </c>
    </row>
    <row r="222" spans="1:15" s="11" customFormat="1" x14ac:dyDescent="0.55000000000000004">
      <c r="A222" s="11">
        <f t="shared" si="46"/>
        <v>20</v>
      </c>
      <c r="B222"/>
      <c r="C222" t="str">
        <f>$F218</f>
        <v>Palm Terrace Care Center</v>
      </c>
      <c r="D222" s="3" t="str">
        <f t="shared" si="45"/>
        <v>T_OPEX - Tenant Operating Expenses</v>
      </c>
      <c r="E222"/>
      <c r="F222" s="14" t="str">
        <f>_xll.EVDES(D222)</f>
        <v>Tenant Operating Expenses</v>
      </c>
      <c r="G222" s="60">
        <f ca="1">SUMIFS(OFFSET('BPC Data'!$F:$F,0,Summary!G$2),'BPC Data'!$E:$E,Summary!$D222,'BPC Data'!$B:$B,Summary!$C222)</f>
        <v>1143157.57</v>
      </c>
      <c r="H222" s="53">
        <f ca="1">SUMIFS(OFFSET('BPC Data'!$F:$F,0,Summary!H$2),'BPC Data'!$E:$E,Summary!$D222,'BPC Data'!$B:$B,Summary!$C222)</f>
        <v>782290.18</v>
      </c>
      <c r="I222" s="60">
        <f ca="1">SUMIFS(OFFSET('BPC Data'!$F:$F,0,Summary!I$2),'BPC Data'!$E:$E,Summary!$D222,'BPC Data'!$B:$B,Summary!$C222)</f>
        <v>884334.01</v>
      </c>
      <c r="J222" s="53">
        <f ca="1">SUMIFS(OFFSET('BPC Data'!$F:$F,0,Summary!J$2),'BPC Data'!$E:$E,Summary!$D222,'BPC Data'!$B:$B,Summary!$C222)</f>
        <v>878745.13</v>
      </c>
      <c r="K222" s="60">
        <f ca="1">SUMIFS(OFFSET('BPC Data'!$F:$F,0,Summary!K$2),'BPC Data'!$E:$E,Summary!$D222,'BPC Data'!$B:$B,Summary!$C222)</f>
        <v>933353.79</v>
      </c>
      <c r="L222" s="53">
        <f ca="1">SUMIFS(OFFSET('BPC Data'!$F:$F,0,Summary!L$2),'BPC Data'!$E:$E,Summary!$D222,'BPC Data'!$B:$B,Summary!$C222)</f>
        <v>955122.18</v>
      </c>
      <c r="M222" s="60">
        <f ca="1">SUMIFS(OFFSET('BPC Data'!$F:$F,0,Summary!M$2),'BPC Data'!$E:$E,Summary!$D222,'BPC Data'!$B:$B,Summary!$C222)</f>
        <v>826865.29</v>
      </c>
      <c r="N222" s="53">
        <f ca="1">SUMIFS(OFFSET('BPC Data'!$F:$F,0,Summary!N$2),'BPC Data'!$E:$E,Summary!$D222,'BPC Data'!$B:$B,Summary!$C222)</f>
        <v>895813.05</v>
      </c>
      <c r="O222" s="18">
        <f t="shared" ca="1" si="47"/>
        <v>7299681.1999999993</v>
      </c>
    </row>
    <row r="223" spans="1:15" s="11" customFormat="1" x14ac:dyDescent="0.55000000000000004">
      <c r="A223" s="11">
        <f t="shared" si="46"/>
        <v>20</v>
      </c>
      <c r="B223"/>
      <c r="C223" t="str">
        <f>$F218</f>
        <v>Palm Terrace Care Center</v>
      </c>
      <c r="D223" s="3" t="str">
        <f t="shared" si="45"/>
        <v>T_BAD_DEBT - Tenant Bad Debt Expense</v>
      </c>
      <c r="E223"/>
      <c r="F223" s="14" t="str">
        <f>_xll.EVDES(D223)</f>
        <v>Tenant Bad Debt Expense</v>
      </c>
      <c r="G223" s="60">
        <f ca="1">SUMIFS(OFFSET('BPC Data'!$F:$F,0,Summary!G$2),'BPC Data'!$E:$E,Summary!$D223,'BPC Data'!$B:$B,Summary!$C223)</f>
        <v>65674.06</v>
      </c>
      <c r="H223" s="53">
        <f ca="1">SUMIFS(OFFSET('BPC Data'!$F:$F,0,Summary!H$2),'BPC Data'!$E:$E,Summary!$D223,'BPC Data'!$B:$B,Summary!$C223)</f>
        <v>-32998.82</v>
      </c>
      <c r="I223" s="60">
        <f ca="1">SUMIFS(OFFSET('BPC Data'!$F:$F,0,Summary!I$2),'BPC Data'!$E:$E,Summary!$D223,'BPC Data'!$B:$B,Summary!$C223)</f>
        <v>1060.5</v>
      </c>
      <c r="J223" s="53">
        <f ca="1">SUMIFS(OFFSET('BPC Data'!$F:$F,0,Summary!J$2),'BPC Data'!$E:$E,Summary!$D223,'BPC Data'!$B:$B,Summary!$C223)</f>
        <v>10528.79</v>
      </c>
      <c r="K223" s="60">
        <f ca="1">SUMIFS(OFFSET('BPC Data'!$F:$F,0,Summary!K$2),'BPC Data'!$E:$E,Summary!$D223,'BPC Data'!$B:$B,Summary!$C223)</f>
        <v>-3251.36</v>
      </c>
      <c r="L223" s="53">
        <f ca="1">SUMIFS(OFFSET('BPC Data'!$F:$F,0,Summary!L$2),'BPC Data'!$E:$E,Summary!$D223,'BPC Data'!$B:$B,Summary!$C223)</f>
        <v>4021.4</v>
      </c>
      <c r="M223" s="60">
        <f ca="1">SUMIFS(OFFSET('BPC Data'!$F:$F,0,Summary!M$2),'BPC Data'!$E:$E,Summary!$D223,'BPC Data'!$B:$B,Summary!$C223)</f>
        <v>9711.33</v>
      </c>
      <c r="N223" s="53">
        <f ca="1">SUMIFS(OFFSET('BPC Data'!$F:$F,0,Summary!N$2),'BPC Data'!$E:$E,Summary!$D223,'BPC Data'!$B:$B,Summary!$C223)</f>
        <v>40398.07</v>
      </c>
      <c r="O223" s="18">
        <f t="shared" ca="1" si="47"/>
        <v>95143.97</v>
      </c>
    </row>
    <row r="224" spans="1:15" s="11" customFormat="1" x14ac:dyDescent="0.55000000000000004">
      <c r="A224" s="11">
        <f t="shared" si="46"/>
        <v>20</v>
      </c>
      <c r="B224"/>
      <c r="C224" t="str">
        <f>$F218</f>
        <v>Palm Terrace Care Center</v>
      </c>
      <c r="D224" s="2" t="str">
        <f t="shared" si="45"/>
        <v>T_EBITDARM - EBITDARM</v>
      </c>
      <c r="E224"/>
      <c r="F224" s="14" t="str">
        <f>_xll.EVDES(D224)</f>
        <v>EBITDARM</v>
      </c>
      <c r="G224" s="60">
        <f ca="1">SUMIFS(OFFSET('BPC Data'!$F:$F,0,Summary!G$2),'BPC Data'!$E:$E,Summary!$D224,'BPC Data'!$B:$B,Summary!$C224)</f>
        <v>30240.130000000099</v>
      </c>
      <c r="H224" s="53">
        <f ca="1">SUMIFS(OFFSET('BPC Data'!$F:$F,0,Summary!H$2),'BPC Data'!$E:$E,Summary!$D224,'BPC Data'!$B:$B,Summary!$C224)</f>
        <v>265755.83</v>
      </c>
      <c r="I224" s="60">
        <f ca="1">SUMIFS(OFFSET('BPC Data'!$F:$F,0,Summary!I$2),'BPC Data'!$E:$E,Summary!$D224,'BPC Data'!$B:$B,Summary!$C224)</f>
        <v>337290.22</v>
      </c>
      <c r="J224" s="53">
        <f ca="1">SUMIFS(OFFSET('BPC Data'!$F:$F,0,Summary!J$2),'BPC Data'!$E:$E,Summary!$D224,'BPC Data'!$B:$B,Summary!$C224)</f>
        <v>426919.48</v>
      </c>
      <c r="K224" s="60">
        <f ca="1">SUMIFS(OFFSET('BPC Data'!$F:$F,0,Summary!K$2),'BPC Data'!$E:$E,Summary!$D224,'BPC Data'!$B:$B,Summary!$C224)</f>
        <v>425341.39</v>
      </c>
      <c r="L224" s="53">
        <f ca="1">SUMIFS(OFFSET('BPC Data'!$F:$F,0,Summary!L$2),'BPC Data'!$E:$E,Summary!$D224,'BPC Data'!$B:$B,Summary!$C224)</f>
        <v>338635.26</v>
      </c>
      <c r="M224" s="60">
        <f ca="1">SUMIFS(OFFSET('BPC Data'!$F:$F,0,Summary!M$2),'BPC Data'!$E:$E,Summary!$D224,'BPC Data'!$B:$B,Summary!$C224)</f>
        <v>401685.91</v>
      </c>
      <c r="N224" s="53">
        <f ca="1">SUMIFS(OFFSET('BPC Data'!$F:$F,0,Summary!N$2),'BPC Data'!$E:$E,Summary!$D224,'BPC Data'!$B:$B,Summary!$C224)</f>
        <v>367095.36</v>
      </c>
      <c r="O224" s="18">
        <f t="shared" ca="1" si="47"/>
        <v>2592963.58</v>
      </c>
    </row>
    <row r="225" spans="1:15" s="11" customFormat="1" x14ac:dyDescent="0.55000000000000004">
      <c r="A225" s="11">
        <f t="shared" si="46"/>
        <v>20</v>
      </c>
      <c r="B225"/>
      <c r="C225" t="str">
        <f>$F218</f>
        <v>Palm Terrace Care Center</v>
      </c>
      <c r="D225" s="2" t="str">
        <f t="shared" si="45"/>
        <v>T_MGMT_FEE - Tenant Management Fee - Actual</v>
      </c>
      <c r="E225"/>
      <c r="F225" s="14" t="str">
        <f>_xll.EVDES(D225)</f>
        <v>Tenant Management Fee - Actual</v>
      </c>
      <c r="G225" s="60">
        <f ca="1">SUMIFS(OFFSET('BPC Data'!$F:$F,0,Summary!G$2),'BPC Data'!$E:$E,Summary!$D225,'BPC Data'!$B:$B,Summary!$C225)</f>
        <v>54221</v>
      </c>
      <c r="H225" s="53">
        <f ca="1">SUMIFS(OFFSET('BPC Data'!$F:$F,0,Summary!H$2),'BPC Data'!$E:$E,Summary!$D225,'BPC Data'!$B:$B,Summary!$C225)</f>
        <v>58669</v>
      </c>
      <c r="I225" s="60">
        <f ca="1">SUMIFS(OFFSET('BPC Data'!$F:$F,0,Summary!I$2),'BPC Data'!$E:$E,Summary!$D225,'BPC Data'!$B:$B,Summary!$C225)</f>
        <v>52402</v>
      </c>
      <c r="J225" s="53">
        <f ca="1">SUMIFS(OFFSET('BPC Data'!$F:$F,0,Summary!J$2),'BPC Data'!$E:$E,Summary!$D225,'BPC Data'!$B:$B,Summary!$C225)</f>
        <v>61081</v>
      </c>
      <c r="K225" s="60">
        <f ca="1">SUMIFS(OFFSET('BPC Data'!$F:$F,0,Summary!K$2),'BPC Data'!$E:$E,Summary!$D225,'BPC Data'!$B:$B,Summary!$C225)</f>
        <v>65283</v>
      </c>
      <c r="L225" s="53">
        <f ca="1">SUMIFS(OFFSET('BPC Data'!$F:$F,0,Summary!L$2),'BPC Data'!$E:$E,Summary!$D225,'BPC Data'!$B:$B,Summary!$C225)</f>
        <v>67934</v>
      </c>
      <c r="M225" s="60">
        <f ca="1">SUMIFS(OFFSET('BPC Data'!$F:$F,0,Summary!M$2),'BPC Data'!$E:$E,Summary!$D225,'BPC Data'!$B:$B,Summary!$C225)</f>
        <v>64687</v>
      </c>
      <c r="N225" s="53">
        <f ca="1">SUMIFS(OFFSET('BPC Data'!$F:$F,0,Summary!N$2),'BPC Data'!$E:$E,Summary!$D225,'BPC Data'!$B:$B,Summary!$C225)</f>
        <v>61427</v>
      </c>
      <c r="O225" s="18">
        <f t="shared" ca="1" si="47"/>
        <v>485704</v>
      </c>
    </row>
    <row r="226" spans="1:15" s="11" customFormat="1" x14ac:dyDescent="0.55000000000000004">
      <c r="A226" s="11">
        <f t="shared" si="46"/>
        <v>20</v>
      </c>
      <c r="B226"/>
      <c r="C226" t="str">
        <f>$F218</f>
        <v>Palm Terrace Care Center</v>
      </c>
      <c r="D226" s="1" t="str">
        <f t="shared" si="45"/>
        <v>T_EBITDAR - EBITDAR</v>
      </c>
      <c r="E226"/>
      <c r="F226" s="14" t="str">
        <f>_xll.EVDES(D226)</f>
        <v>EBITDAR</v>
      </c>
      <c r="G226" s="60">
        <f ca="1">SUMIFS(OFFSET('BPC Data'!$F:$F,0,Summary!G$2),'BPC Data'!$E:$E,Summary!$D226,'BPC Data'!$B:$B,Summary!$C226)</f>
        <v>-23980.869999999901</v>
      </c>
      <c r="H226" s="53">
        <f ca="1">SUMIFS(OFFSET('BPC Data'!$F:$F,0,Summary!H$2),'BPC Data'!$E:$E,Summary!$D226,'BPC Data'!$B:$B,Summary!$C226)</f>
        <v>207086.83</v>
      </c>
      <c r="I226" s="60">
        <f ca="1">SUMIFS(OFFSET('BPC Data'!$F:$F,0,Summary!I$2),'BPC Data'!$E:$E,Summary!$D226,'BPC Data'!$B:$B,Summary!$C226)</f>
        <v>284888.21999999997</v>
      </c>
      <c r="J226" s="53">
        <f ca="1">SUMIFS(OFFSET('BPC Data'!$F:$F,0,Summary!J$2),'BPC Data'!$E:$E,Summary!$D226,'BPC Data'!$B:$B,Summary!$C226)</f>
        <v>365838.48</v>
      </c>
      <c r="K226" s="60">
        <f ca="1">SUMIFS(OFFSET('BPC Data'!$F:$F,0,Summary!K$2),'BPC Data'!$E:$E,Summary!$D226,'BPC Data'!$B:$B,Summary!$C226)</f>
        <v>360058.39</v>
      </c>
      <c r="L226" s="53">
        <f ca="1">SUMIFS(OFFSET('BPC Data'!$F:$F,0,Summary!L$2),'BPC Data'!$E:$E,Summary!$D226,'BPC Data'!$B:$B,Summary!$C226)</f>
        <v>270701.26</v>
      </c>
      <c r="M226" s="60">
        <f ca="1">SUMIFS(OFFSET('BPC Data'!$F:$F,0,Summary!M$2),'BPC Data'!$E:$E,Summary!$D226,'BPC Data'!$B:$B,Summary!$C226)</f>
        <v>336998.91</v>
      </c>
      <c r="N226" s="53">
        <f ca="1">SUMIFS(OFFSET('BPC Data'!$F:$F,0,Summary!N$2),'BPC Data'!$E:$E,Summary!$D226,'BPC Data'!$B:$B,Summary!$C226)</f>
        <v>305668.36</v>
      </c>
      <c r="O226" s="18">
        <f t="shared" ca="1" si="47"/>
        <v>2107259.58</v>
      </c>
    </row>
    <row r="227" spans="1:15" s="11" customFormat="1" x14ac:dyDescent="0.55000000000000004">
      <c r="A227" s="11">
        <f t="shared" si="46"/>
        <v>20</v>
      </c>
      <c r="B227"/>
      <c r="C227" t="str">
        <f>$F218</f>
        <v>Palm Terrace Care Center</v>
      </c>
      <c r="D227" s="1" t="str">
        <f t="shared" si="45"/>
        <v>T_RENT_EXP - Tenant Rent Expense</v>
      </c>
      <c r="E227"/>
      <c r="F227" s="14" t="str">
        <f>_xll.EVDES(D227)</f>
        <v>Tenant Rent Expense</v>
      </c>
      <c r="G227" s="60">
        <f ca="1">SUMIFS(OFFSET('BPC Data'!$F:$F,0,Summary!G$2),'BPC Data'!$E:$E,Summary!$D227,'BPC Data'!$B:$B,Summary!$C227)</f>
        <v>112458.21</v>
      </c>
      <c r="H227" s="53">
        <f ca="1">SUMIFS(OFFSET('BPC Data'!$F:$F,0,Summary!H$2),'BPC Data'!$E:$E,Summary!$D227,'BPC Data'!$B:$B,Summary!$C227)</f>
        <v>112458.21</v>
      </c>
      <c r="I227" s="60">
        <f ca="1">SUMIFS(OFFSET('BPC Data'!$F:$F,0,Summary!I$2),'BPC Data'!$E:$E,Summary!$D227,'BPC Data'!$B:$B,Summary!$C227)</f>
        <v>112458.21</v>
      </c>
      <c r="J227" s="53">
        <f ca="1">SUMIFS(OFFSET('BPC Data'!$F:$F,0,Summary!J$2),'BPC Data'!$E:$E,Summary!$D227,'BPC Data'!$B:$B,Summary!$C227)</f>
        <v>112458.21</v>
      </c>
      <c r="K227" s="60">
        <f ca="1">SUMIFS(OFFSET('BPC Data'!$F:$F,0,Summary!K$2),'BPC Data'!$E:$E,Summary!$D227,'BPC Data'!$B:$B,Summary!$C227)</f>
        <v>112458.21</v>
      </c>
      <c r="L227" s="53">
        <f ca="1">SUMIFS(OFFSET('BPC Data'!$F:$F,0,Summary!L$2),'BPC Data'!$E:$E,Summary!$D227,'BPC Data'!$B:$B,Summary!$C227)</f>
        <v>112458.21</v>
      </c>
      <c r="M227" s="60">
        <f ca="1">SUMIFS(OFFSET('BPC Data'!$F:$F,0,Summary!M$2),'BPC Data'!$E:$E,Summary!$D227,'BPC Data'!$B:$B,Summary!$C227)</f>
        <v>112458.21</v>
      </c>
      <c r="N227" s="53">
        <f ca="1">SUMIFS(OFFSET('BPC Data'!$F:$F,0,Summary!N$2),'BPC Data'!$E:$E,Summary!$D227,'BPC Data'!$B:$B,Summary!$C227)</f>
        <v>112458.21</v>
      </c>
      <c r="O227" s="18">
        <f t="shared" ca="1" si="47"/>
        <v>899665.67999999993</v>
      </c>
    </row>
    <row r="228" spans="1:15" s="11" customFormat="1" x14ac:dyDescent="0.55000000000000004">
      <c r="A228" s="11">
        <f t="shared" si="46"/>
        <v>20</v>
      </c>
      <c r="B228"/>
      <c r="C228"/>
      <c r="D228" s="1" t="str">
        <f t="shared" si="45"/>
        <v>x</v>
      </c>
      <c r="E228"/>
      <c r="F228" s="14" t="s">
        <v>0</v>
      </c>
      <c r="G228" s="61">
        <f ca="1">SUMIFS(OFFSET('BPC Data'!$F:$F,0,Summary!G$2),'BPC Data'!$E:$E,Summary!$D228,'BPC Data'!$B:$B,Summary!$C228)</f>
        <v>0</v>
      </c>
      <c r="H228" s="54">
        <f ca="1">SUMIFS(OFFSET('BPC Data'!$F:$F,0,Summary!H$2),'BPC Data'!$E:$E,Summary!$D228,'BPC Data'!$B:$B,Summary!$C228)</f>
        <v>0</v>
      </c>
      <c r="I228" s="61">
        <f ca="1">SUMIFS(OFFSET('BPC Data'!$F:$F,0,Summary!I$2),'BPC Data'!$E:$E,Summary!$D228,'BPC Data'!$B:$B,Summary!$C228)</f>
        <v>0</v>
      </c>
      <c r="J228" s="54">
        <f ca="1">SUMIFS(OFFSET('BPC Data'!$F:$F,0,Summary!J$2),'BPC Data'!$E:$E,Summary!$D228,'BPC Data'!$B:$B,Summary!$C228)</f>
        <v>0</v>
      </c>
      <c r="K228" s="61">
        <f ca="1">SUMIFS(OFFSET('BPC Data'!$F:$F,0,Summary!K$2),'BPC Data'!$E:$E,Summary!$D228,'BPC Data'!$B:$B,Summary!$C228)</f>
        <v>0</v>
      </c>
      <c r="L228" s="54">
        <f ca="1">SUMIFS(OFFSET('BPC Data'!$F:$F,0,Summary!L$2),'BPC Data'!$E:$E,Summary!$D228,'BPC Data'!$B:$B,Summary!$C228)</f>
        <v>0</v>
      </c>
      <c r="M228" s="61">
        <f ca="1">SUMIFS(OFFSET('BPC Data'!$F:$F,0,Summary!M$2),'BPC Data'!$E:$E,Summary!$D228,'BPC Data'!$B:$B,Summary!$C228)</f>
        <v>0</v>
      </c>
      <c r="N228" s="54">
        <f ca="1">SUMIFS(OFFSET('BPC Data'!$F:$F,0,Summary!N$2),'BPC Data'!$E:$E,Summary!$D228,'BPC Data'!$B:$B,Summary!$C228)</f>
        <v>0</v>
      </c>
      <c r="O228" s="18">
        <f t="shared" ca="1" si="47"/>
        <v>0</v>
      </c>
    </row>
    <row r="229" spans="1:15" s="11" customFormat="1" x14ac:dyDescent="0.55000000000000004">
      <c r="A229" s="11">
        <f>IF(AND(D229&lt;&gt;"",C229=""),A228+1,A228)</f>
        <v>21</v>
      </c>
      <c r="B229" s="4"/>
      <c r="C229" s="4"/>
      <c r="D229" s="4" t="str">
        <f t="shared" si="45"/>
        <v>x</v>
      </c>
      <c r="E229" s="4"/>
      <c r="F229" s="13" t="str">
        <f>INDEX(PropertyList!$D:$D,MATCH(Summary!$A229,PropertyList!$C:$C,0))</f>
        <v>Woodland Nursing &amp; Rehab</v>
      </c>
      <c r="G229" s="59">
        <f ca="1">SUMIFS(OFFSET('BPC Data'!$F:$F,0,Summary!G$2),'BPC Data'!$E:$E,Summary!$D229,'BPC Data'!$B:$B,Summary!$C229)</f>
        <v>0</v>
      </c>
      <c r="H229" s="52">
        <f ca="1">SUMIFS(OFFSET('BPC Data'!$F:$F,0,Summary!H$2),'BPC Data'!$E:$E,Summary!$D229,'BPC Data'!$B:$B,Summary!$C229)</f>
        <v>0</v>
      </c>
      <c r="I229" s="59">
        <f ca="1">SUMIFS(OFFSET('BPC Data'!$F:$F,0,Summary!I$2),'BPC Data'!$E:$E,Summary!$D229,'BPC Data'!$B:$B,Summary!$C229)</f>
        <v>0</v>
      </c>
      <c r="J229" s="52">
        <f ca="1">SUMIFS(OFFSET('BPC Data'!$F:$F,0,Summary!J$2),'BPC Data'!$E:$E,Summary!$D229,'BPC Data'!$B:$B,Summary!$C229)</f>
        <v>0</v>
      </c>
      <c r="K229" s="59">
        <f ca="1">SUMIFS(OFFSET('BPC Data'!$F:$F,0,Summary!K$2),'BPC Data'!$E:$E,Summary!$D229,'BPC Data'!$B:$B,Summary!$C229)</f>
        <v>0</v>
      </c>
      <c r="L229" s="52">
        <f ca="1">SUMIFS(OFFSET('BPC Data'!$F:$F,0,Summary!L$2),'BPC Data'!$E:$E,Summary!$D229,'BPC Data'!$B:$B,Summary!$C229)</f>
        <v>0</v>
      </c>
      <c r="M229" s="59">
        <f ca="1">SUMIFS(OFFSET('BPC Data'!$F:$F,0,Summary!M$2),'BPC Data'!$E:$E,Summary!$D229,'BPC Data'!$B:$B,Summary!$C229)</f>
        <v>0</v>
      </c>
      <c r="N229" s="52">
        <f ca="1">SUMIFS(OFFSET('BPC Data'!$F:$F,0,Summary!N$2),'BPC Data'!$E:$E,Summary!$D229,'BPC Data'!$B:$B,Summary!$C229)</f>
        <v>0</v>
      </c>
      <c r="O229" s="18">
        <f t="shared" ca="1" si="47"/>
        <v>0</v>
      </c>
    </row>
    <row r="230" spans="1:15" s="11" customFormat="1" x14ac:dyDescent="0.55000000000000004">
      <c r="A230" s="11">
        <f>IF(AND(F230&lt;&gt;"",D230=""),A229+1,A229)</f>
        <v>21</v>
      </c>
      <c r="C230" t="str">
        <f>$F229</f>
        <v>Woodland Nursing &amp; Rehab</v>
      </c>
      <c r="D230" s="3" t="str">
        <f t="shared" si="45"/>
        <v>PAY_PAT_DAYS - Total Payor Patient Days</v>
      </c>
      <c r="F230" s="14" t="str">
        <f>_xll.EVDES(D230)</f>
        <v>Total Payor Patient Days</v>
      </c>
      <c r="G230" s="60">
        <f ca="1">SUMIFS(OFFSET('BPC Data'!$F:$F,0,Summary!G$2),'BPC Data'!$E:$E,Summary!$D230,'BPC Data'!$B:$B,Summary!$C230)</f>
        <v>1953</v>
      </c>
      <c r="H230" s="53">
        <f ca="1">SUMIFS(OFFSET('BPC Data'!$F:$F,0,Summary!H$2),'BPC Data'!$E:$E,Summary!$D230,'BPC Data'!$B:$B,Summary!$C230)</f>
        <v>1977</v>
      </c>
      <c r="I230" s="60">
        <f ca="1">SUMIFS(OFFSET('BPC Data'!$F:$F,0,Summary!I$2),'BPC Data'!$E:$E,Summary!$D230,'BPC Data'!$B:$B,Summary!$C230)</f>
        <v>2316</v>
      </c>
      <c r="J230" s="53">
        <f ca="1">SUMIFS(OFFSET('BPC Data'!$F:$F,0,Summary!J$2),'BPC Data'!$E:$E,Summary!$D230,'BPC Data'!$B:$B,Summary!$C230)</f>
        <v>2197</v>
      </c>
      <c r="K230" s="60">
        <f ca="1">SUMIFS(OFFSET('BPC Data'!$F:$F,0,Summary!K$2),'BPC Data'!$E:$E,Summary!$D230,'BPC Data'!$B:$B,Summary!$C230)</f>
        <v>2373</v>
      </c>
      <c r="L230" s="53">
        <f ca="1">SUMIFS(OFFSET('BPC Data'!$F:$F,0,Summary!L$2),'BPC Data'!$E:$E,Summary!$D230,'BPC Data'!$B:$B,Summary!$C230)</f>
        <v>2311</v>
      </c>
      <c r="M230" s="60">
        <f ca="1">SUMIFS(OFFSET('BPC Data'!$F:$F,0,Summary!M$2),'BPC Data'!$E:$E,Summary!$D230,'BPC Data'!$B:$B,Summary!$C230)</f>
        <v>2516</v>
      </c>
      <c r="N230" s="53">
        <f ca="1">SUMIFS(OFFSET('BPC Data'!$F:$F,0,Summary!N$2),'BPC Data'!$E:$E,Summary!$D230,'BPC Data'!$B:$B,Summary!$C230)</f>
        <v>2473</v>
      </c>
      <c r="O230" s="18">
        <f t="shared" ca="1" si="47"/>
        <v>18116</v>
      </c>
    </row>
    <row r="231" spans="1:15" s="11" customFormat="1" x14ac:dyDescent="0.55000000000000004">
      <c r="A231" s="11">
        <f t="shared" ref="A231:A239" si="48">IF(AND(F231&lt;&gt;"",D231=""),A230+1,A230)</f>
        <v>21</v>
      </c>
      <c r="C231" t="str">
        <f>$F229</f>
        <v>Woodland Nursing &amp; Rehab</v>
      </c>
      <c r="D231" s="3" t="str">
        <f t="shared" si="45"/>
        <v>A_BEDS_TOTAL - Total Available Beds</v>
      </c>
      <c r="F231" s="14" t="str">
        <f>_xll.EVDES(D231)</f>
        <v>Total Available Beds</v>
      </c>
      <c r="G231" s="60">
        <f ca="1">SUMIFS(OFFSET('BPC Data'!$F:$F,0,Summary!G$2),'BPC Data'!$E:$E,Summary!$D231,'BPC Data'!$B:$B,Summary!$C231)</f>
        <v>91</v>
      </c>
      <c r="H231" s="53">
        <f ca="1">SUMIFS(OFFSET('BPC Data'!$F:$F,0,Summary!H$2),'BPC Data'!$E:$E,Summary!$D231,'BPC Data'!$B:$B,Summary!$C231)</f>
        <v>91</v>
      </c>
      <c r="I231" s="60">
        <f ca="1">SUMIFS(OFFSET('BPC Data'!$F:$F,0,Summary!I$2),'BPC Data'!$E:$E,Summary!$D231,'BPC Data'!$B:$B,Summary!$C231)</f>
        <v>91</v>
      </c>
      <c r="J231" s="53">
        <f ca="1">SUMIFS(OFFSET('BPC Data'!$F:$F,0,Summary!J$2),'BPC Data'!$E:$E,Summary!$D231,'BPC Data'!$B:$B,Summary!$C231)</f>
        <v>91</v>
      </c>
      <c r="K231" s="60">
        <f ca="1">SUMIFS(OFFSET('BPC Data'!$F:$F,0,Summary!K$2),'BPC Data'!$E:$E,Summary!$D231,'BPC Data'!$B:$B,Summary!$C231)</f>
        <v>91</v>
      </c>
      <c r="L231" s="53">
        <f ca="1">SUMIFS(OFFSET('BPC Data'!$F:$F,0,Summary!L$2),'BPC Data'!$E:$E,Summary!$D231,'BPC Data'!$B:$B,Summary!$C231)</f>
        <v>91</v>
      </c>
      <c r="M231" s="60">
        <f ca="1">SUMIFS(OFFSET('BPC Data'!$F:$F,0,Summary!M$2),'BPC Data'!$E:$E,Summary!$D231,'BPC Data'!$B:$B,Summary!$C231)</f>
        <v>91</v>
      </c>
      <c r="N231" s="53">
        <f ca="1">SUMIFS(OFFSET('BPC Data'!$F:$F,0,Summary!N$2),'BPC Data'!$E:$E,Summary!$D231,'BPC Data'!$B:$B,Summary!$C231)</f>
        <v>91</v>
      </c>
      <c r="O231" s="18">
        <f ca="1">N231</f>
        <v>91</v>
      </c>
    </row>
    <row r="232" spans="1:15" s="11" customFormat="1" x14ac:dyDescent="0.55000000000000004">
      <c r="A232" s="11">
        <f t="shared" si="48"/>
        <v>21</v>
      </c>
      <c r="B232"/>
      <c r="C232" t="str">
        <f>$F229</f>
        <v>Woodland Nursing &amp; Rehab</v>
      </c>
      <c r="D232" s="3" t="str">
        <f t="shared" si="45"/>
        <v>T_REVENUES - Total Tenant Revenues</v>
      </c>
      <c r="E232"/>
      <c r="F232" s="14" t="str">
        <f>_xll.EVDES(D232)</f>
        <v>Total Tenant Revenues</v>
      </c>
      <c r="G232" s="60">
        <f ca="1">SUMIFS(OFFSET('BPC Data'!$F:$F,0,Summary!G$2),'BPC Data'!$E:$E,Summary!$D232,'BPC Data'!$B:$B,Summary!$C232)</f>
        <v>948662.56</v>
      </c>
      <c r="H232" s="53">
        <f ca="1">SUMIFS(OFFSET('BPC Data'!$F:$F,0,Summary!H$2),'BPC Data'!$E:$E,Summary!$D232,'BPC Data'!$B:$B,Summary!$C232)</f>
        <v>913537.79</v>
      </c>
      <c r="I232" s="60">
        <f ca="1">SUMIFS(OFFSET('BPC Data'!$F:$F,0,Summary!I$2),'BPC Data'!$E:$E,Summary!$D232,'BPC Data'!$B:$B,Summary!$C232)</f>
        <v>1027918.77</v>
      </c>
      <c r="J232" s="53">
        <f ca="1">SUMIFS(OFFSET('BPC Data'!$F:$F,0,Summary!J$2),'BPC Data'!$E:$E,Summary!$D232,'BPC Data'!$B:$B,Summary!$C232)</f>
        <v>946295.18</v>
      </c>
      <c r="K232" s="60">
        <f ca="1">SUMIFS(OFFSET('BPC Data'!$F:$F,0,Summary!K$2),'BPC Data'!$E:$E,Summary!$D232,'BPC Data'!$B:$B,Summary!$C232)</f>
        <v>928900.09</v>
      </c>
      <c r="L232" s="53">
        <f ca="1">SUMIFS(OFFSET('BPC Data'!$F:$F,0,Summary!L$2),'BPC Data'!$E:$E,Summary!$D232,'BPC Data'!$B:$B,Summary!$C232)</f>
        <v>880807.68</v>
      </c>
      <c r="M232" s="60">
        <f ca="1">SUMIFS(OFFSET('BPC Data'!$F:$F,0,Summary!M$2),'BPC Data'!$E:$E,Summary!$D232,'BPC Data'!$B:$B,Summary!$C232)</f>
        <v>973360.14</v>
      </c>
      <c r="N232" s="53">
        <f ca="1">SUMIFS(OFFSET('BPC Data'!$F:$F,0,Summary!N$2),'BPC Data'!$E:$E,Summary!$D232,'BPC Data'!$B:$B,Summary!$C232)</f>
        <v>990144.48</v>
      </c>
      <c r="O232" s="18">
        <f t="shared" ref="O232:O241" ca="1" si="49">SUM(G232:N232)</f>
        <v>7609626.6899999995</v>
      </c>
    </row>
    <row r="233" spans="1:15" s="11" customFormat="1" x14ac:dyDescent="0.55000000000000004">
      <c r="A233" s="11">
        <f t="shared" si="48"/>
        <v>21</v>
      </c>
      <c r="B233"/>
      <c r="C233" t="str">
        <f>$F229</f>
        <v>Woodland Nursing &amp; Rehab</v>
      </c>
      <c r="D233" s="3" t="str">
        <f t="shared" si="45"/>
        <v>T_OPEX - Tenant Operating Expenses</v>
      </c>
      <c r="E233"/>
      <c r="F233" s="14" t="str">
        <f>_xll.EVDES(D233)</f>
        <v>Tenant Operating Expenses</v>
      </c>
      <c r="G233" s="60">
        <f ca="1">SUMIFS(OFFSET('BPC Data'!$F:$F,0,Summary!G$2),'BPC Data'!$E:$E,Summary!$D233,'BPC Data'!$B:$B,Summary!$C233)</f>
        <v>712846.86</v>
      </c>
      <c r="H233" s="53">
        <f ca="1">SUMIFS(OFFSET('BPC Data'!$F:$F,0,Summary!H$2),'BPC Data'!$E:$E,Summary!$D233,'BPC Data'!$B:$B,Summary!$C233)</f>
        <v>696540.51</v>
      </c>
      <c r="I233" s="60">
        <f ca="1">SUMIFS(OFFSET('BPC Data'!$F:$F,0,Summary!I$2),'BPC Data'!$E:$E,Summary!$D233,'BPC Data'!$B:$B,Summary!$C233)</f>
        <v>796460.61</v>
      </c>
      <c r="J233" s="53">
        <f ca="1">SUMIFS(OFFSET('BPC Data'!$F:$F,0,Summary!J$2),'BPC Data'!$E:$E,Summary!$D233,'BPC Data'!$B:$B,Summary!$C233)</f>
        <v>764235.75</v>
      </c>
      <c r="K233" s="60">
        <f ca="1">SUMIFS(OFFSET('BPC Data'!$F:$F,0,Summary!K$2),'BPC Data'!$E:$E,Summary!$D233,'BPC Data'!$B:$B,Summary!$C233)</f>
        <v>753818.33</v>
      </c>
      <c r="L233" s="53">
        <f ca="1">SUMIFS(OFFSET('BPC Data'!$F:$F,0,Summary!L$2),'BPC Data'!$E:$E,Summary!$D233,'BPC Data'!$B:$B,Summary!$C233)</f>
        <v>718631.58</v>
      </c>
      <c r="M233" s="60">
        <f ca="1">SUMIFS(OFFSET('BPC Data'!$F:$F,0,Summary!M$2),'BPC Data'!$E:$E,Summary!$D233,'BPC Data'!$B:$B,Summary!$C233)</f>
        <v>829154.67</v>
      </c>
      <c r="N233" s="53">
        <f ca="1">SUMIFS(OFFSET('BPC Data'!$F:$F,0,Summary!N$2),'BPC Data'!$E:$E,Summary!$D233,'BPC Data'!$B:$B,Summary!$C233)</f>
        <v>651922.43999999994</v>
      </c>
      <c r="O233" s="18">
        <f t="shared" ca="1" si="49"/>
        <v>5923610.75</v>
      </c>
    </row>
    <row r="234" spans="1:15" s="11" customFormat="1" x14ac:dyDescent="0.55000000000000004">
      <c r="A234" s="11">
        <f t="shared" si="48"/>
        <v>21</v>
      </c>
      <c r="B234"/>
      <c r="C234" t="str">
        <f>$F229</f>
        <v>Woodland Nursing &amp; Rehab</v>
      </c>
      <c r="D234" s="3" t="str">
        <f t="shared" si="45"/>
        <v>T_BAD_DEBT - Tenant Bad Debt Expense</v>
      </c>
      <c r="E234"/>
      <c r="F234" s="14" t="str">
        <f>_xll.EVDES(D234)</f>
        <v>Tenant Bad Debt Expense</v>
      </c>
      <c r="G234" s="60">
        <f ca="1">SUMIFS(OFFSET('BPC Data'!$F:$F,0,Summary!G$2),'BPC Data'!$E:$E,Summary!$D234,'BPC Data'!$B:$B,Summary!$C234)</f>
        <v>26217.69</v>
      </c>
      <c r="H234" s="53">
        <f ca="1">SUMIFS(OFFSET('BPC Data'!$F:$F,0,Summary!H$2),'BPC Data'!$E:$E,Summary!$D234,'BPC Data'!$B:$B,Summary!$C234)</f>
        <v>1231.8699999999999</v>
      </c>
      <c r="I234" s="60">
        <f ca="1">SUMIFS(OFFSET('BPC Data'!$F:$F,0,Summary!I$2),'BPC Data'!$E:$E,Summary!$D234,'BPC Data'!$B:$B,Summary!$C234)</f>
        <v>13830.53</v>
      </c>
      <c r="J234" s="53">
        <f ca="1">SUMIFS(OFFSET('BPC Data'!$F:$F,0,Summary!J$2),'BPC Data'!$E:$E,Summary!$D234,'BPC Data'!$B:$B,Summary!$C234)</f>
        <v>24079.58</v>
      </c>
      <c r="K234" s="60">
        <f ca="1">SUMIFS(OFFSET('BPC Data'!$F:$F,0,Summary!K$2),'BPC Data'!$E:$E,Summary!$D234,'BPC Data'!$B:$B,Summary!$C234)</f>
        <v>-35978.47</v>
      </c>
      <c r="L234" s="53">
        <f ca="1">SUMIFS(OFFSET('BPC Data'!$F:$F,0,Summary!L$2),'BPC Data'!$E:$E,Summary!$D234,'BPC Data'!$B:$B,Summary!$C234)</f>
        <v>-19930.400000000001</v>
      </c>
      <c r="M234" s="60">
        <f ca="1">SUMIFS(OFFSET('BPC Data'!$F:$F,0,Summary!M$2),'BPC Data'!$E:$E,Summary!$D234,'BPC Data'!$B:$B,Summary!$C234)</f>
        <v>450.14</v>
      </c>
      <c r="N234" s="53">
        <f ca="1">SUMIFS(OFFSET('BPC Data'!$F:$F,0,Summary!N$2),'BPC Data'!$E:$E,Summary!$D234,'BPC Data'!$B:$B,Summary!$C234)</f>
        <v>7636.24</v>
      </c>
      <c r="O234" s="18">
        <f t="shared" ca="1" si="49"/>
        <v>17537.179999999993</v>
      </c>
    </row>
    <row r="235" spans="1:15" s="11" customFormat="1" x14ac:dyDescent="0.55000000000000004">
      <c r="A235" s="11">
        <f t="shared" si="48"/>
        <v>21</v>
      </c>
      <c r="B235"/>
      <c r="C235" t="str">
        <f>$F229</f>
        <v>Woodland Nursing &amp; Rehab</v>
      </c>
      <c r="D235" s="2" t="str">
        <f t="shared" si="45"/>
        <v>T_EBITDARM - EBITDARM</v>
      </c>
      <c r="E235"/>
      <c r="F235" s="14" t="str">
        <f>_xll.EVDES(D235)</f>
        <v>EBITDARM</v>
      </c>
      <c r="G235" s="60">
        <f ca="1">SUMIFS(OFFSET('BPC Data'!$F:$F,0,Summary!G$2),'BPC Data'!$E:$E,Summary!$D235,'BPC Data'!$B:$B,Summary!$C235)</f>
        <v>235815.7</v>
      </c>
      <c r="H235" s="53">
        <f ca="1">SUMIFS(OFFSET('BPC Data'!$F:$F,0,Summary!H$2),'BPC Data'!$E:$E,Summary!$D235,'BPC Data'!$B:$B,Summary!$C235)</f>
        <v>216997.28</v>
      </c>
      <c r="I235" s="60">
        <f ca="1">SUMIFS(OFFSET('BPC Data'!$F:$F,0,Summary!I$2),'BPC Data'!$E:$E,Summary!$D235,'BPC Data'!$B:$B,Summary!$C235)</f>
        <v>231458.16</v>
      </c>
      <c r="J235" s="53">
        <f ca="1">SUMIFS(OFFSET('BPC Data'!$F:$F,0,Summary!J$2),'BPC Data'!$E:$E,Summary!$D235,'BPC Data'!$B:$B,Summary!$C235)</f>
        <v>182059.43</v>
      </c>
      <c r="K235" s="60">
        <f ca="1">SUMIFS(OFFSET('BPC Data'!$F:$F,0,Summary!K$2),'BPC Data'!$E:$E,Summary!$D235,'BPC Data'!$B:$B,Summary!$C235)</f>
        <v>175081.76</v>
      </c>
      <c r="L235" s="53">
        <f ca="1">SUMIFS(OFFSET('BPC Data'!$F:$F,0,Summary!L$2),'BPC Data'!$E:$E,Summary!$D235,'BPC Data'!$B:$B,Summary!$C235)</f>
        <v>162176.1</v>
      </c>
      <c r="M235" s="60">
        <f ca="1">SUMIFS(OFFSET('BPC Data'!$F:$F,0,Summary!M$2),'BPC Data'!$E:$E,Summary!$D235,'BPC Data'!$B:$B,Summary!$C235)</f>
        <v>144205.47</v>
      </c>
      <c r="N235" s="53">
        <f ca="1">SUMIFS(OFFSET('BPC Data'!$F:$F,0,Summary!N$2),'BPC Data'!$E:$E,Summary!$D235,'BPC Data'!$B:$B,Summary!$C235)</f>
        <v>338222.04</v>
      </c>
      <c r="O235" s="18">
        <f t="shared" ca="1" si="49"/>
        <v>1686015.9400000002</v>
      </c>
    </row>
    <row r="236" spans="1:15" s="11" customFormat="1" x14ac:dyDescent="0.55000000000000004">
      <c r="A236" s="11">
        <f t="shared" si="48"/>
        <v>21</v>
      </c>
      <c r="B236"/>
      <c r="C236" t="str">
        <f>$F229</f>
        <v>Woodland Nursing &amp; Rehab</v>
      </c>
      <c r="D236" s="2" t="str">
        <f t="shared" si="45"/>
        <v>T_MGMT_FEE - Tenant Management Fee - Actual</v>
      </c>
      <c r="E236"/>
      <c r="F236" s="14" t="str">
        <f>_xll.EVDES(D236)</f>
        <v>Tenant Management Fee - Actual</v>
      </c>
      <c r="G236" s="60">
        <f ca="1">SUMIFS(OFFSET('BPC Data'!$F:$F,0,Summary!G$2),'BPC Data'!$E:$E,Summary!$D236,'BPC Data'!$B:$B,Summary!$C236)</f>
        <v>53977</v>
      </c>
      <c r="H236" s="53">
        <f ca="1">SUMIFS(OFFSET('BPC Data'!$F:$F,0,Summary!H$2),'BPC Data'!$E:$E,Summary!$D236,'BPC Data'!$B:$B,Summary!$C236)</f>
        <v>47044</v>
      </c>
      <c r="I236" s="60">
        <f ca="1">SUMIFS(OFFSET('BPC Data'!$F:$F,0,Summary!I$2),'BPC Data'!$E:$E,Summary!$D236,'BPC Data'!$B:$B,Summary!$C236)</f>
        <v>44972</v>
      </c>
      <c r="J236" s="53">
        <f ca="1">SUMIFS(OFFSET('BPC Data'!$F:$F,0,Summary!J$2),'BPC Data'!$E:$E,Summary!$D236,'BPC Data'!$B:$B,Summary!$C236)</f>
        <v>49678</v>
      </c>
      <c r="K236" s="60">
        <f ca="1">SUMIFS(OFFSET('BPC Data'!$F:$F,0,Summary!K$2),'BPC Data'!$E:$E,Summary!$D236,'BPC Data'!$B:$B,Summary!$C236)</f>
        <v>44137</v>
      </c>
      <c r="L236" s="53">
        <f ca="1">SUMIFS(OFFSET('BPC Data'!$F:$F,0,Summary!L$2),'BPC Data'!$E:$E,Summary!$D236,'BPC Data'!$B:$B,Summary!$C236)</f>
        <v>46445</v>
      </c>
      <c r="M236" s="60">
        <f ca="1">SUMIFS(OFFSET('BPC Data'!$F:$F,0,Summary!M$2),'BPC Data'!$E:$E,Summary!$D236,'BPC Data'!$B:$B,Summary!$C236)</f>
        <v>44040</v>
      </c>
      <c r="N236" s="53">
        <f ca="1">SUMIFS(OFFSET('BPC Data'!$F:$F,0,Summary!N$2),'BPC Data'!$E:$E,Summary!$D236,'BPC Data'!$B:$B,Summary!$C236)</f>
        <v>48668</v>
      </c>
      <c r="O236" s="18">
        <f t="shared" ca="1" si="49"/>
        <v>378961</v>
      </c>
    </row>
    <row r="237" spans="1:15" s="11" customFormat="1" x14ac:dyDescent="0.55000000000000004">
      <c r="A237" s="11">
        <f t="shared" si="48"/>
        <v>21</v>
      </c>
      <c r="B237"/>
      <c r="C237" t="str">
        <f>$F229</f>
        <v>Woodland Nursing &amp; Rehab</v>
      </c>
      <c r="D237" s="1" t="str">
        <f t="shared" si="45"/>
        <v>T_EBITDAR - EBITDAR</v>
      </c>
      <c r="E237"/>
      <c r="F237" s="14" t="str">
        <f>_xll.EVDES(D237)</f>
        <v>EBITDAR</v>
      </c>
      <c r="G237" s="60">
        <f ca="1">SUMIFS(OFFSET('BPC Data'!$F:$F,0,Summary!G$2),'BPC Data'!$E:$E,Summary!$D237,'BPC Data'!$B:$B,Summary!$C237)</f>
        <v>181838.7</v>
      </c>
      <c r="H237" s="53">
        <f ca="1">SUMIFS(OFFSET('BPC Data'!$F:$F,0,Summary!H$2),'BPC Data'!$E:$E,Summary!$D237,'BPC Data'!$B:$B,Summary!$C237)</f>
        <v>169953.28</v>
      </c>
      <c r="I237" s="60">
        <f ca="1">SUMIFS(OFFSET('BPC Data'!$F:$F,0,Summary!I$2),'BPC Data'!$E:$E,Summary!$D237,'BPC Data'!$B:$B,Summary!$C237)</f>
        <v>186486.16</v>
      </c>
      <c r="J237" s="53">
        <f ca="1">SUMIFS(OFFSET('BPC Data'!$F:$F,0,Summary!J$2),'BPC Data'!$E:$E,Summary!$D237,'BPC Data'!$B:$B,Summary!$C237)</f>
        <v>132381.43</v>
      </c>
      <c r="K237" s="60">
        <f ca="1">SUMIFS(OFFSET('BPC Data'!$F:$F,0,Summary!K$2),'BPC Data'!$E:$E,Summary!$D237,'BPC Data'!$B:$B,Summary!$C237)</f>
        <v>130944.76</v>
      </c>
      <c r="L237" s="53">
        <f ca="1">SUMIFS(OFFSET('BPC Data'!$F:$F,0,Summary!L$2),'BPC Data'!$E:$E,Summary!$D237,'BPC Data'!$B:$B,Summary!$C237)</f>
        <v>115731.1</v>
      </c>
      <c r="M237" s="60">
        <f ca="1">SUMIFS(OFFSET('BPC Data'!$F:$F,0,Summary!M$2),'BPC Data'!$E:$E,Summary!$D237,'BPC Data'!$B:$B,Summary!$C237)</f>
        <v>100165.47</v>
      </c>
      <c r="N237" s="53">
        <f ca="1">SUMIFS(OFFSET('BPC Data'!$F:$F,0,Summary!N$2),'BPC Data'!$E:$E,Summary!$D237,'BPC Data'!$B:$B,Summary!$C237)</f>
        <v>289554.03999999998</v>
      </c>
      <c r="O237" s="18">
        <f t="shared" ca="1" si="49"/>
        <v>1307054.94</v>
      </c>
    </row>
    <row r="238" spans="1:15" s="11" customFormat="1" x14ac:dyDescent="0.55000000000000004">
      <c r="A238" s="11">
        <f t="shared" si="48"/>
        <v>21</v>
      </c>
      <c r="B238"/>
      <c r="C238" t="str">
        <f>$F229</f>
        <v>Woodland Nursing &amp; Rehab</v>
      </c>
      <c r="D238" s="1" t="str">
        <f t="shared" si="45"/>
        <v>T_RENT_EXP - Tenant Rent Expense</v>
      </c>
      <c r="E238"/>
      <c r="F238" s="14" t="str">
        <f>_xll.EVDES(D238)</f>
        <v>Tenant Rent Expense</v>
      </c>
      <c r="G238" s="60">
        <f ca="1">SUMIFS(OFFSET('BPC Data'!$F:$F,0,Summary!G$2),'BPC Data'!$E:$E,Summary!$D238,'BPC Data'!$B:$B,Summary!$C238)</f>
        <v>123138.01</v>
      </c>
      <c r="H238" s="53">
        <f ca="1">SUMIFS(OFFSET('BPC Data'!$F:$F,0,Summary!H$2),'BPC Data'!$E:$E,Summary!$D238,'BPC Data'!$B:$B,Summary!$C238)</f>
        <v>123138.01</v>
      </c>
      <c r="I238" s="60">
        <f ca="1">SUMIFS(OFFSET('BPC Data'!$F:$F,0,Summary!I$2),'BPC Data'!$E:$E,Summary!$D238,'BPC Data'!$B:$B,Summary!$C238)</f>
        <v>123138.01</v>
      </c>
      <c r="J238" s="53">
        <f ca="1">SUMIFS(OFFSET('BPC Data'!$F:$F,0,Summary!J$2),'BPC Data'!$E:$E,Summary!$D238,'BPC Data'!$B:$B,Summary!$C238)</f>
        <v>123138.01</v>
      </c>
      <c r="K238" s="60">
        <f ca="1">SUMIFS(OFFSET('BPC Data'!$F:$F,0,Summary!K$2),'BPC Data'!$E:$E,Summary!$D238,'BPC Data'!$B:$B,Summary!$C238)</f>
        <v>123138.01</v>
      </c>
      <c r="L238" s="53">
        <f ca="1">SUMIFS(OFFSET('BPC Data'!$F:$F,0,Summary!L$2),'BPC Data'!$E:$E,Summary!$D238,'BPC Data'!$B:$B,Summary!$C238)</f>
        <v>123138.01</v>
      </c>
      <c r="M238" s="60">
        <f ca="1">SUMIFS(OFFSET('BPC Data'!$F:$F,0,Summary!M$2),'BPC Data'!$E:$E,Summary!$D238,'BPC Data'!$B:$B,Summary!$C238)</f>
        <v>123138.01</v>
      </c>
      <c r="N238" s="53">
        <f ca="1">SUMIFS(OFFSET('BPC Data'!$F:$F,0,Summary!N$2),'BPC Data'!$E:$E,Summary!$D238,'BPC Data'!$B:$B,Summary!$C238)</f>
        <v>123138.01</v>
      </c>
      <c r="O238" s="18">
        <f t="shared" ca="1" si="49"/>
        <v>985104.08</v>
      </c>
    </row>
    <row r="239" spans="1:15" s="11" customFormat="1" x14ac:dyDescent="0.55000000000000004">
      <c r="A239" s="11">
        <f t="shared" si="48"/>
        <v>21</v>
      </c>
      <c r="B239"/>
      <c r="C239"/>
      <c r="D239" s="1" t="str">
        <f t="shared" si="45"/>
        <v>x</v>
      </c>
      <c r="E239"/>
      <c r="F239" s="14" t="s">
        <v>0</v>
      </c>
      <c r="G239" s="61">
        <f ca="1">SUMIFS(OFFSET('BPC Data'!$F:$F,0,Summary!G$2),'BPC Data'!$E:$E,Summary!$D239,'BPC Data'!$B:$B,Summary!$C239)</f>
        <v>0</v>
      </c>
      <c r="H239" s="54">
        <f ca="1">SUMIFS(OFFSET('BPC Data'!$F:$F,0,Summary!H$2),'BPC Data'!$E:$E,Summary!$D239,'BPC Data'!$B:$B,Summary!$C239)</f>
        <v>0</v>
      </c>
      <c r="I239" s="61">
        <f ca="1">SUMIFS(OFFSET('BPC Data'!$F:$F,0,Summary!I$2),'BPC Data'!$E:$E,Summary!$D239,'BPC Data'!$B:$B,Summary!$C239)</f>
        <v>0</v>
      </c>
      <c r="J239" s="54">
        <f ca="1">SUMIFS(OFFSET('BPC Data'!$F:$F,0,Summary!J$2),'BPC Data'!$E:$E,Summary!$D239,'BPC Data'!$B:$B,Summary!$C239)</f>
        <v>0</v>
      </c>
      <c r="K239" s="61">
        <f ca="1">SUMIFS(OFFSET('BPC Data'!$F:$F,0,Summary!K$2),'BPC Data'!$E:$E,Summary!$D239,'BPC Data'!$B:$B,Summary!$C239)</f>
        <v>0</v>
      </c>
      <c r="L239" s="54">
        <f ca="1">SUMIFS(OFFSET('BPC Data'!$F:$F,0,Summary!L$2),'BPC Data'!$E:$E,Summary!$D239,'BPC Data'!$B:$B,Summary!$C239)</f>
        <v>0</v>
      </c>
      <c r="M239" s="61">
        <f ca="1">SUMIFS(OFFSET('BPC Data'!$F:$F,0,Summary!M$2),'BPC Data'!$E:$E,Summary!$D239,'BPC Data'!$B:$B,Summary!$C239)</f>
        <v>0</v>
      </c>
      <c r="N239" s="54">
        <f ca="1">SUMIFS(OFFSET('BPC Data'!$F:$F,0,Summary!N$2),'BPC Data'!$E:$E,Summary!$D239,'BPC Data'!$B:$B,Summary!$C239)</f>
        <v>0</v>
      </c>
      <c r="O239" s="18">
        <f t="shared" ca="1" si="49"/>
        <v>0</v>
      </c>
    </row>
    <row r="240" spans="1:15" s="11" customFormat="1" x14ac:dyDescent="0.55000000000000004">
      <c r="A240" s="11">
        <f>IF(AND(D240&lt;&gt;"",C240=""),A239+1,A239)</f>
        <v>22</v>
      </c>
      <c r="B240" s="4"/>
      <c r="C240" s="4"/>
      <c r="D240" s="4" t="str">
        <f t="shared" si="45"/>
        <v>x</v>
      </c>
      <c r="E240" s="4"/>
      <c r="F240" s="13" t="str">
        <f>INDEX(PropertyList!$D:$D,MATCH(Summary!$A240,PropertyList!$C:$C,0))</f>
        <v>Ramona</v>
      </c>
      <c r="G240" s="59"/>
      <c r="H240" s="52"/>
      <c r="I240" s="59"/>
      <c r="J240" s="52"/>
      <c r="K240" s="59"/>
      <c r="L240" s="52"/>
      <c r="M240" s="59"/>
      <c r="N240" s="52"/>
      <c r="O240" s="18">
        <f t="shared" si="49"/>
        <v>0</v>
      </c>
    </row>
    <row r="241" spans="1:15" s="11" customFormat="1" x14ac:dyDescent="0.55000000000000004">
      <c r="A241" s="11">
        <f>IF(AND(F241&lt;&gt;"",D241=""),A240+1,A240)</f>
        <v>22</v>
      </c>
      <c r="C241" t="str">
        <f>$F240</f>
        <v>Ramona</v>
      </c>
      <c r="D241" s="3" t="str">
        <f t="shared" si="45"/>
        <v>PAY_PAT_DAYS - Total Payor Patient Days</v>
      </c>
      <c r="F241" s="14" t="str">
        <f>_xll.EVDES(D241)</f>
        <v>Total Payor Patient Days</v>
      </c>
      <c r="G241" s="60">
        <f ca="1">SUMIFS(OFFSET('BPC Data'!$F:$F,0,Summary!G$2),'BPC Data'!$E:$E,Summary!$D241,'BPC Data'!$B:$B,Summary!$C241)</f>
        <v>2913</v>
      </c>
      <c r="H241" s="53">
        <f ca="1">SUMIFS(OFFSET('BPC Data'!$F:$F,0,Summary!H$2),'BPC Data'!$E:$E,Summary!$D241,'BPC Data'!$B:$B,Summary!$C241)</f>
        <v>2797</v>
      </c>
      <c r="I241" s="60">
        <f ca="1">SUMIFS(OFFSET('BPC Data'!$F:$F,0,Summary!I$2),'BPC Data'!$E:$E,Summary!$D241,'BPC Data'!$B:$B,Summary!$C241)</f>
        <v>3258</v>
      </c>
      <c r="J241" s="53">
        <f ca="1">SUMIFS(OFFSET('BPC Data'!$F:$F,0,Summary!J$2),'BPC Data'!$E:$E,Summary!$D241,'BPC Data'!$B:$B,Summary!$C241)</f>
        <v>3368</v>
      </c>
      <c r="K241" s="60">
        <f ca="1">SUMIFS(OFFSET('BPC Data'!$F:$F,0,Summary!K$2),'BPC Data'!$E:$E,Summary!$D241,'BPC Data'!$B:$B,Summary!$C241)</f>
        <v>3806</v>
      </c>
      <c r="L241" s="53">
        <f ca="1">SUMIFS(OFFSET('BPC Data'!$F:$F,0,Summary!L$2),'BPC Data'!$E:$E,Summary!$D241,'BPC Data'!$B:$B,Summary!$C241)</f>
        <v>3696</v>
      </c>
      <c r="M241" s="60">
        <f ca="1">SUMIFS(OFFSET('BPC Data'!$F:$F,0,Summary!M$2),'BPC Data'!$E:$E,Summary!$D241,'BPC Data'!$B:$B,Summary!$C241)</f>
        <v>3744</v>
      </c>
      <c r="N241" s="53">
        <f ca="1">SUMIFS(OFFSET('BPC Data'!$F:$F,0,Summary!N$2),'BPC Data'!$E:$E,Summary!$D241,'BPC Data'!$B:$B,Summary!$C241)</f>
        <v>3672</v>
      </c>
      <c r="O241" s="18">
        <f t="shared" ca="1" si="49"/>
        <v>27254</v>
      </c>
    </row>
    <row r="242" spans="1:15" s="11" customFormat="1" x14ac:dyDescent="0.55000000000000004">
      <c r="A242" s="11">
        <f t="shared" ref="A242:A250" si="50">IF(AND(F242&lt;&gt;"",D242=""),A241+1,A241)</f>
        <v>22</v>
      </c>
      <c r="C242" t="str">
        <f>$F240</f>
        <v>Ramona</v>
      </c>
      <c r="D242" s="3" t="str">
        <f t="shared" si="45"/>
        <v>A_BEDS_TOTAL - Total Available Beds</v>
      </c>
      <c r="F242" s="14" t="str">
        <f>_xll.EVDES(D242)</f>
        <v>Total Available Beds</v>
      </c>
      <c r="G242" s="60">
        <f ca="1">SUMIFS(OFFSET('BPC Data'!$F:$F,0,Summary!G$2),'BPC Data'!$E:$E,Summary!$D242,'BPC Data'!$B:$B,Summary!$C242)</f>
        <v>148</v>
      </c>
      <c r="H242" s="53">
        <f ca="1">SUMIFS(OFFSET('BPC Data'!$F:$F,0,Summary!H$2),'BPC Data'!$E:$E,Summary!$D242,'BPC Data'!$B:$B,Summary!$C242)</f>
        <v>148</v>
      </c>
      <c r="I242" s="60">
        <f ca="1">SUMIFS(OFFSET('BPC Data'!$F:$F,0,Summary!I$2),'BPC Data'!$E:$E,Summary!$D242,'BPC Data'!$B:$B,Summary!$C242)</f>
        <v>148</v>
      </c>
      <c r="J242" s="53">
        <f ca="1">SUMIFS(OFFSET('BPC Data'!$F:$F,0,Summary!J$2),'BPC Data'!$E:$E,Summary!$D242,'BPC Data'!$B:$B,Summary!$C242)</f>
        <v>148</v>
      </c>
      <c r="K242" s="60">
        <f ca="1">SUMIFS(OFFSET('BPC Data'!$F:$F,0,Summary!K$2),'BPC Data'!$E:$E,Summary!$D242,'BPC Data'!$B:$B,Summary!$C242)</f>
        <v>148</v>
      </c>
      <c r="L242" s="53">
        <f ca="1">SUMIFS(OFFSET('BPC Data'!$F:$F,0,Summary!L$2),'BPC Data'!$E:$E,Summary!$D242,'BPC Data'!$B:$B,Summary!$C242)</f>
        <v>148</v>
      </c>
      <c r="M242" s="60">
        <f ca="1">SUMIFS(OFFSET('BPC Data'!$F:$F,0,Summary!M$2),'BPC Data'!$E:$E,Summary!$D242,'BPC Data'!$B:$B,Summary!$C242)</f>
        <v>148</v>
      </c>
      <c r="N242" s="53">
        <f ca="1">SUMIFS(OFFSET('BPC Data'!$F:$F,0,Summary!N$2),'BPC Data'!$E:$E,Summary!$D242,'BPC Data'!$B:$B,Summary!$C242)</f>
        <v>148</v>
      </c>
      <c r="O242" s="18">
        <f ca="1">N242</f>
        <v>148</v>
      </c>
    </row>
    <row r="243" spans="1:15" s="11" customFormat="1" x14ac:dyDescent="0.55000000000000004">
      <c r="A243" s="11">
        <f t="shared" si="50"/>
        <v>22</v>
      </c>
      <c r="B243"/>
      <c r="C243" t="str">
        <f>$F240</f>
        <v>Ramona</v>
      </c>
      <c r="D243" s="3" t="str">
        <f t="shared" si="45"/>
        <v>T_REVENUES - Total Tenant Revenues</v>
      </c>
      <c r="E243"/>
      <c r="F243" s="14" t="str">
        <f>_xll.EVDES(D243)</f>
        <v>Total Tenant Revenues</v>
      </c>
      <c r="G243" s="60">
        <f ca="1">SUMIFS(OFFSET('BPC Data'!$F:$F,0,Summary!G$2),'BPC Data'!$E:$E,Summary!$D243,'BPC Data'!$B:$B,Summary!$C243)</f>
        <v>1394350.78</v>
      </c>
      <c r="H243" s="53">
        <f ca="1">SUMIFS(OFFSET('BPC Data'!$F:$F,0,Summary!H$2),'BPC Data'!$E:$E,Summary!$D243,'BPC Data'!$B:$B,Summary!$C243)</f>
        <v>1083445.06</v>
      </c>
      <c r="I243" s="60">
        <f ca="1">SUMIFS(OFFSET('BPC Data'!$F:$F,0,Summary!I$2),'BPC Data'!$E:$E,Summary!$D243,'BPC Data'!$B:$B,Summary!$C243)</f>
        <v>1188999.28</v>
      </c>
      <c r="J243" s="53">
        <f ca="1">SUMIFS(OFFSET('BPC Data'!$F:$F,0,Summary!J$2),'BPC Data'!$E:$E,Summary!$D243,'BPC Data'!$B:$B,Summary!$C243)</f>
        <v>1197883.51</v>
      </c>
      <c r="K243" s="60">
        <f ca="1">SUMIFS(OFFSET('BPC Data'!$F:$F,0,Summary!K$2),'BPC Data'!$E:$E,Summary!$D243,'BPC Data'!$B:$B,Summary!$C243)</f>
        <v>1386071.84</v>
      </c>
      <c r="L243" s="53">
        <f ca="1">SUMIFS(OFFSET('BPC Data'!$F:$F,0,Summary!L$2),'BPC Data'!$E:$E,Summary!$D243,'BPC Data'!$B:$B,Summary!$C243)</f>
        <v>1313239.82</v>
      </c>
      <c r="M243" s="60">
        <f ca="1">SUMIFS(OFFSET('BPC Data'!$F:$F,0,Summary!M$2),'BPC Data'!$E:$E,Summary!$D243,'BPC Data'!$B:$B,Summary!$C243)</f>
        <v>1341024.79</v>
      </c>
      <c r="N243" s="53">
        <f ca="1">SUMIFS(OFFSET('BPC Data'!$F:$F,0,Summary!N$2),'BPC Data'!$E:$E,Summary!$D243,'BPC Data'!$B:$B,Summary!$C243)</f>
        <v>1364278.42</v>
      </c>
      <c r="O243" s="18">
        <f t="shared" ref="O243:O252" ca="1" si="51">SUM(G243:N243)</f>
        <v>10269293.5</v>
      </c>
    </row>
    <row r="244" spans="1:15" s="11" customFormat="1" x14ac:dyDescent="0.55000000000000004">
      <c r="A244" s="11">
        <f t="shared" si="50"/>
        <v>22</v>
      </c>
      <c r="B244"/>
      <c r="C244" t="str">
        <f>$F240</f>
        <v>Ramona</v>
      </c>
      <c r="D244" s="3" t="str">
        <f t="shared" si="45"/>
        <v>T_OPEX - Tenant Operating Expenses</v>
      </c>
      <c r="E244"/>
      <c r="F244" s="14" t="str">
        <f>_xll.EVDES(D244)</f>
        <v>Tenant Operating Expenses</v>
      </c>
      <c r="G244" s="60">
        <f ca="1">SUMIFS(OFFSET('BPC Data'!$F:$F,0,Summary!G$2),'BPC Data'!$E:$E,Summary!$D244,'BPC Data'!$B:$B,Summary!$C244)</f>
        <v>1077010.67</v>
      </c>
      <c r="H244" s="53">
        <f ca="1">SUMIFS(OFFSET('BPC Data'!$F:$F,0,Summary!H$2),'BPC Data'!$E:$E,Summary!$D244,'BPC Data'!$B:$B,Summary!$C244)</f>
        <v>1135508.1599999999</v>
      </c>
      <c r="I244" s="60">
        <f ca="1">SUMIFS(OFFSET('BPC Data'!$F:$F,0,Summary!I$2),'BPC Data'!$E:$E,Summary!$D244,'BPC Data'!$B:$B,Summary!$C244)</f>
        <v>1180940.1299999999</v>
      </c>
      <c r="J244" s="53">
        <f ca="1">SUMIFS(OFFSET('BPC Data'!$F:$F,0,Summary!J$2),'BPC Data'!$E:$E,Summary!$D244,'BPC Data'!$B:$B,Summary!$C244)</f>
        <v>1088181.8600000001</v>
      </c>
      <c r="K244" s="60">
        <f ca="1">SUMIFS(OFFSET('BPC Data'!$F:$F,0,Summary!K$2),'BPC Data'!$E:$E,Summary!$D244,'BPC Data'!$B:$B,Summary!$C244)</f>
        <v>1172625.79</v>
      </c>
      <c r="L244" s="53">
        <f ca="1">SUMIFS(OFFSET('BPC Data'!$F:$F,0,Summary!L$2),'BPC Data'!$E:$E,Summary!$D244,'BPC Data'!$B:$B,Summary!$C244)</f>
        <v>1174149.48</v>
      </c>
      <c r="M244" s="60">
        <f ca="1">SUMIFS(OFFSET('BPC Data'!$F:$F,0,Summary!M$2),'BPC Data'!$E:$E,Summary!$D244,'BPC Data'!$B:$B,Summary!$C244)</f>
        <v>1242694.75</v>
      </c>
      <c r="N244" s="53">
        <f ca="1">SUMIFS(OFFSET('BPC Data'!$F:$F,0,Summary!N$2),'BPC Data'!$E:$E,Summary!$D244,'BPC Data'!$B:$B,Summary!$C244)</f>
        <v>1148164.8600000001</v>
      </c>
      <c r="O244" s="18">
        <f t="shared" ca="1" si="51"/>
        <v>9219275.6999999993</v>
      </c>
    </row>
    <row r="245" spans="1:15" s="11" customFormat="1" x14ac:dyDescent="0.55000000000000004">
      <c r="A245" s="11">
        <f t="shared" si="50"/>
        <v>22</v>
      </c>
      <c r="B245"/>
      <c r="C245" t="str">
        <f>$F240</f>
        <v>Ramona</v>
      </c>
      <c r="D245" s="3" t="str">
        <f t="shared" si="45"/>
        <v>T_BAD_DEBT - Tenant Bad Debt Expense</v>
      </c>
      <c r="E245"/>
      <c r="F245" s="14" t="str">
        <f>_xll.EVDES(D245)</f>
        <v>Tenant Bad Debt Expense</v>
      </c>
      <c r="G245" s="60">
        <f ca="1">SUMIFS(OFFSET('BPC Data'!$F:$F,0,Summary!G$2),'BPC Data'!$E:$E,Summary!$D245,'BPC Data'!$B:$B,Summary!$C245)</f>
        <v>-8490.15</v>
      </c>
      <c r="H245" s="53">
        <f ca="1">SUMIFS(OFFSET('BPC Data'!$F:$F,0,Summary!H$2),'BPC Data'!$E:$E,Summary!$D245,'BPC Data'!$B:$B,Summary!$C245)</f>
        <v>93245.96</v>
      </c>
      <c r="I245" s="60">
        <f ca="1">SUMIFS(OFFSET('BPC Data'!$F:$F,0,Summary!I$2),'BPC Data'!$E:$E,Summary!$D245,'BPC Data'!$B:$B,Summary!$C245)</f>
        <v>42990.879999999997</v>
      </c>
      <c r="J245" s="53">
        <f ca="1">SUMIFS(OFFSET('BPC Data'!$F:$F,0,Summary!J$2),'BPC Data'!$E:$E,Summary!$D245,'BPC Data'!$B:$B,Summary!$C245)</f>
        <v>-16840.740000000002</v>
      </c>
      <c r="K245" s="60">
        <f ca="1">SUMIFS(OFFSET('BPC Data'!$F:$F,0,Summary!K$2),'BPC Data'!$E:$E,Summary!$D245,'BPC Data'!$B:$B,Summary!$C245)</f>
        <v>15644.57</v>
      </c>
      <c r="L245" s="53">
        <f ca="1">SUMIFS(OFFSET('BPC Data'!$F:$F,0,Summary!L$2),'BPC Data'!$E:$E,Summary!$D245,'BPC Data'!$B:$B,Summary!$C245)</f>
        <v>28826.51</v>
      </c>
      <c r="M245" s="60">
        <f ca="1">SUMIFS(OFFSET('BPC Data'!$F:$F,0,Summary!M$2),'BPC Data'!$E:$E,Summary!$D245,'BPC Data'!$B:$B,Summary!$C245)</f>
        <v>50797.37</v>
      </c>
      <c r="N245" s="53">
        <f ca="1">SUMIFS(OFFSET('BPC Data'!$F:$F,0,Summary!N$2),'BPC Data'!$E:$E,Summary!$D245,'BPC Data'!$B:$B,Summary!$C245)</f>
        <v>34620.720000000001</v>
      </c>
      <c r="O245" s="18">
        <f t="shared" ca="1" si="51"/>
        <v>240795.12</v>
      </c>
    </row>
    <row r="246" spans="1:15" s="11" customFormat="1" x14ac:dyDescent="0.55000000000000004">
      <c r="A246" s="11">
        <f t="shared" si="50"/>
        <v>22</v>
      </c>
      <c r="B246"/>
      <c r="C246" t="str">
        <f>$F240</f>
        <v>Ramona</v>
      </c>
      <c r="D246" s="2" t="str">
        <f t="shared" si="45"/>
        <v>T_EBITDARM - EBITDARM</v>
      </c>
      <c r="E246"/>
      <c r="F246" s="14" t="str">
        <f>_xll.EVDES(D246)</f>
        <v>EBITDARM</v>
      </c>
      <c r="G246" s="60">
        <f ca="1">SUMIFS(OFFSET('BPC Data'!$F:$F,0,Summary!G$2),'BPC Data'!$E:$E,Summary!$D246,'BPC Data'!$B:$B,Summary!$C246)</f>
        <v>317340.11</v>
      </c>
      <c r="H246" s="53">
        <f ca="1">SUMIFS(OFFSET('BPC Data'!$F:$F,0,Summary!H$2),'BPC Data'!$E:$E,Summary!$D246,'BPC Data'!$B:$B,Summary!$C246)</f>
        <v>-52063.099999999897</v>
      </c>
      <c r="I246" s="60">
        <f ca="1">SUMIFS(OFFSET('BPC Data'!$F:$F,0,Summary!I$2),'BPC Data'!$E:$E,Summary!$D246,'BPC Data'!$B:$B,Summary!$C246)</f>
        <v>8059.1499999996704</v>
      </c>
      <c r="J246" s="53">
        <f ca="1">SUMIFS(OFFSET('BPC Data'!$F:$F,0,Summary!J$2),'BPC Data'!$E:$E,Summary!$D246,'BPC Data'!$B:$B,Summary!$C246)</f>
        <v>109701.65</v>
      </c>
      <c r="K246" s="60">
        <f ca="1">SUMIFS(OFFSET('BPC Data'!$F:$F,0,Summary!K$2),'BPC Data'!$E:$E,Summary!$D246,'BPC Data'!$B:$B,Summary!$C246)</f>
        <v>213446.05</v>
      </c>
      <c r="L246" s="53">
        <f ca="1">SUMIFS(OFFSET('BPC Data'!$F:$F,0,Summary!L$2),'BPC Data'!$E:$E,Summary!$D246,'BPC Data'!$B:$B,Summary!$C246)</f>
        <v>139090.34</v>
      </c>
      <c r="M246" s="60">
        <f ca="1">SUMIFS(OFFSET('BPC Data'!$F:$F,0,Summary!M$2),'BPC Data'!$E:$E,Summary!$D246,'BPC Data'!$B:$B,Summary!$C246)</f>
        <v>98330.04</v>
      </c>
      <c r="N246" s="53">
        <f ca="1">SUMIFS(OFFSET('BPC Data'!$F:$F,0,Summary!N$2),'BPC Data'!$E:$E,Summary!$D246,'BPC Data'!$B:$B,Summary!$C246)</f>
        <v>216113.56</v>
      </c>
      <c r="O246" s="18">
        <f t="shared" ca="1" si="51"/>
        <v>1050017.7999999996</v>
      </c>
    </row>
    <row r="247" spans="1:15" s="11" customFormat="1" x14ac:dyDescent="0.55000000000000004">
      <c r="A247" s="11">
        <f t="shared" si="50"/>
        <v>22</v>
      </c>
      <c r="B247"/>
      <c r="C247" t="str">
        <f>$F240</f>
        <v>Ramona</v>
      </c>
      <c r="D247" s="2" t="str">
        <f t="shared" si="45"/>
        <v>T_MGMT_FEE - Tenant Management Fee - Actual</v>
      </c>
      <c r="E247"/>
      <c r="F247" s="14" t="str">
        <f>_xll.EVDES(D247)</f>
        <v>Tenant Management Fee - Actual</v>
      </c>
      <c r="G247" s="60">
        <f ca="1">SUMIFS(OFFSET('BPC Data'!$F:$F,0,Summary!G$2),'BPC Data'!$E:$E,Summary!$D247,'BPC Data'!$B:$B,Summary!$C247)</f>
        <v>65684</v>
      </c>
      <c r="H247" s="53">
        <f ca="1">SUMIFS(OFFSET('BPC Data'!$F:$F,0,Summary!H$2),'BPC Data'!$E:$E,Summary!$D247,'BPC Data'!$B:$B,Summary!$C247)</f>
        <v>69717</v>
      </c>
      <c r="I247" s="60">
        <f ca="1">SUMIFS(OFFSET('BPC Data'!$F:$F,0,Summary!I$2),'BPC Data'!$E:$E,Summary!$D247,'BPC Data'!$B:$B,Summary!$C247)</f>
        <v>54172</v>
      </c>
      <c r="J247" s="53">
        <f ca="1">SUMIFS(OFFSET('BPC Data'!$F:$F,0,Summary!J$2),'BPC Data'!$E:$E,Summary!$D247,'BPC Data'!$B:$B,Summary!$C247)</f>
        <v>59449</v>
      </c>
      <c r="K247" s="60">
        <f ca="1">SUMIFS(OFFSET('BPC Data'!$F:$F,0,Summary!K$2),'BPC Data'!$E:$E,Summary!$D247,'BPC Data'!$B:$B,Summary!$C247)</f>
        <v>59894</v>
      </c>
      <c r="L247" s="53">
        <f ca="1">SUMIFS(OFFSET('BPC Data'!$F:$F,0,Summary!L$2),'BPC Data'!$E:$E,Summary!$D247,'BPC Data'!$B:$B,Summary!$C247)</f>
        <v>69303</v>
      </c>
      <c r="M247" s="60">
        <f ca="1">SUMIFS(OFFSET('BPC Data'!$F:$F,0,Summary!M$2),'BPC Data'!$E:$E,Summary!$D247,'BPC Data'!$B:$B,Summary!$C247)</f>
        <v>65661</v>
      </c>
      <c r="N247" s="53">
        <f ca="1">SUMIFS(OFFSET('BPC Data'!$F:$F,0,Summary!N$2),'BPC Data'!$E:$E,Summary!$D247,'BPC Data'!$B:$B,Summary!$C247)</f>
        <v>67051</v>
      </c>
      <c r="O247" s="18">
        <f t="shared" ca="1" si="51"/>
        <v>510931</v>
      </c>
    </row>
    <row r="248" spans="1:15" s="11" customFormat="1" x14ac:dyDescent="0.55000000000000004">
      <c r="A248" s="11">
        <f t="shared" si="50"/>
        <v>22</v>
      </c>
      <c r="B248"/>
      <c r="C248" t="str">
        <f>$F240</f>
        <v>Ramona</v>
      </c>
      <c r="D248" s="1" t="str">
        <f t="shared" si="45"/>
        <v>T_EBITDAR - EBITDAR</v>
      </c>
      <c r="E248"/>
      <c r="F248" s="14" t="str">
        <f>_xll.EVDES(D248)</f>
        <v>EBITDAR</v>
      </c>
      <c r="G248" s="60">
        <f ca="1">SUMIFS(OFFSET('BPC Data'!$F:$F,0,Summary!G$2),'BPC Data'!$E:$E,Summary!$D248,'BPC Data'!$B:$B,Summary!$C248)</f>
        <v>251656.11</v>
      </c>
      <c r="H248" s="53">
        <f ca="1">SUMIFS(OFFSET('BPC Data'!$F:$F,0,Summary!H$2),'BPC Data'!$E:$E,Summary!$D248,'BPC Data'!$B:$B,Summary!$C248)</f>
        <v>-121780.1</v>
      </c>
      <c r="I248" s="60">
        <f ca="1">SUMIFS(OFFSET('BPC Data'!$F:$F,0,Summary!I$2),'BPC Data'!$E:$E,Summary!$D248,'BPC Data'!$B:$B,Summary!$C248)</f>
        <v>-46112.850000000297</v>
      </c>
      <c r="J248" s="53">
        <f ca="1">SUMIFS(OFFSET('BPC Data'!$F:$F,0,Summary!J$2),'BPC Data'!$E:$E,Summary!$D248,'BPC Data'!$B:$B,Summary!$C248)</f>
        <v>50252.6499999999</v>
      </c>
      <c r="K248" s="60">
        <f ca="1">SUMIFS(OFFSET('BPC Data'!$F:$F,0,Summary!K$2),'BPC Data'!$E:$E,Summary!$D248,'BPC Data'!$B:$B,Summary!$C248)</f>
        <v>153552.04999999999</v>
      </c>
      <c r="L248" s="53">
        <f ca="1">SUMIFS(OFFSET('BPC Data'!$F:$F,0,Summary!L$2),'BPC Data'!$E:$E,Summary!$D248,'BPC Data'!$B:$B,Summary!$C248)</f>
        <v>69787.340000000098</v>
      </c>
      <c r="M248" s="60">
        <f ca="1">SUMIFS(OFFSET('BPC Data'!$F:$F,0,Summary!M$2),'BPC Data'!$E:$E,Summary!$D248,'BPC Data'!$B:$B,Summary!$C248)</f>
        <v>32669.040000000001</v>
      </c>
      <c r="N248" s="53">
        <f ca="1">SUMIFS(OFFSET('BPC Data'!$F:$F,0,Summary!N$2),'BPC Data'!$E:$E,Summary!$D248,'BPC Data'!$B:$B,Summary!$C248)</f>
        <v>149062.56</v>
      </c>
      <c r="O248" s="18">
        <f t="shared" ca="1" si="51"/>
        <v>539086.79999999958</v>
      </c>
    </row>
    <row r="249" spans="1:15" s="11" customFormat="1" x14ac:dyDescent="0.55000000000000004">
      <c r="A249" s="11">
        <f t="shared" si="50"/>
        <v>22</v>
      </c>
      <c r="B249"/>
      <c r="C249" t="str">
        <f>$F240</f>
        <v>Ramona</v>
      </c>
      <c r="D249" s="1" t="str">
        <f t="shared" si="45"/>
        <v>T_RENT_EXP - Tenant Rent Expense</v>
      </c>
      <c r="E249"/>
      <c r="F249" s="14" t="str">
        <f>_xll.EVDES(D249)</f>
        <v>Tenant Rent Expense</v>
      </c>
      <c r="G249" s="60">
        <f ca="1">SUMIFS(OFFSET('BPC Data'!$F:$F,0,Summary!G$2),'BPC Data'!$E:$E,Summary!$D249,'BPC Data'!$B:$B,Summary!$C249)</f>
        <v>157304.34</v>
      </c>
      <c r="H249" s="53">
        <f ca="1">SUMIFS(OFFSET('BPC Data'!$F:$F,0,Summary!H$2),'BPC Data'!$E:$E,Summary!$D249,'BPC Data'!$B:$B,Summary!$C249)</f>
        <v>157304.34</v>
      </c>
      <c r="I249" s="60">
        <f ca="1">SUMIFS(OFFSET('BPC Data'!$F:$F,0,Summary!I$2),'BPC Data'!$E:$E,Summary!$D249,'BPC Data'!$B:$B,Summary!$C249)</f>
        <v>157304.34</v>
      </c>
      <c r="J249" s="53">
        <f ca="1">SUMIFS(OFFSET('BPC Data'!$F:$F,0,Summary!J$2),'BPC Data'!$E:$E,Summary!$D249,'BPC Data'!$B:$B,Summary!$C249)</f>
        <v>157304.34</v>
      </c>
      <c r="K249" s="60">
        <f ca="1">SUMIFS(OFFSET('BPC Data'!$F:$F,0,Summary!K$2),'BPC Data'!$E:$E,Summary!$D249,'BPC Data'!$B:$B,Summary!$C249)</f>
        <v>157304.34</v>
      </c>
      <c r="L249" s="53">
        <f ca="1">SUMIFS(OFFSET('BPC Data'!$F:$F,0,Summary!L$2),'BPC Data'!$E:$E,Summary!$D249,'BPC Data'!$B:$B,Summary!$C249)</f>
        <v>157304.34</v>
      </c>
      <c r="M249" s="60">
        <f ca="1">SUMIFS(OFFSET('BPC Data'!$F:$F,0,Summary!M$2),'BPC Data'!$E:$E,Summary!$D249,'BPC Data'!$B:$B,Summary!$C249)</f>
        <v>157304.34</v>
      </c>
      <c r="N249" s="53">
        <f ca="1">SUMIFS(OFFSET('BPC Data'!$F:$F,0,Summary!N$2),'BPC Data'!$E:$E,Summary!$D249,'BPC Data'!$B:$B,Summary!$C249)</f>
        <v>157304.34</v>
      </c>
      <c r="O249" s="18">
        <f t="shared" ca="1" si="51"/>
        <v>1258434.72</v>
      </c>
    </row>
    <row r="250" spans="1:15" s="11" customFormat="1" x14ac:dyDescent="0.55000000000000004">
      <c r="A250" s="11">
        <f t="shared" si="50"/>
        <v>22</v>
      </c>
      <c r="B250"/>
      <c r="C250"/>
      <c r="D250" s="1" t="str">
        <f t="shared" si="45"/>
        <v>x</v>
      </c>
      <c r="E250"/>
      <c r="F250" s="14" t="s">
        <v>0</v>
      </c>
      <c r="G250" s="61">
        <f ca="1">SUMIFS(OFFSET('BPC Data'!$F:$F,0,Summary!G$2),'BPC Data'!$E:$E,Summary!$D250,'BPC Data'!$B:$B,Summary!$C250)</f>
        <v>0</v>
      </c>
      <c r="H250" s="54">
        <f ca="1">SUMIFS(OFFSET('BPC Data'!$F:$F,0,Summary!H$2),'BPC Data'!$E:$E,Summary!$D250,'BPC Data'!$B:$B,Summary!$C250)</f>
        <v>0</v>
      </c>
      <c r="I250" s="61">
        <f ca="1">SUMIFS(OFFSET('BPC Data'!$F:$F,0,Summary!I$2),'BPC Data'!$E:$E,Summary!$D250,'BPC Data'!$B:$B,Summary!$C250)</f>
        <v>0</v>
      </c>
      <c r="J250" s="54">
        <f ca="1">SUMIFS(OFFSET('BPC Data'!$F:$F,0,Summary!J$2),'BPC Data'!$E:$E,Summary!$D250,'BPC Data'!$B:$B,Summary!$C250)</f>
        <v>0</v>
      </c>
      <c r="K250" s="61">
        <f ca="1">SUMIFS(OFFSET('BPC Data'!$F:$F,0,Summary!K$2),'BPC Data'!$E:$E,Summary!$D250,'BPC Data'!$B:$B,Summary!$C250)</f>
        <v>0</v>
      </c>
      <c r="L250" s="54">
        <f ca="1">SUMIFS(OFFSET('BPC Data'!$F:$F,0,Summary!L$2),'BPC Data'!$E:$E,Summary!$D250,'BPC Data'!$B:$B,Summary!$C250)</f>
        <v>0</v>
      </c>
      <c r="M250" s="61">
        <f ca="1">SUMIFS(OFFSET('BPC Data'!$F:$F,0,Summary!M$2),'BPC Data'!$E:$E,Summary!$D250,'BPC Data'!$B:$B,Summary!$C250)</f>
        <v>0</v>
      </c>
      <c r="N250" s="54">
        <f ca="1">SUMIFS(OFFSET('BPC Data'!$F:$F,0,Summary!N$2),'BPC Data'!$E:$E,Summary!$D250,'BPC Data'!$B:$B,Summary!$C250)</f>
        <v>0</v>
      </c>
      <c r="O250" s="18">
        <f t="shared" ca="1" si="51"/>
        <v>0</v>
      </c>
    </row>
    <row r="251" spans="1:15" s="11" customFormat="1" x14ac:dyDescent="0.55000000000000004">
      <c r="A251" s="11">
        <f>IF(AND(D251&lt;&gt;"",C251=""),A250+1,A250)</f>
        <v>23</v>
      </c>
      <c r="B251" s="4"/>
      <c r="C251" s="4"/>
      <c r="D251" s="4" t="str">
        <f t="shared" si="45"/>
        <v>x</v>
      </c>
      <c r="E251" s="4"/>
      <c r="F251" s="13" t="str">
        <f>INDEX(PropertyList!$D:$D,MATCH(Summary!$A251,PropertyList!$C:$C,0))</f>
        <v>Park Ridge</v>
      </c>
      <c r="G251" s="59">
        <f ca="1">SUMIFS(OFFSET('BPC Data'!$F:$F,0,Summary!G$2),'BPC Data'!$E:$E,Summary!$D251,'BPC Data'!$B:$B,Summary!$C251)</f>
        <v>0</v>
      </c>
      <c r="H251" s="52">
        <f ca="1">SUMIFS(OFFSET('BPC Data'!$F:$F,0,Summary!H$2),'BPC Data'!$E:$E,Summary!$D251,'BPC Data'!$B:$B,Summary!$C251)</f>
        <v>0</v>
      </c>
      <c r="I251" s="59">
        <f ca="1">SUMIFS(OFFSET('BPC Data'!$F:$F,0,Summary!I$2),'BPC Data'!$E:$E,Summary!$D251,'BPC Data'!$B:$B,Summary!$C251)</f>
        <v>0</v>
      </c>
      <c r="J251" s="52">
        <f ca="1">SUMIFS(OFFSET('BPC Data'!$F:$F,0,Summary!J$2),'BPC Data'!$E:$E,Summary!$D251,'BPC Data'!$B:$B,Summary!$C251)</f>
        <v>0</v>
      </c>
      <c r="K251" s="59">
        <f ca="1">SUMIFS(OFFSET('BPC Data'!$F:$F,0,Summary!K$2),'BPC Data'!$E:$E,Summary!$D251,'BPC Data'!$B:$B,Summary!$C251)</f>
        <v>0</v>
      </c>
      <c r="L251" s="52">
        <f ca="1">SUMIFS(OFFSET('BPC Data'!$F:$F,0,Summary!L$2),'BPC Data'!$E:$E,Summary!$D251,'BPC Data'!$B:$B,Summary!$C251)</f>
        <v>0</v>
      </c>
      <c r="M251" s="59">
        <f ca="1">SUMIFS(OFFSET('BPC Data'!$F:$F,0,Summary!M$2),'BPC Data'!$E:$E,Summary!$D251,'BPC Data'!$B:$B,Summary!$C251)</f>
        <v>0</v>
      </c>
      <c r="N251" s="52">
        <f ca="1">SUMIFS(OFFSET('BPC Data'!$F:$F,0,Summary!N$2),'BPC Data'!$E:$E,Summary!$D251,'BPC Data'!$B:$B,Summary!$C251)</f>
        <v>0</v>
      </c>
      <c r="O251" s="18">
        <f t="shared" ca="1" si="51"/>
        <v>0</v>
      </c>
    </row>
    <row r="252" spans="1:15" s="11" customFormat="1" x14ac:dyDescent="0.55000000000000004">
      <c r="A252" s="11">
        <f>IF(AND(F252&lt;&gt;"",D252=""),A251+1,A251)</f>
        <v>23</v>
      </c>
      <c r="C252" t="str">
        <f>$F251</f>
        <v>Park Ridge</v>
      </c>
      <c r="D252" s="3" t="str">
        <f t="shared" si="45"/>
        <v>PAY_PAT_DAYS - Total Payor Patient Days</v>
      </c>
      <c r="F252" s="14" t="str">
        <f>_xll.EVDES(D252)</f>
        <v>Total Payor Patient Days</v>
      </c>
      <c r="G252" s="60">
        <f ca="1">SUMIFS(OFFSET('BPC Data'!$F:$F,0,Summary!G$2),'BPC Data'!$E:$E,Summary!$D252,'BPC Data'!$B:$B,Summary!$C252)</f>
        <v>2220</v>
      </c>
      <c r="H252" s="53">
        <f ca="1">SUMIFS(OFFSET('BPC Data'!$F:$F,0,Summary!H$2),'BPC Data'!$E:$E,Summary!$D252,'BPC Data'!$B:$B,Summary!$C252)</f>
        <v>2125</v>
      </c>
      <c r="I252" s="60">
        <f ca="1">SUMIFS(OFFSET('BPC Data'!$F:$F,0,Summary!I$2),'BPC Data'!$E:$E,Summary!$D252,'BPC Data'!$B:$B,Summary!$C252)</f>
        <v>2217</v>
      </c>
      <c r="J252" s="53">
        <f ca="1">SUMIFS(OFFSET('BPC Data'!$F:$F,0,Summary!J$2),'BPC Data'!$E:$E,Summary!$D252,'BPC Data'!$B:$B,Summary!$C252)</f>
        <v>2112</v>
      </c>
      <c r="K252" s="60">
        <f ca="1">SUMIFS(OFFSET('BPC Data'!$F:$F,0,Summary!K$2),'BPC Data'!$E:$E,Summary!$D252,'BPC Data'!$B:$B,Summary!$C252)</f>
        <v>2226</v>
      </c>
      <c r="L252" s="53">
        <f ca="1">SUMIFS(OFFSET('BPC Data'!$F:$F,0,Summary!L$2),'BPC Data'!$E:$E,Summary!$D252,'BPC Data'!$B:$B,Summary!$C252)</f>
        <v>2424</v>
      </c>
      <c r="M252" s="60">
        <f ca="1">SUMIFS(OFFSET('BPC Data'!$F:$F,0,Summary!M$2),'BPC Data'!$E:$E,Summary!$D252,'BPC Data'!$B:$B,Summary!$C252)</f>
        <v>2607</v>
      </c>
      <c r="N252" s="53">
        <f ca="1">SUMIFS(OFFSET('BPC Data'!$F:$F,0,Summary!N$2),'BPC Data'!$E:$E,Summary!$D252,'BPC Data'!$B:$B,Summary!$C252)</f>
        <v>2631</v>
      </c>
      <c r="O252" s="18">
        <f t="shared" ca="1" si="51"/>
        <v>18562</v>
      </c>
    </row>
    <row r="253" spans="1:15" s="11" customFormat="1" x14ac:dyDescent="0.55000000000000004">
      <c r="A253" s="11">
        <f t="shared" ref="A253:A261" si="52">IF(AND(F253&lt;&gt;"",D253=""),A252+1,A252)</f>
        <v>23</v>
      </c>
      <c r="C253" t="str">
        <f>$F251</f>
        <v>Park Ridge</v>
      </c>
      <c r="D253" s="3" t="str">
        <f t="shared" si="45"/>
        <v>A_BEDS_TOTAL - Total Available Beds</v>
      </c>
      <c r="F253" s="14" t="str">
        <f>_xll.EVDES(D253)</f>
        <v>Total Available Beds</v>
      </c>
      <c r="G253" s="60">
        <f ca="1">SUMIFS(OFFSET('BPC Data'!$F:$F,0,Summary!G$2),'BPC Data'!$E:$E,Summary!$D253,'BPC Data'!$B:$B,Summary!$C253)</f>
        <v>107</v>
      </c>
      <c r="H253" s="53">
        <f ca="1">SUMIFS(OFFSET('BPC Data'!$F:$F,0,Summary!H$2),'BPC Data'!$E:$E,Summary!$D253,'BPC Data'!$B:$B,Summary!$C253)</f>
        <v>107</v>
      </c>
      <c r="I253" s="60">
        <f ca="1">SUMIFS(OFFSET('BPC Data'!$F:$F,0,Summary!I$2),'BPC Data'!$E:$E,Summary!$D253,'BPC Data'!$B:$B,Summary!$C253)</f>
        <v>107</v>
      </c>
      <c r="J253" s="53">
        <f ca="1">SUMIFS(OFFSET('BPC Data'!$F:$F,0,Summary!J$2),'BPC Data'!$E:$E,Summary!$D253,'BPC Data'!$B:$B,Summary!$C253)</f>
        <v>107</v>
      </c>
      <c r="K253" s="60">
        <f ca="1">SUMIFS(OFFSET('BPC Data'!$F:$F,0,Summary!K$2),'BPC Data'!$E:$E,Summary!$D253,'BPC Data'!$B:$B,Summary!$C253)</f>
        <v>107</v>
      </c>
      <c r="L253" s="53">
        <f ca="1">SUMIFS(OFFSET('BPC Data'!$F:$F,0,Summary!L$2),'BPC Data'!$E:$E,Summary!$D253,'BPC Data'!$B:$B,Summary!$C253)</f>
        <v>107</v>
      </c>
      <c r="M253" s="60">
        <f ca="1">SUMIFS(OFFSET('BPC Data'!$F:$F,0,Summary!M$2),'BPC Data'!$E:$E,Summary!$D253,'BPC Data'!$B:$B,Summary!$C253)</f>
        <v>107</v>
      </c>
      <c r="N253" s="53">
        <f ca="1">SUMIFS(OFFSET('BPC Data'!$F:$F,0,Summary!N$2),'BPC Data'!$E:$E,Summary!$D253,'BPC Data'!$B:$B,Summary!$C253)</f>
        <v>107</v>
      </c>
      <c r="O253" s="18">
        <f ca="1">N253</f>
        <v>107</v>
      </c>
    </row>
    <row r="254" spans="1:15" s="11" customFormat="1" x14ac:dyDescent="0.55000000000000004">
      <c r="A254" s="11">
        <f t="shared" si="52"/>
        <v>23</v>
      </c>
      <c r="B254"/>
      <c r="C254" t="str">
        <f>$F251</f>
        <v>Park Ridge</v>
      </c>
      <c r="D254" s="3" t="str">
        <f t="shared" si="45"/>
        <v>T_REVENUES - Total Tenant Revenues</v>
      </c>
      <c r="E254"/>
      <c r="F254" s="14" t="str">
        <f>_xll.EVDES(D254)</f>
        <v>Total Tenant Revenues</v>
      </c>
      <c r="G254" s="60">
        <f ca="1">SUMIFS(OFFSET('BPC Data'!$F:$F,0,Summary!G$2),'BPC Data'!$E:$E,Summary!$D254,'BPC Data'!$B:$B,Summary!$C254)</f>
        <v>1035078.45</v>
      </c>
      <c r="H254" s="53">
        <f ca="1">SUMIFS(OFFSET('BPC Data'!$F:$F,0,Summary!H$2),'BPC Data'!$E:$E,Summary!$D254,'BPC Data'!$B:$B,Summary!$C254)</f>
        <v>936622.67</v>
      </c>
      <c r="I254" s="60">
        <f ca="1">SUMIFS(OFFSET('BPC Data'!$F:$F,0,Summary!I$2),'BPC Data'!$E:$E,Summary!$D254,'BPC Data'!$B:$B,Summary!$C254)</f>
        <v>974892.92</v>
      </c>
      <c r="J254" s="53">
        <f ca="1">SUMIFS(OFFSET('BPC Data'!$F:$F,0,Summary!J$2),'BPC Data'!$E:$E,Summary!$D254,'BPC Data'!$B:$B,Summary!$C254)</f>
        <v>968193.54</v>
      </c>
      <c r="K254" s="60">
        <f ca="1">SUMIFS(OFFSET('BPC Data'!$F:$F,0,Summary!K$2),'BPC Data'!$E:$E,Summary!$D254,'BPC Data'!$B:$B,Summary!$C254)</f>
        <v>1048504.99</v>
      </c>
      <c r="L254" s="53">
        <f ca="1">SUMIFS(OFFSET('BPC Data'!$F:$F,0,Summary!L$2),'BPC Data'!$E:$E,Summary!$D254,'BPC Data'!$B:$B,Summary!$C254)</f>
        <v>1175539.93</v>
      </c>
      <c r="M254" s="60">
        <f ca="1">SUMIFS(OFFSET('BPC Data'!$F:$F,0,Summary!M$2),'BPC Data'!$E:$E,Summary!$D254,'BPC Data'!$B:$B,Summary!$C254)</f>
        <v>1339098.1399999999</v>
      </c>
      <c r="N254" s="53">
        <f ca="1">SUMIFS(OFFSET('BPC Data'!$F:$F,0,Summary!N$2),'BPC Data'!$E:$E,Summary!$D254,'BPC Data'!$B:$B,Summary!$C254)</f>
        <v>1266435.96</v>
      </c>
      <c r="O254" s="18">
        <f t="shared" ref="O254:O263" ca="1" si="53">SUM(G254:N254)</f>
        <v>8744366.5999999996</v>
      </c>
    </row>
    <row r="255" spans="1:15" s="11" customFormat="1" x14ac:dyDescent="0.55000000000000004">
      <c r="A255" s="11">
        <f t="shared" si="52"/>
        <v>23</v>
      </c>
      <c r="B255"/>
      <c r="C255" t="str">
        <f>$F251</f>
        <v>Park Ridge</v>
      </c>
      <c r="D255" s="3" t="str">
        <f t="shared" si="45"/>
        <v>T_OPEX - Tenant Operating Expenses</v>
      </c>
      <c r="E255"/>
      <c r="F255" s="14" t="str">
        <f>_xll.EVDES(D255)</f>
        <v>Tenant Operating Expenses</v>
      </c>
      <c r="G255" s="60">
        <f ca="1">SUMIFS(OFFSET('BPC Data'!$F:$F,0,Summary!G$2),'BPC Data'!$E:$E,Summary!$D255,'BPC Data'!$B:$B,Summary!$C255)</f>
        <v>725033.32</v>
      </c>
      <c r="H255" s="53">
        <f ca="1">SUMIFS(OFFSET('BPC Data'!$F:$F,0,Summary!H$2),'BPC Data'!$E:$E,Summary!$D255,'BPC Data'!$B:$B,Summary!$C255)</f>
        <v>864693.01</v>
      </c>
      <c r="I255" s="60">
        <f ca="1">SUMIFS(OFFSET('BPC Data'!$F:$F,0,Summary!I$2),'BPC Data'!$E:$E,Summary!$D255,'BPC Data'!$B:$B,Summary!$C255)</f>
        <v>902372.29</v>
      </c>
      <c r="J255" s="53">
        <f ca="1">SUMIFS(OFFSET('BPC Data'!$F:$F,0,Summary!J$2),'BPC Data'!$E:$E,Summary!$D255,'BPC Data'!$B:$B,Summary!$C255)</f>
        <v>927471.32</v>
      </c>
      <c r="K255" s="60">
        <f ca="1">SUMIFS(OFFSET('BPC Data'!$F:$F,0,Summary!K$2),'BPC Data'!$E:$E,Summary!$D255,'BPC Data'!$B:$B,Summary!$C255)</f>
        <v>868737.55</v>
      </c>
      <c r="L255" s="53">
        <f ca="1">SUMIFS(OFFSET('BPC Data'!$F:$F,0,Summary!L$2),'BPC Data'!$E:$E,Summary!$D255,'BPC Data'!$B:$B,Summary!$C255)</f>
        <v>901495.83</v>
      </c>
      <c r="M255" s="60">
        <f ca="1">SUMIFS(OFFSET('BPC Data'!$F:$F,0,Summary!M$2),'BPC Data'!$E:$E,Summary!$D255,'BPC Data'!$B:$B,Summary!$C255)</f>
        <v>879261.73</v>
      </c>
      <c r="N255" s="53">
        <f ca="1">SUMIFS(OFFSET('BPC Data'!$F:$F,0,Summary!N$2),'BPC Data'!$E:$E,Summary!$D255,'BPC Data'!$B:$B,Summary!$C255)</f>
        <v>1076093.81</v>
      </c>
      <c r="O255" s="18">
        <f t="shared" ca="1" si="53"/>
        <v>7145158.8600000013</v>
      </c>
    </row>
    <row r="256" spans="1:15" s="11" customFormat="1" x14ac:dyDescent="0.55000000000000004">
      <c r="A256" s="11">
        <f t="shared" si="52"/>
        <v>23</v>
      </c>
      <c r="B256"/>
      <c r="C256" t="str">
        <f>$F251</f>
        <v>Park Ridge</v>
      </c>
      <c r="D256" s="3" t="str">
        <f t="shared" si="45"/>
        <v>T_BAD_DEBT - Tenant Bad Debt Expense</v>
      </c>
      <c r="E256"/>
      <c r="F256" s="14" t="str">
        <f>_xll.EVDES(D256)</f>
        <v>Tenant Bad Debt Expense</v>
      </c>
      <c r="G256" s="60">
        <f ca="1">SUMIFS(OFFSET('BPC Data'!$F:$F,0,Summary!G$2),'BPC Data'!$E:$E,Summary!$D256,'BPC Data'!$B:$B,Summary!$C256)</f>
        <v>-191778.21</v>
      </c>
      <c r="H256" s="53">
        <f ca="1">SUMIFS(OFFSET('BPC Data'!$F:$F,0,Summary!H$2),'BPC Data'!$E:$E,Summary!$D256,'BPC Data'!$B:$B,Summary!$C256)</f>
        <v>41940.910000000003</v>
      </c>
      <c r="I256" s="60">
        <f ca="1">SUMIFS(OFFSET('BPC Data'!$F:$F,0,Summary!I$2),'BPC Data'!$E:$E,Summary!$D256,'BPC Data'!$B:$B,Summary!$C256)</f>
        <v>15843.38</v>
      </c>
      <c r="J256" s="53">
        <f ca="1">SUMIFS(OFFSET('BPC Data'!$F:$F,0,Summary!J$2),'BPC Data'!$E:$E,Summary!$D256,'BPC Data'!$B:$B,Summary!$C256)</f>
        <v>-2207.04</v>
      </c>
      <c r="K256" s="60">
        <f ca="1">SUMIFS(OFFSET('BPC Data'!$F:$F,0,Summary!K$2),'BPC Data'!$E:$E,Summary!$D256,'BPC Data'!$B:$B,Summary!$C256)</f>
        <v>9241</v>
      </c>
      <c r="L256" s="53">
        <f ca="1">SUMIFS(OFFSET('BPC Data'!$F:$F,0,Summary!L$2),'BPC Data'!$E:$E,Summary!$D256,'BPC Data'!$B:$B,Summary!$C256)</f>
        <v>501.98</v>
      </c>
      <c r="M256" s="60">
        <f ca="1">SUMIFS(OFFSET('BPC Data'!$F:$F,0,Summary!M$2),'BPC Data'!$E:$E,Summary!$D256,'BPC Data'!$B:$B,Summary!$C256)</f>
        <v>11451.72</v>
      </c>
      <c r="N256" s="53">
        <f ca="1">SUMIFS(OFFSET('BPC Data'!$F:$F,0,Summary!N$2),'BPC Data'!$E:$E,Summary!$D256,'BPC Data'!$B:$B,Summary!$C256)</f>
        <v>7665.92</v>
      </c>
      <c r="O256" s="18">
        <f t="shared" ca="1" si="53"/>
        <v>-107340.34</v>
      </c>
    </row>
    <row r="257" spans="1:15" s="11" customFormat="1" x14ac:dyDescent="0.55000000000000004">
      <c r="A257" s="11">
        <f t="shared" si="52"/>
        <v>23</v>
      </c>
      <c r="B257"/>
      <c r="C257" t="str">
        <f>$F251</f>
        <v>Park Ridge</v>
      </c>
      <c r="D257" s="2" t="str">
        <f t="shared" si="45"/>
        <v>T_EBITDARM - EBITDARM</v>
      </c>
      <c r="E257"/>
      <c r="F257" s="14" t="str">
        <f>_xll.EVDES(D257)</f>
        <v>EBITDARM</v>
      </c>
      <c r="G257" s="60">
        <f ca="1">SUMIFS(OFFSET('BPC Data'!$F:$F,0,Summary!G$2),'BPC Data'!$E:$E,Summary!$D257,'BPC Data'!$B:$B,Summary!$C257)</f>
        <v>310045.13</v>
      </c>
      <c r="H257" s="53">
        <f ca="1">SUMIFS(OFFSET('BPC Data'!$F:$F,0,Summary!H$2),'BPC Data'!$E:$E,Summary!$D257,'BPC Data'!$B:$B,Summary!$C257)</f>
        <v>71929.66</v>
      </c>
      <c r="I257" s="60">
        <f ca="1">SUMIFS(OFFSET('BPC Data'!$F:$F,0,Summary!I$2),'BPC Data'!$E:$E,Summary!$D257,'BPC Data'!$B:$B,Summary!$C257)</f>
        <v>72520.629999999903</v>
      </c>
      <c r="J257" s="53">
        <f ca="1">SUMIFS(OFFSET('BPC Data'!$F:$F,0,Summary!J$2),'BPC Data'!$E:$E,Summary!$D257,'BPC Data'!$B:$B,Summary!$C257)</f>
        <v>40722.22</v>
      </c>
      <c r="K257" s="60">
        <f ca="1">SUMIFS(OFFSET('BPC Data'!$F:$F,0,Summary!K$2),'BPC Data'!$E:$E,Summary!$D257,'BPC Data'!$B:$B,Summary!$C257)</f>
        <v>179767.44</v>
      </c>
      <c r="L257" s="53">
        <f ca="1">SUMIFS(OFFSET('BPC Data'!$F:$F,0,Summary!L$2),'BPC Data'!$E:$E,Summary!$D257,'BPC Data'!$B:$B,Summary!$C257)</f>
        <v>274044.09999999998</v>
      </c>
      <c r="M257" s="60">
        <f ca="1">SUMIFS(OFFSET('BPC Data'!$F:$F,0,Summary!M$2),'BPC Data'!$E:$E,Summary!$D257,'BPC Data'!$B:$B,Summary!$C257)</f>
        <v>459836.41</v>
      </c>
      <c r="N257" s="53">
        <f ca="1">SUMIFS(OFFSET('BPC Data'!$F:$F,0,Summary!N$2),'BPC Data'!$E:$E,Summary!$D257,'BPC Data'!$B:$B,Summary!$C257)</f>
        <v>190342.15</v>
      </c>
      <c r="O257" s="18">
        <f t="shared" ca="1" si="53"/>
        <v>1599207.7399999998</v>
      </c>
    </row>
    <row r="258" spans="1:15" s="11" customFormat="1" x14ac:dyDescent="0.55000000000000004">
      <c r="A258" s="11">
        <f t="shared" si="52"/>
        <v>23</v>
      </c>
      <c r="B258"/>
      <c r="C258" t="str">
        <f>$F251</f>
        <v>Park Ridge</v>
      </c>
      <c r="D258" s="2" t="str">
        <f t="shared" si="45"/>
        <v>T_MGMT_FEE - Tenant Management Fee - Actual</v>
      </c>
      <c r="E258"/>
      <c r="F258" s="14" t="str">
        <f>_xll.EVDES(D258)</f>
        <v>Tenant Management Fee - Actual</v>
      </c>
      <c r="G258" s="60">
        <f ca="1">SUMIFS(OFFSET('BPC Data'!$F:$F,0,Summary!G$2),'BPC Data'!$E:$E,Summary!$D258,'BPC Data'!$B:$B,Summary!$C258)</f>
        <v>51185</v>
      </c>
      <c r="H258" s="53">
        <f ca="1">SUMIFS(OFFSET('BPC Data'!$F:$F,0,Summary!H$2),'BPC Data'!$E:$E,Summary!$D258,'BPC Data'!$B:$B,Summary!$C258)</f>
        <v>51753</v>
      </c>
      <c r="I258" s="60">
        <f ca="1">SUMIFS(OFFSET('BPC Data'!$F:$F,0,Summary!I$2),'BPC Data'!$E:$E,Summary!$D258,'BPC Data'!$B:$B,Summary!$C258)</f>
        <v>46831</v>
      </c>
      <c r="J258" s="53">
        <f ca="1">SUMIFS(OFFSET('BPC Data'!$F:$F,0,Summary!J$2),'BPC Data'!$E:$E,Summary!$D258,'BPC Data'!$B:$B,Summary!$C258)</f>
        <v>48744</v>
      </c>
      <c r="K258" s="60">
        <f ca="1">SUMIFS(OFFSET('BPC Data'!$F:$F,0,Summary!K$2),'BPC Data'!$E:$E,Summary!$D258,'BPC Data'!$B:$B,Summary!$C258)</f>
        <v>48409</v>
      </c>
      <c r="L258" s="53">
        <f ca="1">SUMIFS(OFFSET('BPC Data'!$F:$F,0,Summary!L$2),'BPC Data'!$E:$E,Summary!$D258,'BPC Data'!$B:$B,Summary!$C258)</f>
        <v>52425</v>
      </c>
      <c r="M258" s="60">
        <f ca="1">SUMIFS(OFFSET('BPC Data'!$F:$F,0,Summary!M$2),'BPC Data'!$E:$E,Summary!$D258,'BPC Data'!$B:$B,Summary!$C258)</f>
        <v>58776</v>
      </c>
      <c r="N258" s="53">
        <f ca="1">SUMIFS(OFFSET('BPC Data'!$F:$F,0,Summary!N$2),'BPC Data'!$E:$E,Summary!$D258,'BPC Data'!$B:$B,Summary!$C258)</f>
        <v>66954</v>
      </c>
      <c r="O258" s="18">
        <f t="shared" ca="1" si="53"/>
        <v>425077</v>
      </c>
    </row>
    <row r="259" spans="1:15" s="11" customFormat="1" x14ac:dyDescent="0.55000000000000004">
      <c r="A259" s="11">
        <f t="shared" si="52"/>
        <v>23</v>
      </c>
      <c r="B259"/>
      <c r="C259" t="str">
        <f>$F251</f>
        <v>Park Ridge</v>
      </c>
      <c r="D259" s="1" t="str">
        <f t="shared" si="45"/>
        <v>T_EBITDAR - EBITDAR</v>
      </c>
      <c r="E259"/>
      <c r="F259" s="14" t="str">
        <f>_xll.EVDES(D259)</f>
        <v>EBITDAR</v>
      </c>
      <c r="G259" s="60">
        <f ca="1">SUMIFS(OFFSET('BPC Data'!$F:$F,0,Summary!G$2),'BPC Data'!$E:$E,Summary!$D259,'BPC Data'!$B:$B,Summary!$C259)</f>
        <v>258860.13</v>
      </c>
      <c r="H259" s="53">
        <f ca="1">SUMIFS(OFFSET('BPC Data'!$F:$F,0,Summary!H$2),'BPC Data'!$E:$E,Summary!$D259,'BPC Data'!$B:$B,Summary!$C259)</f>
        <v>20176.66</v>
      </c>
      <c r="I259" s="60">
        <f ca="1">SUMIFS(OFFSET('BPC Data'!$F:$F,0,Summary!I$2),'BPC Data'!$E:$E,Summary!$D259,'BPC Data'!$B:$B,Summary!$C259)</f>
        <v>25689.629999999899</v>
      </c>
      <c r="J259" s="53">
        <f ca="1">SUMIFS(OFFSET('BPC Data'!$F:$F,0,Summary!J$2),'BPC Data'!$E:$E,Summary!$D259,'BPC Data'!$B:$B,Summary!$C259)</f>
        <v>-8021.7800000000298</v>
      </c>
      <c r="K259" s="60">
        <f ca="1">SUMIFS(OFFSET('BPC Data'!$F:$F,0,Summary!K$2),'BPC Data'!$E:$E,Summary!$D259,'BPC Data'!$B:$B,Summary!$C259)</f>
        <v>131358.44</v>
      </c>
      <c r="L259" s="53">
        <f ca="1">SUMIFS(OFFSET('BPC Data'!$F:$F,0,Summary!L$2),'BPC Data'!$E:$E,Summary!$D259,'BPC Data'!$B:$B,Summary!$C259)</f>
        <v>221619.1</v>
      </c>
      <c r="M259" s="60">
        <f ca="1">SUMIFS(OFFSET('BPC Data'!$F:$F,0,Summary!M$2),'BPC Data'!$E:$E,Summary!$D259,'BPC Data'!$B:$B,Summary!$C259)</f>
        <v>401060.41</v>
      </c>
      <c r="N259" s="53">
        <f ca="1">SUMIFS(OFFSET('BPC Data'!$F:$F,0,Summary!N$2),'BPC Data'!$E:$E,Summary!$D259,'BPC Data'!$B:$B,Summary!$C259)</f>
        <v>123388.15</v>
      </c>
      <c r="O259" s="18">
        <f t="shared" ca="1" si="53"/>
        <v>1174130.7399999998</v>
      </c>
    </row>
    <row r="260" spans="1:15" s="11" customFormat="1" x14ac:dyDescent="0.55000000000000004">
      <c r="A260" s="11">
        <f t="shared" si="52"/>
        <v>23</v>
      </c>
      <c r="B260"/>
      <c r="C260" t="str">
        <f>$F251</f>
        <v>Park Ridge</v>
      </c>
      <c r="D260" s="1" t="str">
        <f t="shared" si="45"/>
        <v>T_RENT_EXP - Tenant Rent Expense</v>
      </c>
      <c r="E260"/>
      <c r="F260" s="14" t="str">
        <f>_xll.EVDES(D260)</f>
        <v>Tenant Rent Expense</v>
      </c>
      <c r="G260" s="60">
        <f ca="1">SUMIFS(OFFSET('BPC Data'!$F:$F,0,Summary!G$2),'BPC Data'!$E:$E,Summary!$D260,'BPC Data'!$B:$B,Summary!$C260)</f>
        <v>146835.85999999999</v>
      </c>
      <c r="H260" s="53">
        <f ca="1">SUMIFS(OFFSET('BPC Data'!$F:$F,0,Summary!H$2),'BPC Data'!$E:$E,Summary!$D260,'BPC Data'!$B:$B,Summary!$C260)</f>
        <v>146835.85999999999</v>
      </c>
      <c r="I260" s="60">
        <f ca="1">SUMIFS(OFFSET('BPC Data'!$F:$F,0,Summary!I$2),'BPC Data'!$E:$E,Summary!$D260,'BPC Data'!$B:$B,Summary!$C260)</f>
        <v>146835.85999999999</v>
      </c>
      <c r="J260" s="53">
        <f ca="1">SUMIFS(OFFSET('BPC Data'!$F:$F,0,Summary!J$2),'BPC Data'!$E:$E,Summary!$D260,'BPC Data'!$B:$B,Summary!$C260)</f>
        <v>146835.85999999999</v>
      </c>
      <c r="K260" s="60">
        <f ca="1">SUMIFS(OFFSET('BPC Data'!$F:$F,0,Summary!K$2),'BPC Data'!$E:$E,Summary!$D260,'BPC Data'!$B:$B,Summary!$C260)</f>
        <v>146835.85999999999</v>
      </c>
      <c r="L260" s="53">
        <f ca="1">SUMIFS(OFFSET('BPC Data'!$F:$F,0,Summary!L$2),'BPC Data'!$E:$E,Summary!$D260,'BPC Data'!$B:$B,Summary!$C260)</f>
        <v>146835.85999999999</v>
      </c>
      <c r="M260" s="60">
        <f ca="1">SUMIFS(OFFSET('BPC Data'!$F:$F,0,Summary!M$2),'BPC Data'!$E:$E,Summary!$D260,'BPC Data'!$B:$B,Summary!$C260)</f>
        <v>146835.85999999999</v>
      </c>
      <c r="N260" s="53">
        <f ca="1">SUMIFS(OFFSET('BPC Data'!$F:$F,0,Summary!N$2),'BPC Data'!$E:$E,Summary!$D260,'BPC Data'!$B:$B,Summary!$C260)</f>
        <v>146835.85999999999</v>
      </c>
      <c r="O260" s="18">
        <f t="shared" ca="1" si="53"/>
        <v>1174686.8799999999</v>
      </c>
    </row>
    <row r="261" spans="1:15" s="11" customFormat="1" x14ac:dyDescent="0.55000000000000004">
      <c r="A261" s="11">
        <f t="shared" si="52"/>
        <v>23</v>
      </c>
      <c r="B261"/>
      <c r="C261"/>
      <c r="D261" s="1" t="str">
        <f t="shared" si="45"/>
        <v>x</v>
      </c>
      <c r="E261"/>
      <c r="F261" s="14" t="s">
        <v>0</v>
      </c>
      <c r="G261" s="61">
        <f ca="1">SUMIFS(OFFSET('BPC Data'!$F:$F,0,Summary!G$2),'BPC Data'!$E:$E,Summary!$D261,'BPC Data'!$B:$B,Summary!$C261)</f>
        <v>0</v>
      </c>
      <c r="H261" s="54">
        <f ca="1">SUMIFS(OFFSET('BPC Data'!$F:$F,0,Summary!H$2),'BPC Data'!$E:$E,Summary!$D261,'BPC Data'!$B:$B,Summary!$C261)</f>
        <v>0</v>
      </c>
      <c r="I261" s="61">
        <f ca="1">SUMIFS(OFFSET('BPC Data'!$F:$F,0,Summary!I$2),'BPC Data'!$E:$E,Summary!$D261,'BPC Data'!$B:$B,Summary!$C261)</f>
        <v>0</v>
      </c>
      <c r="J261" s="54">
        <f ca="1">SUMIFS(OFFSET('BPC Data'!$F:$F,0,Summary!J$2),'BPC Data'!$E:$E,Summary!$D261,'BPC Data'!$B:$B,Summary!$C261)</f>
        <v>0</v>
      </c>
      <c r="K261" s="61">
        <f ca="1">SUMIFS(OFFSET('BPC Data'!$F:$F,0,Summary!K$2),'BPC Data'!$E:$E,Summary!$D261,'BPC Data'!$B:$B,Summary!$C261)</f>
        <v>0</v>
      </c>
      <c r="L261" s="54">
        <f ca="1">SUMIFS(OFFSET('BPC Data'!$F:$F,0,Summary!L$2),'BPC Data'!$E:$E,Summary!$D261,'BPC Data'!$B:$B,Summary!$C261)</f>
        <v>0</v>
      </c>
      <c r="M261" s="61">
        <f ca="1">SUMIFS(OFFSET('BPC Data'!$F:$F,0,Summary!M$2),'BPC Data'!$E:$E,Summary!$D261,'BPC Data'!$B:$B,Summary!$C261)</f>
        <v>0</v>
      </c>
      <c r="N261" s="54">
        <f ca="1">SUMIFS(OFFSET('BPC Data'!$F:$F,0,Summary!N$2),'BPC Data'!$E:$E,Summary!$D261,'BPC Data'!$B:$B,Summary!$C261)</f>
        <v>0</v>
      </c>
      <c r="O261" s="18">
        <f t="shared" ca="1" si="53"/>
        <v>0</v>
      </c>
    </row>
    <row r="262" spans="1:15" s="11" customFormat="1" x14ac:dyDescent="0.55000000000000004">
      <c r="A262" s="11">
        <f>IF(AND(D262&lt;&gt;"",C262=""),A261+1,A261)</f>
        <v>24</v>
      </c>
      <c r="B262" s="4"/>
      <c r="C262" s="4"/>
      <c r="D262" s="4" t="str">
        <f t="shared" si="45"/>
        <v>x</v>
      </c>
      <c r="E262" s="4"/>
      <c r="F262" s="13" t="str">
        <f>INDEX(PropertyList!$D:$D,MATCH(Summary!$A262,PropertyList!$C:$C,0))</f>
        <v>New Orange Hills (North American)</v>
      </c>
      <c r="G262" s="59">
        <f ca="1">SUMIFS(OFFSET('BPC Data'!$F:$F,0,Summary!G$2),'BPC Data'!$E:$E,Summary!$D262,'BPC Data'!$B:$B,Summary!$C262)</f>
        <v>0</v>
      </c>
      <c r="H262" s="52">
        <f ca="1">SUMIFS(OFFSET('BPC Data'!$F:$F,0,Summary!H$2),'BPC Data'!$E:$E,Summary!$D262,'BPC Data'!$B:$B,Summary!$C262)</f>
        <v>0</v>
      </c>
      <c r="I262" s="59">
        <f ca="1">SUMIFS(OFFSET('BPC Data'!$F:$F,0,Summary!I$2),'BPC Data'!$E:$E,Summary!$D262,'BPC Data'!$B:$B,Summary!$C262)</f>
        <v>0</v>
      </c>
      <c r="J262" s="52">
        <f ca="1">SUMIFS(OFFSET('BPC Data'!$F:$F,0,Summary!J$2),'BPC Data'!$E:$E,Summary!$D262,'BPC Data'!$B:$B,Summary!$C262)</f>
        <v>0</v>
      </c>
      <c r="K262" s="59">
        <f ca="1">SUMIFS(OFFSET('BPC Data'!$F:$F,0,Summary!K$2),'BPC Data'!$E:$E,Summary!$D262,'BPC Data'!$B:$B,Summary!$C262)</f>
        <v>0</v>
      </c>
      <c r="L262" s="52">
        <f ca="1">SUMIFS(OFFSET('BPC Data'!$F:$F,0,Summary!L$2),'BPC Data'!$E:$E,Summary!$D262,'BPC Data'!$B:$B,Summary!$C262)</f>
        <v>0</v>
      </c>
      <c r="M262" s="59">
        <f ca="1">SUMIFS(OFFSET('BPC Data'!$F:$F,0,Summary!M$2),'BPC Data'!$E:$E,Summary!$D262,'BPC Data'!$B:$B,Summary!$C262)</f>
        <v>0</v>
      </c>
      <c r="N262" s="52">
        <f ca="1">SUMIFS(OFFSET('BPC Data'!$F:$F,0,Summary!N$2),'BPC Data'!$E:$E,Summary!$D262,'BPC Data'!$B:$B,Summary!$C262)</f>
        <v>0</v>
      </c>
      <c r="O262" s="18">
        <f t="shared" ca="1" si="53"/>
        <v>0</v>
      </c>
    </row>
    <row r="263" spans="1:15" s="11" customFormat="1" x14ac:dyDescent="0.55000000000000004">
      <c r="A263" s="11">
        <f>IF(AND(F263&lt;&gt;"",D263=""),A262+1,A262)</f>
        <v>24</v>
      </c>
      <c r="C263" t="str">
        <f>$F262</f>
        <v>New Orange Hills (North American)</v>
      </c>
      <c r="D263" s="3" t="str">
        <f t="shared" si="45"/>
        <v>PAY_PAT_DAYS - Total Payor Patient Days</v>
      </c>
      <c r="F263" s="14" t="str">
        <f>_xll.EVDES(D263)</f>
        <v>Total Payor Patient Days</v>
      </c>
      <c r="G263" s="60">
        <f ca="1">SUMIFS(OFFSET('BPC Data'!$F:$F,0,Summary!G$2),'BPC Data'!$E:$E,Summary!$D263,'BPC Data'!$B:$B,Summary!$C263)</f>
        <v>4100</v>
      </c>
      <c r="H263" s="53">
        <f ca="1">SUMIFS(OFFSET('BPC Data'!$F:$F,0,Summary!H$2),'BPC Data'!$E:$E,Summary!$D263,'BPC Data'!$B:$B,Summary!$C263)</f>
        <v>3566</v>
      </c>
      <c r="I263" s="60">
        <f ca="1">SUMIFS(OFFSET('BPC Data'!$F:$F,0,Summary!I$2),'BPC Data'!$E:$E,Summary!$D263,'BPC Data'!$B:$B,Summary!$C263)</f>
        <v>3713</v>
      </c>
      <c r="J263" s="53">
        <f ca="1">SUMIFS(OFFSET('BPC Data'!$F:$F,0,Summary!J$2),'BPC Data'!$E:$E,Summary!$D263,'BPC Data'!$B:$B,Summary!$C263)</f>
        <v>3657</v>
      </c>
      <c r="K263" s="60">
        <f ca="1">SUMIFS(OFFSET('BPC Data'!$F:$F,0,Summary!K$2),'BPC Data'!$E:$E,Summary!$D263,'BPC Data'!$B:$B,Summary!$C263)</f>
        <v>4041</v>
      </c>
      <c r="L263" s="53">
        <f ca="1">SUMIFS(OFFSET('BPC Data'!$F:$F,0,Summary!L$2),'BPC Data'!$E:$E,Summary!$D263,'BPC Data'!$B:$B,Summary!$C263)</f>
        <v>4007</v>
      </c>
      <c r="M263" s="60">
        <f ca="1">SUMIFS(OFFSET('BPC Data'!$F:$F,0,Summary!M$2),'BPC Data'!$E:$E,Summary!$D263,'BPC Data'!$B:$B,Summary!$C263)</f>
        <v>4142</v>
      </c>
      <c r="N263" s="53">
        <f ca="1">SUMIFS(OFFSET('BPC Data'!$F:$F,0,Summary!N$2),'BPC Data'!$E:$E,Summary!$D263,'BPC Data'!$B:$B,Summary!$C263)</f>
        <v>4031</v>
      </c>
      <c r="O263" s="18">
        <f t="shared" ca="1" si="53"/>
        <v>31257</v>
      </c>
    </row>
    <row r="264" spans="1:15" s="11" customFormat="1" x14ac:dyDescent="0.55000000000000004">
      <c r="A264" s="11">
        <f t="shared" ref="A264:A272" si="54">IF(AND(F264&lt;&gt;"",D264=""),A263+1,A263)</f>
        <v>24</v>
      </c>
      <c r="C264" t="str">
        <f>$F262</f>
        <v>New Orange Hills (North American)</v>
      </c>
      <c r="D264" s="3" t="str">
        <f t="shared" si="45"/>
        <v>A_BEDS_TOTAL - Total Available Beds</v>
      </c>
      <c r="F264" s="14" t="str">
        <f>_xll.EVDES(D264)</f>
        <v>Total Available Beds</v>
      </c>
      <c r="G264" s="60">
        <f ca="1">SUMIFS(OFFSET('BPC Data'!$F:$F,0,Summary!G$2),'BPC Data'!$E:$E,Summary!$D264,'BPC Data'!$B:$B,Summary!$C264)</f>
        <v>145</v>
      </c>
      <c r="H264" s="53">
        <f ca="1">SUMIFS(OFFSET('BPC Data'!$F:$F,0,Summary!H$2),'BPC Data'!$E:$E,Summary!$D264,'BPC Data'!$B:$B,Summary!$C264)</f>
        <v>145</v>
      </c>
      <c r="I264" s="60">
        <f ca="1">SUMIFS(OFFSET('BPC Data'!$F:$F,0,Summary!I$2),'BPC Data'!$E:$E,Summary!$D264,'BPC Data'!$B:$B,Summary!$C264)</f>
        <v>145</v>
      </c>
      <c r="J264" s="53">
        <f ca="1">SUMIFS(OFFSET('BPC Data'!$F:$F,0,Summary!J$2),'BPC Data'!$E:$E,Summary!$D264,'BPC Data'!$B:$B,Summary!$C264)</f>
        <v>145</v>
      </c>
      <c r="K264" s="60">
        <f ca="1">SUMIFS(OFFSET('BPC Data'!$F:$F,0,Summary!K$2),'BPC Data'!$E:$E,Summary!$D264,'BPC Data'!$B:$B,Summary!$C264)</f>
        <v>145</v>
      </c>
      <c r="L264" s="53">
        <f ca="1">SUMIFS(OFFSET('BPC Data'!$F:$F,0,Summary!L$2),'BPC Data'!$E:$E,Summary!$D264,'BPC Data'!$B:$B,Summary!$C264)</f>
        <v>145</v>
      </c>
      <c r="M264" s="60">
        <f ca="1">SUMIFS(OFFSET('BPC Data'!$F:$F,0,Summary!M$2),'BPC Data'!$E:$E,Summary!$D264,'BPC Data'!$B:$B,Summary!$C264)</f>
        <v>143</v>
      </c>
      <c r="N264" s="53">
        <f ca="1">SUMIFS(OFFSET('BPC Data'!$F:$F,0,Summary!N$2),'BPC Data'!$E:$E,Summary!$D264,'BPC Data'!$B:$B,Summary!$C264)</f>
        <v>143</v>
      </c>
      <c r="O264" s="18">
        <f ca="1">N264</f>
        <v>143</v>
      </c>
    </row>
    <row r="265" spans="1:15" s="11" customFormat="1" x14ac:dyDescent="0.55000000000000004">
      <c r="A265" s="11">
        <f t="shared" si="54"/>
        <v>24</v>
      </c>
      <c r="B265"/>
      <c r="C265" t="str">
        <f>$F262</f>
        <v>New Orange Hills (North American)</v>
      </c>
      <c r="D265" s="3" t="str">
        <f t="shared" si="45"/>
        <v>T_REVENUES - Total Tenant Revenues</v>
      </c>
      <c r="E265"/>
      <c r="F265" s="14" t="str">
        <f>_xll.EVDES(D265)</f>
        <v>Total Tenant Revenues</v>
      </c>
      <c r="G265" s="60">
        <f ca="1">SUMIFS(OFFSET('BPC Data'!$F:$F,0,Summary!G$2),'BPC Data'!$E:$E,Summary!$D265,'BPC Data'!$B:$B,Summary!$C265)</f>
        <v>2161662.65</v>
      </c>
      <c r="H265" s="53">
        <f ca="1">SUMIFS(OFFSET('BPC Data'!$F:$F,0,Summary!H$2),'BPC Data'!$E:$E,Summary!$D265,'BPC Data'!$B:$B,Summary!$C265)</f>
        <v>1899566.0800000001</v>
      </c>
      <c r="I265" s="60">
        <f ca="1">SUMIFS(OFFSET('BPC Data'!$F:$F,0,Summary!I$2),'BPC Data'!$E:$E,Summary!$D265,'BPC Data'!$B:$B,Summary!$C265)</f>
        <v>2009274.25</v>
      </c>
      <c r="J265" s="53">
        <f ca="1">SUMIFS(OFFSET('BPC Data'!$F:$F,0,Summary!J$2),'BPC Data'!$E:$E,Summary!$D265,'BPC Data'!$B:$B,Summary!$C265)</f>
        <v>1846123.59</v>
      </c>
      <c r="K265" s="60">
        <f ca="1">SUMIFS(OFFSET('BPC Data'!$F:$F,0,Summary!K$2),'BPC Data'!$E:$E,Summary!$D265,'BPC Data'!$B:$B,Summary!$C265)</f>
        <v>2048508.23</v>
      </c>
      <c r="L265" s="53">
        <f ca="1">SUMIFS(OFFSET('BPC Data'!$F:$F,0,Summary!L$2),'BPC Data'!$E:$E,Summary!$D265,'BPC Data'!$B:$B,Summary!$C265)</f>
        <v>2086323.28</v>
      </c>
      <c r="M265" s="60">
        <f ca="1">SUMIFS(OFFSET('BPC Data'!$F:$F,0,Summary!M$2),'BPC Data'!$E:$E,Summary!$D265,'BPC Data'!$B:$B,Summary!$C265)</f>
        <v>2102667.73</v>
      </c>
      <c r="N265" s="53">
        <f ca="1">SUMIFS(OFFSET('BPC Data'!$F:$F,0,Summary!N$2),'BPC Data'!$E:$E,Summary!$D265,'BPC Data'!$B:$B,Summary!$C265)</f>
        <v>2152915.27</v>
      </c>
      <c r="O265" s="18">
        <f t="shared" ref="O265:O328" ca="1" si="55">SUM(G265:N265)</f>
        <v>16307041.08</v>
      </c>
    </row>
    <row r="266" spans="1:15" s="11" customFormat="1" x14ac:dyDescent="0.55000000000000004">
      <c r="A266" s="11">
        <f t="shared" si="54"/>
        <v>24</v>
      </c>
      <c r="B266"/>
      <c r="C266" t="str">
        <f>$F262</f>
        <v>New Orange Hills (North American)</v>
      </c>
      <c r="D266" s="3" t="str">
        <f t="shared" si="45"/>
        <v>T_OPEX - Tenant Operating Expenses</v>
      </c>
      <c r="E266"/>
      <c r="F266" s="14" t="str">
        <f>_xll.EVDES(D266)</f>
        <v>Tenant Operating Expenses</v>
      </c>
      <c r="G266" s="60">
        <f ca="1">SUMIFS(OFFSET('BPC Data'!$F:$F,0,Summary!G$2),'BPC Data'!$E:$E,Summary!$D266,'BPC Data'!$B:$B,Summary!$C266)</f>
        <v>1770285.78</v>
      </c>
      <c r="H266" s="53">
        <f ca="1">SUMIFS(OFFSET('BPC Data'!$F:$F,0,Summary!H$2),'BPC Data'!$E:$E,Summary!$D266,'BPC Data'!$B:$B,Summary!$C266)</f>
        <v>1605528.1</v>
      </c>
      <c r="I266" s="60">
        <f ca="1">SUMIFS(OFFSET('BPC Data'!$F:$F,0,Summary!I$2),'BPC Data'!$E:$E,Summary!$D266,'BPC Data'!$B:$B,Summary!$C266)</f>
        <v>1614593.31</v>
      </c>
      <c r="J266" s="53">
        <f ca="1">SUMIFS(OFFSET('BPC Data'!$F:$F,0,Summary!J$2),'BPC Data'!$E:$E,Summary!$D266,'BPC Data'!$B:$B,Summary!$C266)</f>
        <v>1616429.37</v>
      </c>
      <c r="K266" s="60">
        <f ca="1">SUMIFS(OFFSET('BPC Data'!$F:$F,0,Summary!K$2),'BPC Data'!$E:$E,Summary!$D266,'BPC Data'!$B:$B,Summary!$C266)</f>
        <v>1721580.86</v>
      </c>
      <c r="L266" s="53">
        <f ca="1">SUMIFS(OFFSET('BPC Data'!$F:$F,0,Summary!L$2),'BPC Data'!$E:$E,Summary!$D266,'BPC Data'!$B:$B,Summary!$C266)</f>
        <v>1710906.7</v>
      </c>
      <c r="M266" s="60">
        <f ca="1">SUMIFS(OFFSET('BPC Data'!$F:$F,0,Summary!M$2),'BPC Data'!$E:$E,Summary!$D266,'BPC Data'!$B:$B,Summary!$C266)</f>
        <v>1672815.27</v>
      </c>
      <c r="N266" s="53">
        <f ca="1">SUMIFS(OFFSET('BPC Data'!$F:$F,0,Summary!N$2),'BPC Data'!$E:$E,Summary!$D266,'BPC Data'!$B:$B,Summary!$C266)</f>
        <v>1688187.01</v>
      </c>
      <c r="O266" s="18">
        <f t="shared" ca="1" si="55"/>
        <v>13400326.399999999</v>
      </c>
    </row>
    <row r="267" spans="1:15" s="11" customFormat="1" x14ac:dyDescent="0.55000000000000004">
      <c r="A267" s="11">
        <f t="shared" si="54"/>
        <v>24</v>
      </c>
      <c r="B267"/>
      <c r="C267" t="str">
        <f>$F262</f>
        <v>New Orange Hills (North American)</v>
      </c>
      <c r="D267" s="3" t="str">
        <f t="shared" si="45"/>
        <v>T_BAD_DEBT - Tenant Bad Debt Expense</v>
      </c>
      <c r="E267"/>
      <c r="F267" s="14" t="str">
        <f>_xll.EVDES(D267)</f>
        <v>Tenant Bad Debt Expense</v>
      </c>
      <c r="G267" s="60">
        <f ca="1">SUMIFS(OFFSET('BPC Data'!$F:$F,0,Summary!G$2),'BPC Data'!$E:$E,Summary!$D267,'BPC Data'!$B:$B,Summary!$C267)</f>
        <v>-77009.25</v>
      </c>
      <c r="H267" s="53">
        <f ca="1">SUMIFS(OFFSET('BPC Data'!$F:$F,0,Summary!H$2),'BPC Data'!$E:$E,Summary!$D267,'BPC Data'!$B:$B,Summary!$C267)</f>
        <v>12683.75</v>
      </c>
      <c r="I267" s="60">
        <f ca="1">SUMIFS(OFFSET('BPC Data'!$F:$F,0,Summary!I$2),'BPC Data'!$E:$E,Summary!$D267,'BPC Data'!$B:$B,Summary!$C267)</f>
        <v>-56601.98</v>
      </c>
      <c r="J267" s="53">
        <f ca="1">SUMIFS(OFFSET('BPC Data'!$F:$F,0,Summary!J$2),'BPC Data'!$E:$E,Summary!$D267,'BPC Data'!$B:$B,Summary!$C267)</f>
        <v>-20433.39</v>
      </c>
      <c r="K267" s="60">
        <f ca="1">SUMIFS(OFFSET('BPC Data'!$F:$F,0,Summary!K$2),'BPC Data'!$E:$E,Summary!$D267,'BPC Data'!$B:$B,Summary!$C267)</f>
        <v>78771.47</v>
      </c>
      <c r="L267" s="53">
        <f ca="1">SUMIFS(OFFSET('BPC Data'!$F:$F,0,Summary!L$2),'BPC Data'!$E:$E,Summary!$D267,'BPC Data'!$B:$B,Summary!$C267)</f>
        <v>16042.77</v>
      </c>
      <c r="M267" s="60">
        <f ca="1">SUMIFS(OFFSET('BPC Data'!$F:$F,0,Summary!M$2),'BPC Data'!$E:$E,Summary!$D267,'BPC Data'!$B:$B,Summary!$C267)</f>
        <v>37019.160000000003</v>
      </c>
      <c r="N267" s="53">
        <f ca="1">SUMIFS(OFFSET('BPC Data'!$F:$F,0,Summary!N$2),'BPC Data'!$E:$E,Summary!$D267,'BPC Data'!$B:$B,Summary!$C267)</f>
        <v>54539.28</v>
      </c>
      <c r="O267" s="18">
        <f t="shared" ca="1" si="55"/>
        <v>45011.810000000012</v>
      </c>
    </row>
    <row r="268" spans="1:15" s="11" customFormat="1" x14ac:dyDescent="0.55000000000000004">
      <c r="A268" s="11">
        <f t="shared" si="54"/>
        <v>24</v>
      </c>
      <c r="B268"/>
      <c r="C268" t="str">
        <f>$F262</f>
        <v>New Orange Hills (North American)</v>
      </c>
      <c r="D268" s="2" t="str">
        <f t="shared" si="45"/>
        <v>T_EBITDARM - EBITDARM</v>
      </c>
      <c r="E268"/>
      <c r="F268" s="14" t="str">
        <f>_xll.EVDES(D268)</f>
        <v>EBITDARM</v>
      </c>
      <c r="G268" s="60">
        <f ca="1">SUMIFS(OFFSET('BPC Data'!$F:$F,0,Summary!G$2),'BPC Data'!$E:$E,Summary!$D268,'BPC Data'!$B:$B,Summary!$C268)</f>
        <v>391376.87</v>
      </c>
      <c r="H268" s="53">
        <f ca="1">SUMIFS(OFFSET('BPC Data'!$F:$F,0,Summary!H$2),'BPC Data'!$E:$E,Summary!$D268,'BPC Data'!$B:$B,Summary!$C268)</f>
        <v>294037.98</v>
      </c>
      <c r="I268" s="60">
        <f ca="1">SUMIFS(OFFSET('BPC Data'!$F:$F,0,Summary!I$2),'BPC Data'!$E:$E,Summary!$D268,'BPC Data'!$B:$B,Summary!$C268)</f>
        <v>394680.94</v>
      </c>
      <c r="J268" s="53">
        <f ca="1">SUMIFS(OFFSET('BPC Data'!$F:$F,0,Summary!J$2),'BPC Data'!$E:$E,Summary!$D268,'BPC Data'!$B:$B,Summary!$C268)</f>
        <v>229694.22</v>
      </c>
      <c r="K268" s="60">
        <f ca="1">SUMIFS(OFFSET('BPC Data'!$F:$F,0,Summary!K$2),'BPC Data'!$E:$E,Summary!$D268,'BPC Data'!$B:$B,Summary!$C268)</f>
        <v>326927.37</v>
      </c>
      <c r="L268" s="53">
        <f ca="1">SUMIFS(OFFSET('BPC Data'!$F:$F,0,Summary!L$2),'BPC Data'!$E:$E,Summary!$D268,'BPC Data'!$B:$B,Summary!$C268)</f>
        <v>375416.58</v>
      </c>
      <c r="M268" s="60">
        <f ca="1">SUMIFS(OFFSET('BPC Data'!$F:$F,0,Summary!M$2),'BPC Data'!$E:$E,Summary!$D268,'BPC Data'!$B:$B,Summary!$C268)</f>
        <v>429852.45999999897</v>
      </c>
      <c r="N268" s="53">
        <f ca="1">SUMIFS(OFFSET('BPC Data'!$F:$F,0,Summary!N$2),'BPC Data'!$E:$E,Summary!$D268,'BPC Data'!$B:$B,Summary!$C268)</f>
        <v>464728.26</v>
      </c>
      <c r="O268" s="18">
        <f t="shared" ca="1" si="55"/>
        <v>2906714.6799999988</v>
      </c>
    </row>
    <row r="269" spans="1:15" s="11" customFormat="1" x14ac:dyDescent="0.55000000000000004">
      <c r="A269" s="11">
        <f t="shared" si="54"/>
        <v>24</v>
      </c>
      <c r="B269"/>
      <c r="C269" t="str">
        <f>$F262</f>
        <v>New Orange Hills (North American)</v>
      </c>
      <c r="D269" s="2" t="str">
        <f t="shared" si="45"/>
        <v>T_MGMT_FEE - Tenant Management Fee - Actual</v>
      </c>
      <c r="E269"/>
      <c r="F269" s="14" t="str">
        <f>_xll.EVDES(D269)</f>
        <v>Tenant Management Fee - Actual</v>
      </c>
      <c r="G269" s="60">
        <f ca="1">SUMIFS(OFFSET('BPC Data'!$F:$F,0,Summary!G$2),'BPC Data'!$E:$E,Summary!$D269,'BPC Data'!$B:$B,Summary!$C269)</f>
        <v>117289</v>
      </c>
      <c r="H269" s="53">
        <f ca="1">SUMIFS(OFFSET('BPC Data'!$F:$F,0,Summary!H$2),'BPC Data'!$E:$E,Summary!$D269,'BPC Data'!$B:$B,Summary!$C269)</f>
        <v>107603</v>
      </c>
      <c r="I269" s="60">
        <f ca="1">SUMIFS(OFFSET('BPC Data'!$F:$F,0,Summary!I$2),'BPC Data'!$E:$E,Summary!$D269,'BPC Data'!$B:$B,Summary!$C269)</f>
        <v>94978</v>
      </c>
      <c r="J269" s="53">
        <f ca="1">SUMIFS(OFFSET('BPC Data'!$F:$F,0,Summary!J$2),'BPC Data'!$E:$E,Summary!$D269,'BPC Data'!$B:$B,Summary!$C269)</f>
        <v>100463</v>
      </c>
      <c r="K269" s="60">
        <f ca="1">SUMIFS(OFFSET('BPC Data'!$F:$F,0,Summary!K$2),'BPC Data'!$E:$E,Summary!$D269,'BPC Data'!$B:$B,Summary!$C269)</f>
        <v>92306</v>
      </c>
      <c r="L269" s="53">
        <f ca="1">SUMIFS(OFFSET('BPC Data'!$F:$F,0,Summary!L$2),'BPC Data'!$E:$E,Summary!$D269,'BPC Data'!$B:$B,Summary!$C269)</f>
        <v>102425</v>
      </c>
      <c r="M269" s="60">
        <f ca="1">SUMIFS(OFFSET('BPC Data'!$F:$F,0,Summary!M$2),'BPC Data'!$E:$E,Summary!$D269,'BPC Data'!$B:$B,Summary!$C269)</f>
        <v>104316</v>
      </c>
      <c r="N269" s="53">
        <f ca="1">SUMIFS(OFFSET('BPC Data'!$F:$F,0,Summary!N$2),'BPC Data'!$E:$E,Summary!$D269,'BPC Data'!$B:$B,Summary!$C269)</f>
        <v>105133</v>
      </c>
      <c r="O269" s="18">
        <f t="shared" ca="1" si="55"/>
        <v>824513</v>
      </c>
    </row>
    <row r="270" spans="1:15" s="11" customFormat="1" x14ac:dyDescent="0.55000000000000004">
      <c r="A270" s="11">
        <f t="shared" si="54"/>
        <v>24</v>
      </c>
      <c r="B270"/>
      <c r="C270" t="str">
        <f>$F262</f>
        <v>New Orange Hills (North American)</v>
      </c>
      <c r="D270" s="1" t="str">
        <f t="shared" si="45"/>
        <v>T_EBITDAR - EBITDAR</v>
      </c>
      <c r="E270"/>
      <c r="F270" s="14" t="str">
        <f>_xll.EVDES(D270)</f>
        <v>EBITDAR</v>
      </c>
      <c r="G270" s="60">
        <f ca="1">SUMIFS(OFFSET('BPC Data'!$F:$F,0,Summary!G$2),'BPC Data'!$E:$E,Summary!$D270,'BPC Data'!$B:$B,Summary!$C270)</f>
        <v>274087.87</v>
      </c>
      <c r="H270" s="53">
        <f ca="1">SUMIFS(OFFSET('BPC Data'!$F:$F,0,Summary!H$2),'BPC Data'!$E:$E,Summary!$D270,'BPC Data'!$B:$B,Summary!$C270)</f>
        <v>186434.98</v>
      </c>
      <c r="I270" s="60">
        <f ca="1">SUMIFS(OFFSET('BPC Data'!$F:$F,0,Summary!I$2),'BPC Data'!$E:$E,Summary!$D270,'BPC Data'!$B:$B,Summary!$C270)</f>
        <v>299702.94</v>
      </c>
      <c r="J270" s="53">
        <f ca="1">SUMIFS(OFFSET('BPC Data'!$F:$F,0,Summary!J$2),'BPC Data'!$E:$E,Summary!$D270,'BPC Data'!$B:$B,Summary!$C270)</f>
        <v>129231.22</v>
      </c>
      <c r="K270" s="60">
        <f ca="1">SUMIFS(OFFSET('BPC Data'!$F:$F,0,Summary!K$2),'BPC Data'!$E:$E,Summary!$D270,'BPC Data'!$B:$B,Summary!$C270)</f>
        <v>234621.37</v>
      </c>
      <c r="L270" s="53">
        <f ca="1">SUMIFS(OFFSET('BPC Data'!$F:$F,0,Summary!L$2),'BPC Data'!$E:$E,Summary!$D270,'BPC Data'!$B:$B,Summary!$C270)</f>
        <v>272991.58</v>
      </c>
      <c r="M270" s="60">
        <f ca="1">SUMIFS(OFFSET('BPC Data'!$F:$F,0,Summary!M$2),'BPC Data'!$E:$E,Summary!$D270,'BPC Data'!$B:$B,Summary!$C270)</f>
        <v>325536.45999999897</v>
      </c>
      <c r="N270" s="53">
        <f ca="1">SUMIFS(OFFSET('BPC Data'!$F:$F,0,Summary!N$2),'BPC Data'!$E:$E,Summary!$D270,'BPC Data'!$B:$B,Summary!$C270)</f>
        <v>359595.26</v>
      </c>
      <c r="O270" s="18">
        <f t="shared" ca="1" si="55"/>
        <v>2082201.679999999</v>
      </c>
    </row>
    <row r="271" spans="1:15" s="11" customFormat="1" x14ac:dyDescent="0.55000000000000004">
      <c r="A271" s="11">
        <f t="shared" si="54"/>
        <v>24</v>
      </c>
      <c r="B271"/>
      <c r="C271" t="str">
        <f>$F262</f>
        <v>New Orange Hills (North American)</v>
      </c>
      <c r="D271" s="1" t="str">
        <f t="shared" si="45"/>
        <v>T_RENT_EXP - Tenant Rent Expense</v>
      </c>
      <c r="E271"/>
      <c r="F271" s="14" t="str">
        <f>_xll.EVDES(D271)</f>
        <v>Tenant Rent Expense</v>
      </c>
      <c r="G271" s="60">
        <f ca="1">SUMIFS(OFFSET('BPC Data'!$F:$F,0,Summary!G$2),'BPC Data'!$E:$E,Summary!$D271,'BPC Data'!$B:$B,Summary!$C271)</f>
        <v>188439.37</v>
      </c>
      <c r="H271" s="53">
        <f ca="1">SUMIFS(OFFSET('BPC Data'!$F:$F,0,Summary!H$2),'BPC Data'!$E:$E,Summary!$D271,'BPC Data'!$B:$B,Summary!$C271)</f>
        <v>188439.37</v>
      </c>
      <c r="I271" s="60">
        <f ca="1">SUMIFS(OFFSET('BPC Data'!$F:$F,0,Summary!I$2),'BPC Data'!$E:$E,Summary!$D271,'BPC Data'!$B:$B,Summary!$C271)</f>
        <v>188439.37</v>
      </c>
      <c r="J271" s="53">
        <f ca="1">SUMIFS(OFFSET('BPC Data'!$F:$F,0,Summary!J$2),'BPC Data'!$E:$E,Summary!$D271,'BPC Data'!$B:$B,Summary!$C271)</f>
        <v>188439.37</v>
      </c>
      <c r="K271" s="60">
        <f ca="1">SUMIFS(OFFSET('BPC Data'!$F:$F,0,Summary!K$2),'BPC Data'!$E:$E,Summary!$D271,'BPC Data'!$B:$B,Summary!$C271)</f>
        <v>188439.37</v>
      </c>
      <c r="L271" s="53">
        <f ca="1">SUMIFS(OFFSET('BPC Data'!$F:$F,0,Summary!L$2),'BPC Data'!$E:$E,Summary!$D271,'BPC Data'!$B:$B,Summary!$C271)</f>
        <v>188439.37</v>
      </c>
      <c r="M271" s="60">
        <f ca="1">SUMIFS(OFFSET('BPC Data'!$F:$F,0,Summary!M$2),'BPC Data'!$E:$E,Summary!$D271,'BPC Data'!$B:$B,Summary!$C271)</f>
        <v>188439.37</v>
      </c>
      <c r="N271" s="53">
        <f ca="1">SUMIFS(OFFSET('BPC Data'!$F:$F,0,Summary!N$2),'BPC Data'!$E:$E,Summary!$D271,'BPC Data'!$B:$B,Summary!$C271)</f>
        <v>188439.37</v>
      </c>
      <c r="O271" s="18">
        <f t="shared" ca="1" si="55"/>
        <v>1507514.96</v>
      </c>
    </row>
    <row r="272" spans="1:15" s="11" customFormat="1" x14ac:dyDescent="0.55000000000000004">
      <c r="A272" s="11">
        <f t="shared" si="54"/>
        <v>24</v>
      </c>
      <c r="B272"/>
      <c r="C272"/>
      <c r="D272" s="1" t="str">
        <f t="shared" si="45"/>
        <v>x</v>
      </c>
      <c r="E272"/>
      <c r="F272" s="14" t="s">
        <v>0</v>
      </c>
      <c r="G272" s="61">
        <f ca="1">SUMIFS(OFFSET('BPC Data'!$F:$F,0,Summary!G$2),'BPC Data'!$E:$E,Summary!$D272,'BPC Data'!$B:$B,Summary!$C272)</f>
        <v>0</v>
      </c>
      <c r="H272" s="54">
        <f ca="1">SUMIFS(OFFSET('BPC Data'!$F:$F,0,Summary!H$2),'BPC Data'!$E:$E,Summary!$D272,'BPC Data'!$B:$B,Summary!$C272)</f>
        <v>0</v>
      </c>
      <c r="I272" s="61">
        <f ca="1">SUMIFS(OFFSET('BPC Data'!$F:$F,0,Summary!I$2),'BPC Data'!$E:$E,Summary!$D272,'BPC Data'!$B:$B,Summary!$C272)</f>
        <v>0</v>
      </c>
      <c r="J272" s="54">
        <f ca="1">SUMIFS(OFFSET('BPC Data'!$F:$F,0,Summary!J$2),'BPC Data'!$E:$E,Summary!$D272,'BPC Data'!$B:$B,Summary!$C272)</f>
        <v>0</v>
      </c>
      <c r="K272" s="61">
        <f ca="1">SUMIFS(OFFSET('BPC Data'!$F:$F,0,Summary!K$2),'BPC Data'!$E:$E,Summary!$D272,'BPC Data'!$B:$B,Summary!$C272)</f>
        <v>0</v>
      </c>
      <c r="L272" s="54">
        <f ca="1">SUMIFS(OFFSET('BPC Data'!$F:$F,0,Summary!L$2),'BPC Data'!$E:$E,Summary!$D272,'BPC Data'!$B:$B,Summary!$C272)</f>
        <v>0</v>
      </c>
      <c r="M272" s="61">
        <f ca="1">SUMIFS(OFFSET('BPC Data'!$F:$F,0,Summary!M$2),'BPC Data'!$E:$E,Summary!$D272,'BPC Data'!$B:$B,Summary!$C272)</f>
        <v>0</v>
      </c>
      <c r="N272" s="54">
        <f ca="1">SUMIFS(OFFSET('BPC Data'!$F:$F,0,Summary!N$2),'BPC Data'!$E:$E,Summary!$D272,'BPC Data'!$B:$B,Summary!$C272)</f>
        <v>0</v>
      </c>
      <c r="O272" s="18">
        <f t="shared" ca="1" si="55"/>
        <v>0</v>
      </c>
    </row>
    <row r="273" spans="1:15" s="11" customFormat="1" x14ac:dyDescent="0.55000000000000004">
      <c r="A273" s="11">
        <f>IF(AND(D273&lt;&gt;"",C273=""),A272+1,A272)</f>
        <v>25</v>
      </c>
      <c r="B273" s="4"/>
      <c r="C273" s="4"/>
      <c r="D273" s="4" t="str">
        <f t="shared" si="45"/>
        <v>x</v>
      </c>
      <c r="E273" s="4"/>
      <c r="F273" s="13">
        <f>INDEX(PropertyList!$D:$D,MATCH(Summary!$A273,PropertyList!$C:$C,0))</f>
        <v>0</v>
      </c>
      <c r="G273" s="59">
        <f ca="1">SUMIFS(OFFSET('BPC Data'!$F:$F,0,Summary!G$2),'BPC Data'!$E:$E,Summary!$D273,'BPC Data'!$B:$B,Summary!$C273)</f>
        <v>0</v>
      </c>
      <c r="H273" s="52">
        <f ca="1">SUMIFS(OFFSET('BPC Data'!$F:$F,0,Summary!H$2),'BPC Data'!$E:$E,Summary!$D273,'BPC Data'!$B:$B,Summary!$C273)</f>
        <v>0</v>
      </c>
      <c r="I273" s="59">
        <f ca="1">SUMIFS(OFFSET('BPC Data'!$F:$F,0,Summary!I$2),'BPC Data'!$E:$E,Summary!$D273,'BPC Data'!$B:$B,Summary!$C273)</f>
        <v>0</v>
      </c>
      <c r="J273" s="52">
        <f ca="1">SUMIFS(OFFSET('BPC Data'!$F:$F,0,Summary!J$2),'BPC Data'!$E:$E,Summary!$D273,'BPC Data'!$B:$B,Summary!$C273)</f>
        <v>0</v>
      </c>
      <c r="K273" s="59">
        <f ca="1">SUMIFS(OFFSET('BPC Data'!$F:$F,0,Summary!K$2),'BPC Data'!$E:$E,Summary!$D273,'BPC Data'!$B:$B,Summary!$C273)</f>
        <v>0</v>
      </c>
      <c r="L273" s="52">
        <f ca="1">SUMIFS(OFFSET('BPC Data'!$F:$F,0,Summary!L$2),'BPC Data'!$E:$E,Summary!$D273,'BPC Data'!$B:$B,Summary!$C273)</f>
        <v>0</v>
      </c>
      <c r="M273" s="59">
        <f ca="1">SUMIFS(OFFSET('BPC Data'!$F:$F,0,Summary!M$2),'BPC Data'!$E:$E,Summary!$D273,'BPC Data'!$B:$B,Summary!$C273)</f>
        <v>0</v>
      </c>
      <c r="N273" s="52">
        <f ca="1">SUMIFS(OFFSET('BPC Data'!$F:$F,0,Summary!N$2),'BPC Data'!$E:$E,Summary!$D273,'BPC Data'!$B:$B,Summary!$C273)</f>
        <v>0</v>
      </c>
      <c r="O273" s="18">
        <f t="shared" ca="1" si="55"/>
        <v>0</v>
      </c>
    </row>
    <row r="274" spans="1:15" s="11" customFormat="1" hidden="1" outlineLevel="1" x14ac:dyDescent="0.55000000000000004">
      <c r="A274" s="11">
        <f>IF(AND(F274&lt;&gt;"",D274=""),A273+1,A273)</f>
        <v>25</v>
      </c>
      <c r="C274">
        <f>$F273</f>
        <v>0</v>
      </c>
      <c r="D274" s="3" t="str">
        <f t="shared" si="45"/>
        <v>PAY_PAT_DAYS - Total Payor Patient Days</v>
      </c>
      <c r="F274" s="14" t="str">
        <f>_xll.EVDES(D274)</f>
        <v>Total Payor Patient Days</v>
      </c>
      <c r="G274" s="60">
        <f ca="1">SUMIFS(OFFSET('BPC Data'!$F:$F,0,Summary!G$2),'BPC Data'!$E:$E,Summary!$D274,'BPC Data'!$B:$B,Summary!$C274)</f>
        <v>0</v>
      </c>
      <c r="H274" s="53">
        <f ca="1">SUMIFS(OFFSET('BPC Data'!$F:$F,0,Summary!H$2),'BPC Data'!$E:$E,Summary!$D274,'BPC Data'!$B:$B,Summary!$C274)</f>
        <v>0</v>
      </c>
      <c r="I274" s="60">
        <f ca="1">SUMIFS(OFFSET('BPC Data'!$F:$F,0,Summary!I$2),'BPC Data'!$E:$E,Summary!$D274,'BPC Data'!$B:$B,Summary!$C274)</f>
        <v>0</v>
      </c>
      <c r="J274" s="53">
        <f ca="1">SUMIFS(OFFSET('BPC Data'!$F:$F,0,Summary!J$2),'BPC Data'!$E:$E,Summary!$D274,'BPC Data'!$B:$B,Summary!$C274)</f>
        <v>0</v>
      </c>
      <c r="K274" s="60">
        <f ca="1">SUMIFS(OFFSET('BPC Data'!$F:$F,0,Summary!K$2),'BPC Data'!$E:$E,Summary!$D274,'BPC Data'!$B:$B,Summary!$C274)</f>
        <v>0</v>
      </c>
      <c r="L274" s="53">
        <f ca="1">SUMIFS(OFFSET('BPC Data'!$F:$F,0,Summary!L$2),'BPC Data'!$E:$E,Summary!$D274,'BPC Data'!$B:$B,Summary!$C274)</f>
        <v>0</v>
      </c>
      <c r="M274" s="60">
        <f ca="1">SUMIFS(OFFSET('BPC Data'!$F:$F,0,Summary!M$2),'BPC Data'!$E:$E,Summary!$D274,'BPC Data'!$B:$B,Summary!$C274)</f>
        <v>0</v>
      </c>
      <c r="N274" s="53">
        <f ca="1">SUMIFS(OFFSET('BPC Data'!$F:$F,0,Summary!N$2),'BPC Data'!$E:$E,Summary!$D274,'BPC Data'!$B:$B,Summary!$C274)</f>
        <v>0</v>
      </c>
      <c r="O274" s="18">
        <f t="shared" ca="1" si="55"/>
        <v>0</v>
      </c>
    </row>
    <row r="275" spans="1:15" s="11" customFormat="1" hidden="1" outlineLevel="1" x14ac:dyDescent="0.55000000000000004">
      <c r="A275" s="11">
        <f t="shared" ref="A275:A283" si="56">IF(AND(F275&lt;&gt;"",D275=""),A274+1,A274)</f>
        <v>25</v>
      </c>
      <c r="C275">
        <f>$F273</f>
        <v>0</v>
      </c>
      <c r="D275" s="3" t="str">
        <f t="shared" si="45"/>
        <v>A_BEDS_TOTAL - Total Available Beds</v>
      </c>
      <c r="F275" s="14" t="str">
        <f>_xll.EVDES(D275)</f>
        <v>Total Available Beds</v>
      </c>
      <c r="G275" s="60">
        <f ca="1">SUMIFS(OFFSET('BPC Data'!$F:$F,0,Summary!G$2),'BPC Data'!$E:$E,Summary!$D275,'BPC Data'!$B:$B,Summary!$C275)</f>
        <v>0</v>
      </c>
      <c r="H275" s="53">
        <f ca="1">SUMIFS(OFFSET('BPC Data'!$F:$F,0,Summary!H$2),'BPC Data'!$E:$E,Summary!$D275,'BPC Data'!$B:$B,Summary!$C275)</f>
        <v>0</v>
      </c>
      <c r="I275" s="60">
        <f ca="1">SUMIFS(OFFSET('BPC Data'!$F:$F,0,Summary!I$2),'BPC Data'!$E:$E,Summary!$D275,'BPC Data'!$B:$B,Summary!$C275)</f>
        <v>0</v>
      </c>
      <c r="J275" s="53">
        <f ca="1">SUMIFS(OFFSET('BPC Data'!$F:$F,0,Summary!J$2),'BPC Data'!$E:$E,Summary!$D275,'BPC Data'!$B:$B,Summary!$C275)</f>
        <v>0</v>
      </c>
      <c r="K275" s="60">
        <f ca="1">SUMIFS(OFFSET('BPC Data'!$F:$F,0,Summary!K$2),'BPC Data'!$E:$E,Summary!$D275,'BPC Data'!$B:$B,Summary!$C275)</f>
        <v>0</v>
      </c>
      <c r="L275" s="53">
        <f ca="1">SUMIFS(OFFSET('BPC Data'!$F:$F,0,Summary!L$2),'BPC Data'!$E:$E,Summary!$D275,'BPC Data'!$B:$B,Summary!$C275)</f>
        <v>0</v>
      </c>
      <c r="M275" s="60">
        <f ca="1">SUMIFS(OFFSET('BPC Data'!$F:$F,0,Summary!M$2),'BPC Data'!$E:$E,Summary!$D275,'BPC Data'!$B:$B,Summary!$C275)</f>
        <v>0</v>
      </c>
      <c r="N275" s="53">
        <f ca="1">SUMIFS(OFFSET('BPC Data'!$F:$F,0,Summary!N$2),'BPC Data'!$E:$E,Summary!$D275,'BPC Data'!$B:$B,Summary!$C275)</f>
        <v>0</v>
      </c>
      <c r="O275" s="18">
        <f t="shared" ca="1" si="55"/>
        <v>0</v>
      </c>
    </row>
    <row r="276" spans="1:15" s="11" customFormat="1" hidden="1" outlineLevel="1" x14ac:dyDescent="0.55000000000000004">
      <c r="A276" s="11">
        <f t="shared" si="56"/>
        <v>25</v>
      </c>
      <c r="B276"/>
      <c r="C276">
        <f>$F273</f>
        <v>0</v>
      </c>
      <c r="D276" s="3" t="str">
        <f t="shared" si="45"/>
        <v>T_REVENUES - Total Tenant Revenues</v>
      </c>
      <c r="E276"/>
      <c r="F276" s="14" t="str">
        <f>_xll.EVDES(D276)</f>
        <v>Total Tenant Revenues</v>
      </c>
      <c r="G276" s="60">
        <f ca="1">SUMIFS(OFFSET('BPC Data'!$F:$F,0,Summary!G$2),'BPC Data'!$E:$E,Summary!$D276,'BPC Data'!$B:$B,Summary!$C276)</f>
        <v>0</v>
      </c>
      <c r="H276" s="53">
        <f ca="1">SUMIFS(OFFSET('BPC Data'!$F:$F,0,Summary!H$2),'BPC Data'!$E:$E,Summary!$D276,'BPC Data'!$B:$B,Summary!$C276)</f>
        <v>0</v>
      </c>
      <c r="I276" s="60">
        <f ca="1">SUMIFS(OFFSET('BPC Data'!$F:$F,0,Summary!I$2),'BPC Data'!$E:$E,Summary!$D276,'BPC Data'!$B:$B,Summary!$C276)</f>
        <v>0</v>
      </c>
      <c r="J276" s="53">
        <f ca="1">SUMIFS(OFFSET('BPC Data'!$F:$F,0,Summary!J$2),'BPC Data'!$E:$E,Summary!$D276,'BPC Data'!$B:$B,Summary!$C276)</f>
        <v>0</v>
      </c>
      <c r="K276" s="60">
        <f ca="1">SUMIFS(OFFSET('BPC Data'!$F:$F,0,Summary!K$2),'BPC Data'!$E:$E,Summary!$D276,'BPC Data'!$B:$B,Summary!$C276)</f>
        <v>0</v>
      </c>
      <c r="L276" s="53">
        <f ca="1">SUMIFS(OFFSET('BPC Data'!$F:$F,0,Summary!L$2),'BPC Data'!$E:$E,Summary!$D276,'BPC Data'!$B:$B,Summary!$C276)</f>
        <v>0</v>
      </c>
      <c r="M276" s="60">
        <f ca="1">SUMIFS(OFFSET('BPC Data'!$F:$F,0,Summary!M$2),'BPC Data'!$E:$E,Summary!$D276,'BPC Data'!$B:$B,Summary!$C276)</f>
        <v>0</v>
      </c>
      <c r="N276" s="53">
        <f ca="1">SUMIFS(OFFSET('BPC Data'!$F:$F,0,Summary!N$2),'BPC Data'!$E:$E,Summary!$D276,'BPC Data'!$B:$B,Summary!$C276)</f>
        <v>0</v>
      </c>
      <c r="O276" s="18">
        <f t="shared" ca="1" si="55"/>
        <v>0</v>
      </c>
    </row>
    <row r="277" spans="1:15" s="11" customFormat="1" hidden="1" outlineLevel="1" x14ac:dyDescent="0.55000000000000004">
      <c r="A277" s="11">
        <f t="shared" si="56"/>
        <v>25</v>
      </c>
      <c r="B277"/>
      <c r="C277">
        <f>$F273</f>
        <v>0</v>
      </c>
      <c r="D277" s="3" t="str">
        <f t="shared" si="45"/>
        <v>T_OPEX - Tenant Operating Expenses</v>
      </c>
      <c r="E277"/>
      <c r="F277" s="14" t="str">
        <f>_xll.EVDES(D277)</f>
        <v>Tenant Operating Expenses</v>
      </c>
      <c r="G277" s="60">
        <f ca="1">SUMIFS(OFFSET('BPC Data'!$F:$F,0,Summary!G$2),'BPC Data'!$E:$E,Summary!$D277,'BPC Data'!$B:$B,Summary!$C277)</f>
        <v>0</v>
      </c>
      <c r="H277" s="53">
        <f ca="1">SUMIFS(OFFSET('BPC Data'!$F:$F,0,Summary!H$2),'BPC Data'!$E:$E,Summary!$D277,'BPC Data'!$B:$B,Summary!$C277)</f>
        <v>0</v>
      </c>
      <c r="I277" s="60">
        <f ca="1">SUMIFS(OFFSET('BPC Data'!$F:$F,0,Summary!I$2),'BPC Data'!$E:$E,Summary!$D277,'BPC Data'!$B:$B,Summary!$C277)</f>
        <v>0</v>
      </c>
      <c r="J277" s="53">
        <f ca="1">SUMIFS(OFFSET('BPC Data'!$F:$F,0,Summary!J$2),'BPC Data'!$E:$E,Summary!$D277,'BPC Data'!$B:$B,Summary!$C277)</f>
        <v>0</v>
      </c>
      <c r="K277" s="60">
        <f ca="1">SUMIFS(OFFSET('BPC Data'!$F:$F,0,Summary!K$2),'BPC Data'!$E:$E,Summary!$D277,'BPC Data'!$B:$B,Summary!$C277)</f>
        <v>0</v>
      </c>
      <c r="L277" s="53">
        <f ca="1">SUMIFS(OFFSET('BPC Data'!$F:$F,0,Summary!L$2),'BPC Data'!$E:$E,Summary!$D277,'BPC Data'!$B:$B,Summary!$C277)</f>
        <v>0</v>
      </c>
      <c r="M277" s="60">
        <f ca="1">SUMIFS(OFFSET('BPC Data'!$F:$F,0,Summary!M$2),'BPC Data'!$E:$E,Summary!$D277,'BPC Data'!$B:$B,Summary!$C277)</f>
        <v>0</v>
      </c>
      <c r="N277" s="53">
        <f ca="1">SUMIFS(OFFSET('BPC Data'!$F:$F,0,Summary!N$2),'BPC Data'!$E:$E,Summary!$D277,'BPC Data'!$B:$B,Summary!$C277)</f>
        <v>0</v>
      </c>
      <c r="O277" s="18">
        <f t="shared" ca="1" si="55"/>
        <v>0</v>
      </c>
    </row>
    <row r="278" spans="1:15" s="11" customFormat="1" hidden="1" outlineLevel="1" x14ac:dyDescent="0.55000000000000004">
      <c r="A278" s="11">
        <f t="shared" si="56"/>
        <v>25</v>
      </c>
      <c r="B278"/>
      <c r="C278">
        <f>$F273</f>
        <v>0</v>
      </c>
      <c r="D278" s="3" t="str">
        <f t="shared" ref="D278:D341" si="57">$D267</f>
        <v>T_BAD_DEBT - Tenant Bad Debt Expense</v>
      </c>
      <c r="E278"/>
      <c r="F278" s="14" t="str">
        <f>_xll.EVDES(D278)</f>
        <v>Tenant Bad Debt Expense</v>
      </c>
      <c r="G278" s="60">
        <f ca="1">SUMIFS(OFFSET('BPC Data'!$F:$F,0,Summary!G$2),'BPC Data'!$E:$E,Summary!$D278,'BPC Data'!$B:$B,Summary!$C278)</f>
        <v>0</v>
      </c>
      <c r="H278" s="53">
        <f ca="1">SUMIFS(OFFSET('BPC Data'!$F:$F,0,Summary!H$2),'BPC Data'!$E:$E,Summary!$D278,'BPC Data'!$B:$B,Summary!$C278)</f>
        <v>0</v>
      </c>
      <c r="I278" s="60">
        <f ca="1">SUMIFS(OFFSET('BPC Data'!$F:$F,0,Summary!I$2),'BPC Data'!$E:$E,Summary!$D278,'BPC Data'!$B:$B,Summary!$C278)</f>
        <v>0</v>
      </c>
      <c r="J278" s="53">
        <f ca="1">SUMIFS(OFFSET('BPC Data'!$F:$F,0,Summary!J$2),'BPC Data'!$E:$E,Summary!$D278,'BPC Data'!$B:$B,Summary!$C278)</f>
        <v>0</v>
      </c>
      <c r="K278" s="60">
        <f ca="1">SUMIFS(OFFSET('BPC Data'!$F:$F,0,Summary!K$2),'BPC Data'!$E:$E,Summary!$D278,'BPC Data'!$B:$B,Summary!$C278)</f>
        <v>0</v>
      </c>
      <c r="L278" s="53">
        <f ca="1">SUMIFS(OFFSET('BPC Data'!$F:$F,0,Summary!L$2),'BPC Data'!$E:$E,Summary!$D278,'BPC Data'!$B:$B,Summary!$C278)</f>
        <v>0</v>
      </c>
      <c r="M278" s="60">
        <f ca="1">SUMIFS(OFFSET('BPC Data'!$F:$F,0,Summary!M$2),'BPC Data'!$E:$E,Summary!$D278,'BPC Data'!$B:$B,Summary!$C278)</f>
        <v>0</v>
      </c>
      <c r="N278" s="53">
        <f ca="1">SUMIFS(OFFSET('BPC Data'!$F:$F,0,Summary!N$2),'BPC Data'!$E:$E,Summary!$D278,'BPC Data'!$B:$B,Summary!$C278)</f>
        <v>0</v>
      </c>
      <c r="O278" s="18">
        <f t="shared" ca="1" si="55"/>
        <v>0</v>
      </c>
    </row>
    <row r="279" spans="1:15" s="11" customFormat="1" hidden="1" outlineLevel="1" x14ac:dyDescent="0.55000000000000004">
      <c r="A279" s="11">
        <f t="shared" si="56"/>
        <v>25</v>
      </c>
      <c r="B279"/>
      <c r="C279">
        <f>$F273</f>
        <v>0</v>
      </c>
      <c r="D279" s="2" t="str">
        <f t="shared" si="57"/>
        <v>T_EBITDARM - EBITDARM</v>
      </c>
      <c r="E279"/>
      <c r="F279" s="14" t="str">
        <f>_xll.EVDES(D279)</f>
        <v>EBITDARM</v>
      </c>
      <c r="G279" s="60">
        <f ca="1">SUMIFS(OFFSET('BPC Data'!$F:$F,0,Summary!G$2),'BPC Data'!$E:$E,Summary!$D279,'BPC Data'!$B:$B,Summary!$C279)</f>
        <v>0</v>
      </c>
      <c r="H279" s="53">
        <f ca="1">SUMIFS(OFFSET('BPC Data'!$F:$F,0,Summary!H$2),'BPC Data'!$E:$E,Summary!$D279,'BPC Data'!$B:$B,Summary!$C279)</f>
        <v>0</v>
      </c>
      <c r="I279" s="60">
        <f ca="1">SUMIFS(OFFSET('BPC Data'!$F:$F,0,Summary!I$2),'BPC Data'!$E:$E,Summary!$D279,'BPC Data'!$B:$B,Summary!$C279)</f>
        <v>0</v>
      </c>
      <c r="J279" s="53">
        <f ca="1">SUMIFS(OFFSET('BPC Data'!$F:$F,0,Summary!J$2),'BPC Data'!$E:$E,Summary!$D279,'BPC Data'!$B:$B,Summary!$C279)</f>
        <v>0</v>
      </c>
      <c r="K279" s="60">
        <f ca="1">SUMIFS(OFFSET('BPC Data'!$F:$F,0,Summary!K$2),'BPC Data'!$E:$E,Summary!$D279,'BPC Data'!$B:$B,Summary!$C279)</f>
        <v>0</v>
      </c>
      <c r="L279" s="53">
        <f ca="1">SUMIFS(OFFSET('BPC Data'!$F:$F,0,Summary!L$2),'BPC Data'!$E:$E,Summary!$D279,'BPC Data'!$B:$B,Summary!$C279)</f>
        <v>0</v>
      </c>
      <c r="M279" s="60">
        <f ca="1">SUMIFS(OFFSET('BPC Data'!$F:$F,0,Summary!M$2),'BPC Data'!$E:$E,Summary!$D279,'BPC Data'!$B:$B,Summary!$C279)</f>
        <v>0</v>
      </c>
      <c r="N279" s="53">
        <f ca="1">SUMIFS(OFFSET('BPC Data'!$F:$F,0,Summary!N$2),'BPC Data'!$E:$E,Summary!$D279,'BPC Data'!$B:$B,Summary!$C279)</f>
        <v>0</v>
      </c>
      <c r="O279" s="18">
        <f t="shared" ca="1" si="55"/>
        <v>0</v>
      </c>
    </row>
    <row r="280" spans="1:15" s="11" customFormat="1" hidden="1" outlineLevel="1" x14ac:dyDescent="0.55000000000000004">
      <c r="A280" s="11">
        <f t="shared" si="56"/>
        <v>25</v>
      </c>
      <c r="B280"/>
      <c r="C280">
        <f>$F273</f>
        <v>0</v>
      </c>
      <c r="D280" s="2" t="str">
        <f t="shared" si="57"/>
        <v>T_MGMT_FEE - Tenant Management Fee - Actual</v>
      </c>
      <c r="E280"/>
      <c r="F280" s="14" t="str">
        <f>_xll.EVDES(D280)</f>
        <v>Tenant Management Fee - Actual</v>
      </c>
      <c r="G280" s="60">
        <f ca="1">SUMIFS(OFFSET('BPC Data'!$F:$F,0,Summary!G$2),'BPC Data'!$E:$E,Summary!$D280,'BPC Data'!$B:$B,Summary!$C280)</f>
        <v>0</v>
      </c>
      <c r="H280" s="53">
        <f ca="1">SUMIFS(OFFSET('BPC Data'!$F:$F,0,Summary!H$2),'BPC Data'!$E:$E,Summary!$D280,'BPC Data'!$B:$B,Summary!$C280)</f>
        <v>0</v>
      </c>
      <c r="I280" s="60">
        <f ca="1">SUMIFS(OFFSET('BPC Data'!$F:$F,0,Summary!I$2),'BPC Data'!$E:$E,Summary!$D280,'BPC Data'!$B:$B,Summary!$C280)</f>
        <v>0</v>
      </c>
      <c r="J280" s="53">
        <f ca="1">SUMIFS(OFFSET('BPC Data'!$F:$F,0,Summary!J$2),'BPC Data'!$E:$E,Summary!$D280,'BPC Data'!$B:$B,Summary!$C280)</f>
        <v>0</v>
      </c>
      <c r="K280" s="60">
        <f ca="1">SUMIFS(OFFSET('BPC Data'!$F:$F,0,Summary!K$2),'BPC Data'!$E:$E,Summary!$D280,'BPC Data'!$B:$B,Summary!$C280)</f>
        <v>0</v>
      </c>
      <c r="L280" s="53">
        <f ca="1">SUMIFS(OFFSET('BPC Data'!$F:$F,0,Summary!L$2),'BPC Data'!$E:$E,Summary!$D280,'BPC Data'!$B:$B,Summary!$C280)</f>
        <v>0</v>
      </c>
      <c r="M280" s="60">
        <f ca="1">SUMIFS(OFFSET('BPC Data'!$F:$F,0,Summary!M$2),'BPC Data'!$E:$E,Summary!$D280,'BPC Data'!$B:$B,Summary!$C280)</f>
        <v>0</v>
      </c>
      <c r="N280" s="53">
        <f ca="1">SUMIFS(OFFSET('BPC Data'!$F:$F,0,Summary!N$2),'BPC Data'!$E:$E,Summary!$D280,'BPC Data'!$B:$B,Summary!$C280)</f>
        <v>0</v>
      </c>
      <c r="O280" s="18">
        <f t="shared" ca="1" si="55"/>
        <v>0</v>
      </c>
    </row>
    <row r="281" spans="1:15" s="11" customFormat="1" hidden="1" outlineLevel="1" x14ac:dyDescent="0.55000000000000004">
      <c r="A281" s="11">
        <f t="shared" si="56"/>
        <v>25</v>
      </c>
      <c r="B281"/>
      <c r="C281">
        <f>$F273</f>
        <v>0</v>
      </c>
      <c r="D281" s="1" t="str">
        <f t="shared" si="57"/>
        <v>T_EBITDAR - EBITDAR</v>
      </c>
      <c r="E281"/>
      <c r="F281" s="14" t="str">
        <f>_xll.EVDES(D281)</f>
        <v>EBITDAR</v>
      </c>
      <c r="G281" s="60">
        <f ca="1">SUMIFS(OFFSET('BPC Data'!$F:$F,0,Summary!G$2),'BPC Data'!$E:$E,Summary!$D281,'BPC Data'!$B:$B,Summary!$C281)</f>
        <v>0</v>
      </c>
      <c r="H281" s="53">
        <f ca="1">SUMIFS(OFFSET('BPC Data'!$F:$F,0,Summary!H$2),'BPC Data'!$E:$E,Summary!$D281,'BPC Data'!$B:$B,Summary!$C281)</f>
        <v>0</v>
      </c>
      <c r="I281" s="60">
        <f ca="1">SUMIFS(OFFSET('BPC Data'!$F:$F,0,Summary!I$2),'BPC Data'!$E:$E,Summary!$D281,'BPC Data'!$B:$B,Summary!$C281)</f>
        <v>0</v>
      </c>
      <c r="J281" s="53">
        <f ca="1">SUMIFS(OFFSET('BPC Data'!$F:$F,0,Summary!J$2),'BPC Data'!$E:$E,Summary!$D281,'BPC Data'!$B:$B,Summary!$C281)</f>
        <v>0</v>
      </c>
      <c r="K281" s="60">
        <f ca="1">SUMIFS(OFFSET('BPC Data'!$F:$F,0,Summary!K$2),'BPC Data'!$E:$E,Summary!$D281,'BPC Data'!$B:$B,Summary!$C281)</f>
        <v>0</v>
      </c>
      <c r="L281" s="53">
        <f ca="1">SUMIFS(OFFSET('BPC Data'!$F:$F,0,Summary!L$2),'BPC Data'!$E:$E,Summary!$D281,'BPC Data'!$B:$B,Summary!$C281)</f>
        <v>0</v>
      </c>
      <c r="M281" s="60">
        <f ca="1">SUMIFS(OFFSET('BPC Data'!$F:$F,0,Summary!M$2),'BPC Data'!$E:$E,Summary!$D281,'BPC Data'!$B:$B,Summary!$C281)</f>
        <v>0</v>
      </c>
      <c r="N281" s="53">
        <f ca="1">SUMIFS(OFFSET('BPC Data'!$F:$F,0,Summary!N$2),'BPC Data'!$E:$E,Summary!$D281,'BPC Data'!$B:$B,Summary!$C281)</f>
        <v>0</v>
      </c>
      <c r="O281" s="18">
        <f t="shared" ca="1" si="55"/>
        <v>0</v>
      </c>
    </row>
    <row r="282" spans="1:15" s="11" customFormat="1" hidden="1" outlineLevel="1" x14ac:dyDescent="0.55000000000000004">
      <c r="A282" s="11">
        <f t="shared" si="56"/>
        <v>25</v>
      </c>
      <c r="B282"/>
      <c r="C282">
        <f>$F273</f>
        <v>0</v>
      </c>
      <c r="D282" s="1" t="str">
        <f t="shared" si="57"/>
        <v>T_RENT_EXP - Tenant Rent Expense</v>
      </c>
      <c r="E282"/>
      <c r="F282" s="14" t="str">
        <f>_xll.EVDES(D282)</f>
        <v>Tenant Rent Expense</v>
      </c>
      <c r="G282" s="60">
        <f ca="1">SUMIFS(OFFSET('BPC Data'!$F:$F,0,Summary!G$2),'BPC Data'!$E:$E,Summary!$D282,'BPC Data'!$B:$B,Summary!$C282)</f>
        <v>0</v>
      </c>
      <c r="H282" s="53">
        <f ca="1">SUMIFS(OFFSET('BPC Data'!$F:$F,0,Summary!H$2),'BPC Data'!$E:$E,Summary!$D282,'BPC Data'!$B:$B,Summary!$C282)</f>
        <v>0</v>
      </c>
      <c r="I282" s="60">
        <f ca="1">SUMIFS(OFFSET('BPC Data'!$F:$F,0,Summary!I$2),'BPC Data'!$E:$E,Summary!$D282,'BPC Data'!$B:$B,Summary!$C282)</f>
        <v>0</v>
      </c>
      <c r="J282" s="53">
        <f ca="1">SUMIFS(OFFSET('BPC Data'!$F:$F,0,Summary!J$2),'BPC Data'!$E:$E,Summary!$D282,'BPC Data'!$B:$B,Summary!$C282)</f>
        <v>0</v>
      </c>
      <c r="K282" s="60">
        <f ca="1">SUMIFS(OFFSET('BPC Data'!$F:$F,0,Summary!K$2),'BPC Data'!$E:$E,Summary!$D282,'BPC Data'!$B:$B,Summary!$C282)</f>
        <v>0</v>
      </c>
      <c r="L282" s="53">
        <f ca="1">SUMIFS(OFFSET('BPC Data'!$F:$F,0,Summary!L$2),'BPC Data'!$E:$E,Summary!$D282,'BPC Data'!$B:$B,Summary!$C282)</f>
        <v>0</v>
      </c>
      <c r="M282" s="60">
        <f ca="1">SUMIFS(OFFSET('BPC Data'!$F:$F,0,Summary!M$2),'BPC Data'!$E:$E,Summary!$D282,'BPC Data'!$B:$B,Summary!$C282)</f>
        <v>0</v>
      </c>
      <c r="N282" s="53">
        <f ca="1">SUMIFS(OFFSET('BPC Data'!$F:$F,0,Summary!N$2),'BPC Data'!$E:$E,Summary!$D282,'BPC Data'!$B:$B,Summary!$C282)</f>
        <v>0</v>
      </c>
      <c r="O282" s="18">
        <f t="shared" ca="1" si="55"/>
        <v>0</v>
      </c>
    </row>
    <row r="283" spans="1:15" s="11" customFormat="1" hidden="1" outlineLevel="1" x14ac:dyDescent="0.55000000000000004">
      <c r="A283" s="11">
        <f t="shared" si="56"/>
        <v>25</v>
      </c>
      <c r="B283"/>
      <c r="C283"/>
      <c r="D283" s="1" t="str">
        <f t="shared" si="57"/>
        <v>x</v>
      </c>
      <c r="E283"/>
      <c r="F283" s="14" t="s">
        <v>0</v>
      </c>
      <c r="G283" s="61">
        <f ca="1">SUMIFS(OFFSET('BPC Data'!$F:$F,0,Summary!G$2),'BPC Data'!$E:$E,Summary!$D283,'BPC Data'!$B:$B,Summary!$C283)</f>
        <v>0</v>
      </c>
      <c r="H283" s="54">
        <f ca="1">SUMIFS(OFFSET('BPC Data'!$F:$F,0,Summary!H$2),'BPC Data'!$E:$E,Summary!$D283,'BPC Data'!$B:$B,Summary!$C283)</f>
        <v>0</v>
      </c>
      <c r="I283" s="61">
        <f ca="1">SUMIFS(OFFSET('BPC Data'!$F:$F,0,Summary!I$2),'BPC Data'!$E:$E,Summary!$D283,'BPC Data'!$B:$B,Summary!$C283)</f>
        <v>0</v>
      </c>
      <c r="J283" s="54">
        <f ca="1">SUMIFS(OFFSET('BPC Data'!$F:$F,0,Summary!J$2),'BPC Data'!$E:$E,Summary!$D283,'BPC Data'!$B:$B,Summary!$C283)</f>
        <v>0</v>
      </c>
      <c r="K283" s="61">
        <f ca="1">SUMIFS(OFFSET('BPC Data'!$F:$F,0,Summary!K$2),'BPC Data'!$E:$E,Summary!$D283,'BPC Data'!$B:$B,Summary!$C283)</f>
        <v>0</v>
      </c>
      <c r="L283" s="54">
        <f ca="1">SUMIFS(OFFSET('BPC Data'!$F:$F,0,Summary!L$2),'BPC Data'!$E:$E,Summary!$D283,'BPC Data'!$B:$B,Summary!$C283)</f>
        <v>0</v>
      </c>
      <c r="M283" s="61">
        <f ca="1">SUMIFS(OFFSET('BPC Data'!$F:$F,0,Summary!M$2),'BPC Data'!$E:$E,Summary!$D283,'BPC Data'!$B:$B,Summary!$C283)</f>
        <v>0</v>
      </c>
      <c r="N283" s="54">
        <f ca="1">SUMIFS(OFFSET('BPC Data'!$F:$F,0,Summary!N$2),'BPC Data'!$E:$E,Summary!$D283,'BPC Data'!$B:$B,Summary!$C283)</f>
        <v>0</v>
      </c>
      <c r="O283" s="18">
        <f t="shared" ca="1" si="55"/>
        <v>0</v>
      </c>
    </row>
    <row r="284" spans="1:15" s="11" customFormat="1" hidden="1" outlineLevel="1" x14ac:dyDescent="0.55000000000000004">
      <c r="A284" s="11">
        <f>IF(AND(D284&lt;&gt;"",C284=""),A283+1,A283)</f>
        <v>26</v>
      </c>
      <c r="B284" s="4"/>
      <c r="C284" s="4"/>
      <c r="D284" s="4" t="str">
        <f t="shared" si="57"/>
        <v>x</v>
      </c>
      <c r="E284" s="4"/>
      <c r="F284" s="13">
        <f>INDEX(PropertyList!$D:$D,MATCH(Summary!$A284,PropertyList!$C:$C,0))</f>
        <v>0</v>
      </c>
      <c r="G284" s="59">
        <f ca="1">SUMIFS(OFFSET('BPC Data'!$F:$F,0,Summary!G$2),'BPC Data'!$E:$E,Summary!$D284,'BPC Data'!$B:$B,Summary!$C284)</f>
        <v>0</v>
      </c>
      <c r="H284" s="52">
        <f ca="1">SUMIFS(OFFSET('BPC Data'!$F:$F,0,Summary!H$2),'BPC Data'!$E:$E,Summary!$D284,'BPC Data'!$B:$B,Summary!$C284)</f>
        <v>0</v>
      </c>
      <c r="I284" s="59">
        <f ca="1">SUMIFS(OFFSET('BPC Data'!$F:$F,0,Summary!I$2),'BPC Data'!$E:$E,Summary!$D284,'BPC Data'!$B:$B,Summary!$C284)</f>
        <v>0</v>
      </c>
      <c r="J284" s="52">
        <f ca="1">SUMIFS(OFFSET('BPC Data'!$F:$F,0,Summary!J$2),'BPC Data'!$E:$E,Summary!$D284,'BPC Data'!$B:$B,Summary!$C284)</f>
        <v>0</v>
      </c>
      <c r="K284" s="59">
        <f ca="1">SUMIFS(OFFSET('BPC Data'!$F:$F,0,Summary!K$2),'BPC Data'!$E:$E,Summary!$D284,'BPC Data'!$B:$B,Summary!$C284)</f>
        <v>0</v>
      </c>
      <c r="L284" s="52">
        <f ca="1">SUMIFS(OFFSET('BPC Data'!$F:$F,0,Summary!L$2),'BPC Data'!$E:$E,Summary!$D284,'BPC Data'!$B:$B,Summary!$C284)</f>
        <v>0</v>
      </c>
      <c r="M284" s="59">
        <f ca="1">SUMIFS(OFFSET('BPC Data'!$F:$F,0,Summary!M$2),'BPC Data'!$E:$E,Summary!$D284,'BPC Data'!$B:$B,Summary!$C284)</f>
        <v>0</v>
      </c>
      <c r="N284" s="52">
        <f ca="1">SUMIFS(OFFSET('BPC Data'!$F:$F,0,Summary!N$2),'BPC Data'!$E:$E,Summary!$D284,'BPC Data'!$B:$B,Summary!$C284)</f>
        <v>0</v>
      </c>
      <c r="O284" s="18">
        <f t="shared" ca="1" si="55"/>
        <v>0</v>
      </c>
    </row>
    <row r="285" spans="1:15" s="11" customFormat="1" hidden="1" outlineLevel="1" x14ac:dyDescent="0.55000000000000004">
      <c r="A285" s="11">
        <f>IF(AND(F285&lt;&gt;"",D285=""),A284+1,A284)</f>
        <v>26</v>
      </c>
      <c r="C285">
        <f>$F284</f>
        <v>0</v>
      </c>
      <c r="D285" s="3" t="str">
        <f t="shared" si="57"/>
        <v>PAY_PAT_DAYS - Total Payor Patient Days</v>
      </c>
      <c r="F285" s="14" t="str">
        <f>_xll.EVDES(D285)</f>
        <v>Total Payor Patient Days</v>
      </c>
      <c r="G285" s="60">
        <f ca="1">SUMIFS(OFFSET('BPC Data'!$F:$F,0,Summary!G$2),'BPC Data'!$E:$E,Summary!$D285,'BPC Data'!$B:$B,Summary!$C285)</f>
        <v>0</v>
      </c>
      <c r="H285" s="53">
        <f ca="1">SUMIFS(OFFSET('BPC Data'!$F:$F,0,Summary!H$2),'BPC Data'!$E:$E,Summary!$D285,'BPC Data'!$B:$B,Summary!$C285)</f>
        <v>0</v>
      </c>
      <c r="I285" s="60">
        <f ca="1">SUMIFS(OFFSET('BPC Data'!$F:$F,0,Summary!I$2),'BPC Data'!$E:$E,Summary!$D285,'BPC Data'!$B:$B,Summary!$C285)</f>
        <v>0</v>
      </c>
      <c r="J285" s="53">
        <f ca="1">SUMIFS(OFFSET('BPC Data'!$F:$F,0,Summary!J$2),'BPC Data'!$E:$E,Summary!$D285,'BPC Data'!$B:$B,Summary!$C285)</f>
        <v>0</v>
      </c>
      <c r="K285" s="60">
        <f ca="1">SUMIFS(OFFSET('BPC Data'!$F:$F,0,Summary!K$2),'BPC Data'!$E:$E,Summary!$D285,'BPC Data'!$B:$B,Summary!$C285)</f>
        <v>0</v>
      </c>
      <c r="L285" s="53">
        <f ca="1">SUMIFS(OFFSET('BPC Data'!$F:$F,0,Summary!L$2),'BPC Data'!$E:$E,Summary!$D285,'BPC Data'!$B:$B,Summary!$C285)</f>
        <v>0</v>
      </c>
      <c r="M285" s="60">
        <f ca="1">SUMIFS(OFFSET('BPC Data'!$F:$F,0,Summary!M$2),'BPC Data'!$E:$E,Summary!$D285,'BPC Data'!$B:$B,Summary!$C285)</f>
        <v>0</v>
      </c>
      <c r="N285" s="53">
        <f ca="1">SUMIFS(OFFSET('BPC Data'!$F:$F,0,Summary!N$2),'BPC Data'!$E:$E,Summary!$D285,'BPC Data'!$B:$B,Summary!$C285)</f>
        <v>0</v>
      </c>
      <c r="O285" s="18">
        <f t="shared" ca="1" si="55"/>
        <v>0</v>
      </c>
    </row>
    <row r="286" spans="1:15" s="11" customFormat="1" hidden="1" outlineLevel="1" x14ac:dyDescent="0.55000000000000004">
      <c r="A286" s="11">
        <f t="shared" ref="A286:A294" si="58">IF(AND(F286&lt;&gt;"",D286=""),A285+1,A285)</f>
        <v>26</v>
      </c>
      <c r="C286">
        <f>$F284</f>
        <v>0</v>
      </c>
      <c r="D286" s="3" t="str">
        <f t="shared" si="57"/>
        <v>A_BEDS_TOTAL - Total Available Beds</v>
      </c>
      <c r="F286" s="14" t="str">
        <f>_xll.EVDES(D286)</f>
        <v>Total Available Beds</v>
      </c>
      <c r="G286" s="60">
        <f ca="1">SUMIFS(OFFSET('BPC Data'!$F:$F,0,Summary!G$2),'BPC Data'!$E:$E,Summary!$D286,'BPC Data'!$B:$B,Summary!$C286)</f>
        <v>0</v>
      </c>
      <c r="H286" s="53">
        <f ca="1">SUMIFS(OFFSET('BPC Data'!$F:$F,0,Summary!H$2),'BPC Data'!$E:$E,Summary!$D286,'BPC Data'!$B:$B,Summary!$C286)</f>
        <v>0</v>
      </c>
      <c r="I286" s="60">
        <f ca="1">SUMIFS(OFFSET('BPC Data'!$F:$F,0,Summary!I$2),'BPC Data'!$E:$E,Summary!$D286,'BPC Data'!$B:$B,Summary!$C286)</f>
        <v>0</v>
      </c>
      <c r="J286" s="53">
        <f ca="1">SUMIFS(OFFSET('BPC Data'!$F:$F,0,Summary!J$2),'BPC Data'!$E:$E,Summary!$D286,'BPC Data'!$B:$B,Summary!$C286)</f>
        <v>0</v>
      </c>
      <c r="K286" s="60">
        <f ca="1">SUMIFS(OFFSET('BPC Data'!$F:$F,0,Summary!K$2),'BPC Data'!$E:$E,Summary!$D286,'BPC Data'!$B:$B,Summary!$C286)</f>
        <v>0</v>
      </c>
      <c r="L286" s="53">
        <f ca="1">SUMIFS(OFFSET('BPC Data'!$F:$F,0,Summary!L$2),'BPC Data'!$E:$E,Summary!$D286,'BPC Data'!$B:$B,Summary!$C286)</f>
        <v>0</v>
      </c>
      <c r="M286" s="60">
        <f ca="1">SUMIFS(OFFSET('BPC Data'!$F:$F,0,Summary!M$2),'BPC Data'!$E:$E,Summary!$D286,'BPC Data'!$B:$B,Summary!$C286)</f>
        <v>0</v>
      </c>
      <c r="N286" s="53">
        <f ca="1">SUMIFS(OFFSET('BPC Data'!$F:$F,0,Summary!N$2),'BPC Data'!$E:$E,Summary!$D286,'BPC Data'!$B:$B,Summary!$C286)</f>
        <v>0</v>
      </c>
      <c r="O286" s="18">
        <f t="shared" ca="1" si="55"/>
        <v>0</v>
      </c>
    </row>
    <row r="287" spans="1:15" s="11" customFormat="1" hidden="1" outlineLevel="1" x14ac:dyDescent="0.55000000000000004">
      <c r="A287" s="11">
        <f t="shared" si="58"/>
        <v>26</v>
      </c>
      <c r="B287"/>
      <c r="C287">
        <f>$F284</f>
        <v>0</v>
      </c>
      <c r="D287" s="3" t="str">
        <f t="shared" si="57"/>
        <v>T_REVENUES - Total Tenant Revenues</v>
      </c>
      <c r="E287"/>
      <c r="F287" s="14" t="str">
        <f>_xll.EVDES(D287)</f>
        <v>Total Tenant Revenues</v>
      </c>
      <c r="G287" s="60">
        <f ca="1">SUMIFS(OFFSET('BPC Data'!$F:$F,0,Summary!G$2),'BPC Data'!$E:$E,Summary!$D287,'BPC Data'!$B:$B,Summary!$C287)</f>
        <v>0</v>
      </c>
      <c r="H287" s="53">
        <f ca="1">SUMIFS(OFFSET('BPC Data'!$F:$F,0,Summary!H$2),'BPC Data'!$E:$E,Summary!$D287,'BPC Data'!$B:$B,Summary!$C287)</f>
        <v>0</v>
      </c>
      <c r="I287" s="60">
        <f ca="1">SUMIFS(OFFSET('BPC Data'!$F:$F,0,Summary!I$2),'BPC Data'!$E:$E,Summary!$D287,'BPC Data'!$B:$B,Summary!$C287)</f>
        <v>0</v>
      </c>
      <c r="J287" s="53">
        <f ca="1">SUMIFS(OFFSET('BPC Data'!$F:$F,0,Summary!J$2),'BPC Data'!$E:$E,Summary!$D287,'BPC Data'!$B:$B,Summary!$C287)</f>
        <v>0</v>
      </c>
      <c r="K287" s="60">
        <f ca="1">SUMIFS(OFFSET('BPC Data'!$F:$F,0,Summary!K$2),'BPC Data'!$E:$E,Summary!$D287,'BPC Data'!$B:$B,Summary!$C287)</f>
        <v>0</v>
      </c>
      <c r="L287" s="53">
        <f ca="1">SUMIFS(OFFSET('BPC Data'!$F:$F,0,Summary!L$2),'BPC Data'!$E:$E,Summary!$D287,'BPC Data'!$B:$B,Summary!$C287)</f>
        <v>0</v>
      </c>
      <c r="M287" s="60">
        <f ca="1">SUMIFS(OFFSET('BPC Data'!$F:$F,0,Summary!M$2),'BPC Data'!$E:$E,Summary!$D287,'BPC Data'!$B:$B,Summary!$C287)</f>
        <v>0</v>
      </c>
      <c r="N287" s="53">
        <f ca="1">SUMIFS(OFFSET('BPC Data'!$F:$F,0,Summary!N$2),'BPC Data'!$E:$E,Summary!$D287,'BPC Data'!$B:$B,Summary!$C287)</f>
        <v>0</v>
      </c>
      <c r="O287" s="18">
        <f t="shared" ca="1" si="55"/>
        <v>0</v>
      </c>
    </row>
    <row r="288" spans="1:15" s="11" customFormat="1" hidden="1" outlineLevel="1" x14ac:dyDescent="0.55000000000000004">
      <c r="A288" s="11">
        <f t="shared" si="58"/>
        <v>26</v>
      </c>
      <c r="B288"/>
      <c r="C288">
        <f>$F284</f>
        <v>0</v>
      </c>
      <c r="D288" s="3" t="str">
        <f t="shared" si="57"/>
        <v>T_OPEX - Tenant Operating Expenses</v>
      </c>
      <c r="E288"/>
      <c r="F288" s="14" t="str">
        <f>_xll.EVDES(D288)</f>
        <v>Tenant Operating Expenses</v>
      </c>
      <c r="G288" s="60">
        <f ca="1">SUMIFS(OFFSET('BPC Data'!$F:$F,0,Summary!G$2),'BPC Data'!$E:$E,Summary!$D288,'BPC Data'!$B:$B,Summary!$C288)</f>
        <v>0</v>
      </c>
      <c r="H288" s="53">
        <f ca="1">SUMIFS(OFFSET('BPC Data'!$F:$F,0,Summary!H$2),'BPC Data'!$E:$E,Summary!$D288,'BPC Data'!$B:$B,Summary!$C288)</f>
        <v>0</v>
      </c>
      <c r="I288" s="60">
        <f ca="1">SUMIFS(OFFSET('BPC Data'!$F:$F,0,Summary!I$2),'BPC Data'!$E:$E,Summary!$D288,'BPC Data'!$B:$B,Summary!$C288)</f>
        <v>0</v>
      </c>
      <c r="J288" s="53">
        <f ca="1">SUMIFS(OFFSET('BPC Data'!$F:$F,0,Summary!J$2),'BPC Data'!$E:$E,Summary!$D288,'BPC Data'!$B:$B,Summary!$C288)</f>
        <v>0</v>
      </c>
      <c r="K288" s="60">
        <f ca="1">SUMIFS(OFFSET('BPC Data'!$F:$F,0,Summary!K$2),'BPC Data'!$E:$E,Summary!$D288,'BPC Data'!$B:$B,Summary!$C288)</f>
        <v>0</v>
      </c>
      <c r="L288" s="53">
        <f ca="1">SUMIFS(OFFSET('BPC Data'!$F:$F,0,Summary!L$2),'BPC Data'!$E:$E,Summary!$D288,'BPC Data'!$B:$B,Summary!$C288)</f>
        <v>0</v>
      </c>
      <c r="M288" s="60">
        <f ca="1">SUMIFS(OFFSET('BPC Data'!$F:$F,0,Summary!M$2),'BPC Data'!$E:$E,Summary!$D288,'BPC Data'!$B:$B,Summary!$C288)</f>
        <v>0</v>
      </c>
      <c r="N288" s="53">
        <f ca="1">SUMIFS(OFFSET('BPC Data'!$F:$F,0,Summary!N$2),'BPC Data'!$E:$E,Summary!$D288,'BPC Data'!$B:$B,Summary!$C288)</f>
        <v>0</v>
      </c>
      <c r="O288" s="18">
        <f t="shared" ca="1" si="55"/>
        <v>0</v>
      </c>
    </row>
    <row r="289" spans="1:15" s="11" customFormat="1" hidden="1" outlineLevel="1" x14ac:dyDescent="0.55000000000000004">
      <c r="A289" s="11">
        <f t="shared" si="58"/>
        <v>26</v>
      </c>
      <c r="B289"/>
      <c r="C289">
        <f>$F284</f>
        <v>0</v>
      </c>
      <c r="D289" s="3" t="str">
        <f t="shared" si="57"/>
        <v>T_BAD_DEBT - Tenant Bad Debt Expense</v>
      </c>
      <c r="E289"/>
      <c r="F289" s="14" t="str">
        <f>_xll.EVDES(D289)</f>
        <v>Tenant Bad Debt Expense</v>
      </c>
      <c r="G289" s="60">
        <f ca="1">SUMIFS(OFFSET('BPC Data'!$F:$F,0,Summary!G$2),'BPC Data'!$E:$E,Summary!$D289,'BPC Data'!$B:$B,Summary!$C289)</f>
        <v>0</v>
      </c>
      <c r="H289" s="53">
        <f ca="1">SUMIFS(OFFSET('BPC Data'!$F:$F,0,Summary!H$2),'BPC Data'!$E:$E,Summary!$D289,'BPC Data'!$B:$B,Summary!$C289)</f>
        <v>0</v>
      </c>
      <c r="I289" s="60">
        <f ca="1">SUMIFS(OFFSET('BPC Data'!$F:$F,0,Summary!I$2),'BPC Data'!$E:$E,Summary!$D289,'BPC Data'!$B:$B,Summary!$C289)</f>
        <v>0</v>
      </c>
      <c r="J289" s="53">
        <f ca="1">SUMIFS(OFFSET('BPC Data'!$F:$F,0,Summary!J$2),'BPC Data'!$E:$E,Summary!$D289,'BPC Data'!$B:$B,Summary!$C289)</f>
        <v>0</v>
      </c>
      <c r="K289" s="60">
        <f ca="1">SUMIFS(OFFSET('BPC Data'!$F:$F,0,Summary!K$2),'BPC Data'!$E:$E,Summary!$D289,'BPC Data'!$B:$B,Summary!$C289)</f>
        <v>0</v>
      </c>
      <c r="L289" s="53">
        <f ca="1">SUMIFS(OFFSET('BPC Data'!$F:$F,0,Summary!L$2),'BPC Data'!$E:$E,Summary!$D289,'BPC Data'!$B:$B,Summary!$C289)</f>
        <v>0</v>
      </c>
      <c r="M289" s="60">
        <f ca="1">SUMIFS(OFFSET('BPC Data'!$F:$F,0,Summary!M$2),'BPC Data'!$E:$E,Summary!$D289,'BPC Data'!$B:$B,Summary!$C289)</f>
        <v>0</v>
      </c>
      <c r="N289" s="53">
        <f ca="1">SUMIFS(OFFSET('BPC Data'!$F:$F,0,Summary!N$2),'BPC Data'!$E:$E,Summary!$D289,'BPC Data'!$B:$B,Summary!$C289)</f>
        <v>0</v>
      </c>
      <c r="O289" s="18">
        <f t="shared" ca="1" si="55"/>
        <v>0</v>
      </c>
    </row>
    <row r="290" spans="1:15" s="11" customFormat="1" hidden="1" outlineLevel="1" x14ac:dyDescent="0.55000000000000004">
      <c r="A290" s="11">
        <f t="shared" si="58"/>
        <v>26</v>
      </c>
      <c r="B290"/>
      <c r="C290">
        <f>$F284</f>
        <v>0</v>
      </c>
      <c r="D290" s="2" t="str">
        <f t="shared" si="57"/>
        <v>T_EBITDARM - EBITDARM</v>
      </c>
      <c r="E290"/>
      <c r="F290" s="14" t="str">
        <f>_xll.EVDES(D290)</f>
        <v>EBITDARM</v>
      </c>
      <c r="G290" s="60">
        <f ca="1">SUMIFS(OFFSET('BPC Data'!$F:$F,0,Summary!G$2),'BPC Data'!$E:$E,Summary!$D290,'BPC Data'!$B:$B,Summary!$C290)</f>
        <v>0</v>
      </c>
      <c r="H290" s="53">
        <f ca="1">SUMIFS(OFFSET('BPC Data'!$F:$F,0,Summary!H$2),'BPC Data'!$E:$E,Summary!$D290,'BPC Data'!$B:$B,Summary!$C290)</f>
        <v>0</v>
      </c>
      <c r="I290" s="60">
        <f ca="1">SUMIFS(OFFSET('BPC Data'!$F:$F,0,Summary!I$2),'BPC Data'!$E:$E,Summary!$D290,'BPC Data'!$B:$B,Summary!$C290)</f>
        <v>0</v>
      </c>
      <c r="J290" s="53">
        <f ca="1">SUMIFS(OFFSET('BPC Data'!$F:$F,0,Summary!J$2),'BPC Data'!$E:$E,Summary!$D290,'BPC Data'!$B:$B,Summary!$C290)</f>
        <v>0</v>
      </c>
      <c r="K290" s="60">
        <f ca="1">SUMIFS(OFFSET('BPC Data'!$F:$F,0,Summary!K$2),'BPC Data'!$E:$E,Summary!$D290,'BPC Data'!$B:$B,Summary!$C290)</f>
        <v>0</v>
      </c>
      <c r="L290" s="53">
        <f ca="1">SUMIFS(OFFSET('BPC Data'!$F:$F,0,Summary!L$2),'BPC Data'!$E:$E,Summary!$D290,'BPC Data'!$B:$B,Summary!$C290)</f>
        <v>0</v>
      </c>
      <c r="M290" s="60">
        <f ca="1">SUMIFS(OFFSET('BPC Data'!$F:$F,0,Summary!M$2),'BPC Data'!$E:$E,Summary!$D290,'BPC Data'!$B:$B,Summary!$C290)</f>
        <v>0</v>
      </c>
      <c r="N290" s="53">
        <f ca="1">SUMIFS(OFFSET('BPC Data'!$F:$F,0,Summary!N$2),'BPC Data'!$E:$E,Summary!$D290,'BPC Data'!$B:$B,Summary!$C290)</f>
        <v>0</v>
      </c>
      <c r="O290" s="18">
        <f t="shared" ca="1" si="55"/>
        <v>0</v>
      </c>
    </row>
    <row r="291" spans="1:15" s="11" customFormat="1" hidden="1" outlineLevel="1" x14ac:dyDescent="0.55000000000000004">
      <c r="A291" s="11">
        <f t="shared" si="58"/>
        <v>26</v>
      </c>
      <c r="B291"/>
      <c r="C291">
        <f>$F284</f>
        <v>0</v>
      </c>
      <c r="D291" s="2" t="str">
        <f t="shared" si="57"/>
        <v>T_MGMT_FEE - Tenant Management Fee - Actual</v>
      </c>
      <c r="E291"/>
      <c r="F291" s="14" t="str">
        <f>_xll.EVDES(D291)</f>
        <v>Tenant Management Fee - Actual</v>
      </c>
      <c r="G291" s="60">
        <f ca="1">SUMIFS(OFFSET('BPC Data'!$F:$F,0,Summary!G$2),'BPC Data'!$E:$E,Summary!$D291,'BPC Data'!$B:$B,Summary!$C291)</f>
        <v>0</v>
      </c>
      <c r="H291" s="53">
        <f ca="1">SUMIFS(OFFSET('BPC Data'!$F:$F,0,Summary!H$2),'BPC Data'!$E:$E,Summary!$D291,'BPC Data'!$B:$B,Summary!$C291)</f>
        <v>0</v>
      </c>
      <c r="I291" s="60">
        <f ca="1">SUMIFS(OFFSET('BPC Data'!$F:$F,0,Summary!I$2),'BPC Data'!$E:$E,Summary!$D291,'BPC Data'!$B:$B,Summary!$C291)</f>
        <v>0</v>
      </c>
      <c r="J291" s="53">
        <f ca="1">SUMIFS(OFFSET('BPC Data'!$F:$F,0,Summary!J$2),'BPC Data'!$E:$E,Summary!$D291,'BPC Data'!$B:$B,Summary!$C291)</f>
        <v>0</v>
      </c>
      <c r="K291" s="60">
        <f ca="1">SUMIFS(OFFSET('BPC Data'!$F:$F,0,Summary!K$2),'BPC Data'!$E:$E,Summary!$D291,'BPC Data'!$B:$B,Summary!$C291)</f>
        <v>0</v>
      </c>
      <c r="L291" s="53">
        <f ca="1">SUMIFS(OFFSET('BPC Data'!$F:$F,0,Summary!L$2),'BPC Data'!$E:$E,Summary!$D291,'BPC Data'!$B:$B,Summary!$C291)</f>
        <v>0</v>
      </c>
      <c r="M291" s="60">
        <f ca="1">SUMIFS(OFFSET('BPC Data'!$F:$F,0,Summary!M$2),'BPC Data'!$E:$E,Summary!$D291,'BPC Data'!$B:$B,Summary!$C291)</f>
        <v>0</v>
      </c>
      <c r="N291" s="53">
        <f ca="1">SUMIFS(OFFSET('BPC Data'!$F:$F,0,Summary!N$2),'BPC Data'!$E:$E,Summary!$D291,'BPC Data'!$B:$B,Summary!$C291)</f>
        <v>0</v>
      </c>
      <c r="O291" s="18">
        <f t="shared" ca="1" si="55"/>
        <v>0</v>
      </c>
    </row>
    <row r="292" spans="1:15" s="11" customFormat="1" hidden="1" outlineLevel="1" x14ac:dyDescent="0.55000000000000004">
      <c r="A292" s="11">
        <f t="shared" si="58"/>
        <v>26</v>
      </c>
      <c r="B292"/>
      <c r="C292">
        <f>$F284</f>
        <v>0</v>
      </c>
      <c r="D292" s="1" t="str">
        <f t="shared" si="57"/>
        <v>T_EBITDAR - EBITDAR</v>
      </c>
      <c r="E292"/>
      <c r="F292" s="14" t="str">
        <f>_xll.EVDES(D292)</f>
        <v>EBITDAR</v>
      </c>
      <c r="G292" s="60">
        <f ca="1">SUMIFS(OFFSET('BPC Data'!$F:$F,0,Summary!G$2),'BPC Data'!$E:$E,Summary!$D292,'BPC Data'!$B:$B,Summary!$C292)</f>
        <v>0</v>
      </c>
      <c r="H292" s="53">
        <f ca="1">SUMIFS(OFFSET('BPC Data'!$F:$F,0,Summary!H$2),'BPC Data'!$E:$E,Summary!$D292,'BPC Data'!$B:$B,Summary!$C292)</f>
        <v>0</v>
      </c>
      <c r="I292" s="60">
        <f ca="1">SUMIFS(OFFSET('BPC Data'!$F:$F,0,Summary!I$2),'BPC Data'!$E:$E,Summary!$D292,'BPC Data'!$B:$B,Summary!$C292)</f>
        <v>0</v>
      </c>
      <c r="J292" s="53">
        <f ca="1">SUMIFS(OFFSET('BPC Data'!$F:$F,0,Summary!J$2),'BPC Data'!$E:$E,Summary!$D292,'BPC Data'!$B:$B,Summary!$C292)</f>
        <v>0</v>
      </c>
      <c r="K292" s="60">
        <f ca="1">SUMIFS(OFFSET('BPC Data'!$F:$F,0,Summary!K$2),'BPC Data'!$E:$E,Summary!$D292,'BPC Data'!$B:$B,Summary!$C292)</f>
        <v>0</v>
      </c>
      <c r="L292" s="53">
        <f ca="1">SUMIFS(OFFSET('BPC Data'!$F:$F,0,Summary!L$2),'BPC Data'!$E:$E,Summary!$D292,'BPC Data'!$B:$B,Summary!$C292)</f>
        <v>0</v>
      </c>
      <c r="M292" s="60">
        <f ca="1">SUMIFS(OFFSET('BPC Data'!$F:$F,0,Summary!M$2),'BPC Data'!$E:$E,Summary!$D292,'BPC Data'!$B:$B,Summary!$C292)</f>
        <v>0</v>
      </c>
      <c r="N292" s="53">
        <f ca="1">SUMIFS(OFFSET('BPC Data'!$F:$F,0,Summary!N$2),'BPC Data'!$E:$E,Summary!$D292,'BPC Data'!$B:$B,Summary!$C292)</f>
        <v>0</v>
      </c>
      <c r="O292" s="18">
        <f t="shared" ca="1" si="55"/>
        <v>0</v>
      </c>
    </row>
    <row r="293" spans="1:15" s="11" customFormat="1" hidden="1" outlineLevel="1" x14ac:dyDescent="0.55000000000000004">
      <c r="A293" s="11">
        <f t="shared" si="58"/>
        <v>26</v>
      </c>
      <c r="B293"/>
      <c r="C293">
        <f>$F284</f>
        <v>0</v>
      </c>
      <c r="D293" s="1" t="str">
        <f t="shared" si="57"/>
        <v>T_RENT_EXP - Tenant Rent Expense</v>
      </c>
      <c r="E293"/>
      <c r="F293" s="14" t="str">
        <f>_xll.EVDES(D293)</f>
        <v>Tenant Rent Expense</v>
      </c>
      <c r="G293" s="60">
        <f ca="1">SUMIFS(OFFSET('BPC Data'!$F:$F,0,Summary!G$2),'BPC Data'!$E:$E,Summary!$D293,'BPC Data'!$B:$B,Summary!$C293)</f>
        <v>0</v>
      </c>
      <c r="H293" s="53">
        <f ca="1">SUMIFS(OFFSET('BPC Data'!$F:$F,0,Summary!H$2),'BPC Data'!$E:$E,Summary!$D293,'BPC Data'!$B:$B,Summary!$C293)</f>
        <v>0</v>
      </c>
      <c r="I293" s="60">
        <f ca="1">SUMIFS(OFFSET('BPC Data'!$F:$F,0,Summary!I$2),'BPC Data'!$E:$E,Summary!$D293,'BPC Data'!$B:$B,Summary!$C293)</f>
        <v>0</v>
      </c>
      <c r="J293" s="53">
        <f ca="1">SUMIFS(OFFSET('BPC Data'!$F:$F,0,Summary!J$2),'BPC Data'!$E:$E,Summary!$D293,'BPC Data'!$B:$B,Summary!$C293)</f>
        <v>0</v>
      </c>
      <c r="K293" s="60">
        <f ca="1">SUMIFS(OFFSET('BPC Data'!$F:$F,0,Summary!K$2),'BPC Data'!$E:$E,Summary!$D293,'BPC Data'!$B:$B,Summary!$C293)</f>
        <v>0</v>
      </c>
      <c r="L293" s="53">
        <f ca="1">SUMIFS(OFFSET('BPC Data'!$F:$F,0,Summary!L$2),'BPC Data'!$E:$E,Summary!$D293,'BPC Data'!$B:$B,Summary!$C293)</f>
        <v>0</v>
      </c>
      <c r="M293" s="60">
        <f ca="1">SUMIFS(OFFSET('BPC Data'!$F:$F,0,Summary!M$2),'BPC Data'!$E:$E,Summary!$D293,'BPC Data'!$B:$B,Summary!$C293)</f>
        <v>0</v>
      </c>
      <c r="N293" s="53">
        <f ca="1">SUMIFS(OFFSET('BPC Data'!$F:$F,0,Summary!N$2),'BPC Data'!$E:$E,Summary!$D293,'BPC Data'!$B:$B,Summary!$C293)</f>
        <v>0</v>
      </c>
      <c r="O293" s="18">
        <f t="shared" ca="1" si="55"/>
        <v>0</v>
      </c>
    </row>
    <row r="294" spans="1:15" s="11" customFormat="1" hidden="1" outlineLevel="1" x14ac:dyDescent="0.55000000000000004">
      <c r="A294" s="11">
        <f t="shared" si="58"/>
        <v>26</v>
      </c>
      <c r="B294"/>
      <c r="C294"/>
      <c r="D294" s="1" t="str">
        <f t="shared" si="57"/>
        <v>x</v>
      </c>
      <c r="E294"/>
      <c r="F294" s="14" t="s">
        <v>0</v>
      </c>
      <c r="G294" s="61">
        <f ca="1">SUMIFS(OFFSET('BPC Data'!$F:$F,0,Summary!G$2),'BPC Data'!$E:$E,Summary!$D294,'BPC Data'!$B:$B,Summary!$C294)</f>
        <v>0</v>
      </c>
      <c r="H294" s="54">
        <f ca="1">SUMIFS(OFFSET('BPC Data'!$F:$F,0,Summary!H$2),'BPC Data'!$E:$E,Summary!$D294,'BPC Data'!$B:$B,Summary!$C294)</f>
        <v>0</v>
      </c>
      <c r="I294" s="61">
        <f ca="1">SUMIFS(OFFSET('BPC Data'!$F:$F,0,Summary!I$2),'BPC Data'!$E:$E,Summary!$D294,'BPC Data'!$B:$B,Summary!$C294)</f>
        <v>0</v>
      </c>
      <c r="J294" s="54">
        <f ca="1">SUMIFS(OFFSET('BPC Data'!$F:$F,0,Summary!J$2),'BPC Data'!$E:$E,Summary!$D294,'BPC Data'!$B:$B,Summary!$C294)</f>
        <v>0</v>
      </c>
      <c r="K294" s="61">
        <f ca="1">SUMIFS(OFFSET('BPC Data'!$F:$F,0,Summary!K$2),'BPC Data'!$E:$E,Summary!$D294,'BPC Data'!$B:$B,Summary!$C294)</f>
        <v>0</v>
      </c>
      <c r="L294" s="54">
        <f ca="1">SUMIFS(OFFSET('BPC Data'!$F:$F,0,Summary!L$2),'BPC Data'!$E:$E,Summary!$D294,'BPC Data'!$B:$B,Summary!$C294)</f>
        <v>0</v>
      </c>
      <c r="M294" s="61">
        <f ca="1">SUMIFS(OFFSET('BPC Data'!$F:$F,0,Summary!M$2),'BPC Data'!$E:$E,Summary!$D294,'BPC Data'!$B:$B,Summary!$C294)</f>
        <v>0</v>
      </c>
      <c r="N294" s="54">
        <f ca="1">SUMIFS(OFFSET('BPC Data'!$F:$F,0,Summary!N$2),'BPC Data'!$E:$E,Summary!$D294,'BPC Data'!$B:$B,Summary!$C294)</f>
        <v>0</v>
      </c>
      <c r="O294" s="18">
        <f t="shared" ca="1" si="55"/>
        <v>0</v>
      </c>
    </row>
    <row r="295" spans="1:15" s="11" customFormat="1" hidden="1" outlineLevel="1" x14ac:dyDescent="0.55000000000000004">
      <c r="A295" s="11">
        <f>IF(AND(D295&lt;&gt;"",C295=""),A294+1,A294)</f>
        <v>27</v>
      </c>
      <c r="B295" s="4"/>
      <c r="C295" s="4"/>
      <c r="D295" s="4" t="str">
        <f t="shared" si="57"/>
        <v>x</v>
      </c>
      <c r="E295" s="4"/>
      <c r="F295" s="13">
        <f>INDEX(PropertyList!$D:$D,MATCH(Summary!$A295,PropertyList!$C:$C,0))</f>
        <v>0</v>
      </c>
      <c r="G295" s="59">
        <f ca="1">SUMIFS(OFFSET('BPC Data'!$F:$F,0,Summary!G$2),'BPC Data'!$E:$E,Summary!$D295,'BPC Data'!$B:$B,Summary!$C295)</f>
        <v>0</v>
      </c>
      <c r="H295" s="52">
        <f ca="1">SUMIFS(OFFSET('BPC Data'!$F:$F,0,Summary!H$2),'BPC Data'!$E:$E,Summary!$D295,'BPC Data'!$B:$B,Summary!$C295)</f>
        <v>0</v>
      </c>
      <c r="I295" s="59">
        <f ca="1">SUMIFS(OFFSET('BPC Data'!$F:$F,0,Summary!I$2),'BPC Data'!$E:$E,Summary!$D295,'BPC Data'!$B:$B,Summary!$C295)</f>
        <v>0</v>
      </c>
      <c r="J295" s="52">
        <f ca="1">SUMIFS(OFFSET('BPC Data'!$F:$F,0,Summary!J$2),'BPC Data'!$E:$E,Summary!$D295,'BPC Data'!$B:$B,Summary!$C295)</f>
        <v>0</v>
      </c>
      <c r="K295" s="59">
        <f ca="1">SUMIFS(OFFSET('BPC Data'!$F:$F,0,Summary!K$2),'BPC Data'!$E:$E,Summary!$D295,'BPC Data'!$B:$B,Summary!$C295)</f>
        <v>0</v>
      </c>
      <c r="L295" s="52">
        <f ca="1">SUMIFS(OFFSET('BPC Data'!$F:$F,0,Summary!L$2),'BPC Data'!$E:$E,Summary!$D295,'BPC Data'!$B:$B,Summary!$C295)</f>
        <v>0</v>
      </c>
      <c r="M295" s="59">
        <f ca="1">SUMIFS(OFFSET('BPC Data'!$F:$F,0,Summary!M$2),'BPC Data'!$E:$E,Summary!$D295,'BPC Data'!$B:$B,Summary!$C295)</f>
        <v>0</v>
      </c>
      <c r="N295" s="52">
        <f ca="1">SUMIFS(OFFSET('BPC Data'!$F:$F,0,Summary!N$2),'BPC Data'!$E:$E,Summary!$D295,'BPC Data'!$B:$B,Summary!$C295)</f>
        <v>0</v>
      </c>
      <c r="O295" s="18">
        <f t="shared" ca="1" si="55"/>
        <v>0</v>
      </c>
    </row>
    <row r="296" spans="1:15" s="11" customFormat="1" hidden="1" outlineLevel="1" x14ac:dyDescent="0.55000000000000004">
      <c r="A296" s="11">
        <f>IF(AND(F296&lt;&gt;"",D296=""),A295+1,A295)</f>
        <v>27</v>
      </c>
      <c r="C296">
        <f>$F295</f>
        <v>0</v>
      </c>
      <c r="D296" s="3" t="str">
        <f t="shared" si="57"/>
        <v>PAY_PAT_DAYS - Total Payor Patient Days</v>
      </c>
      <c r="F296" s="14" t="str">
        <f>_xll.EVDES(D296)</f>
        <v>Total Payor Patient Days</v>
      </c>
      <c r="G296" s="60">
        <f ca="1">SUMIFS(OFFSET('BPC Data'!$F:$F,0,Summary!G$2),'BPC Data'!$E:$E,Summary!$D296,'BPC Data'!$B:$B,Summary!$C296)</f>
        <v>0</v>
      </c>
      <c r="H296" s="53">
        <f ca="1">SUMIFS(OFFSET('BPC Data'!$F:$F,0,Summary!H$2),'BPC Data'!$E:$E,Summary!$D296,'BPC Data'!$B:$B,Summary!$C296)</f>
        <v>0</v>
      </c>
      <c r="I296" s="60">
        <f ca="1">SUMIFS(OFFSET('BPC Data'!$F:$F,0,Summary!I$2),'BPC Data'!$E:$E,Summary!$D296,'BPC Data'!$B:$B,Summary!$C296)</f>
        <v>0</v>
      </c>
      <c r="J296" s="53">
        <f ca="1">SUMIFS(OFFSET('BPC Data'!$F:$F,0,Summary!J$2),'BPC Data'!$E:$E,Summary!$D296,'BPC Data'!$B:$B,Summary!$C296)</f>
        <v>0</v>
      </c>
      <c r="K296" s="60">
        <f ca="1">SUMIFS(OFFSET('BPC Data'!$F:$F,0,Summary!K$2),'BPC Data'!$E:$E,Summary!$D296,'BPC Data'!$B:$B,Summary!$C296)</f>
        <v>0</v>
      </c>
      <c r="L296" s="53">
        <f ca="1">SUMIFS(OFFSET('BPC Data'!$F:$F,0,Summary!L$2),'BPC Data'!$E:$E,Summary!$D296,'BPC Data'!$B:$B,Summary!$C296)</f>
        <v>0</v>
      </c>
      <c r="M296" s="60">
        <f ca="1">SUMIFS(OFFSET('BPC Data'!$F:$F,0,Summary!M$2),'BPC Data'!$E:$E,Summary!$D296,'BPC Data'!$B:$B,Summary!$C296)</f>
        <v>0</v>
      </c>
      <c r="N296" s="53">
        <f ca="1">SUMIFS(OFFSET('BPC Data'!$F:$F,0,Summary!N$2),'BPC Data'!$E:$E,Summary!$D296,'BPC Data'!$B:$B,Summary!$C296)</f>
        <v>0</v>
      </c>
      <c r="O296" s="18">
        <f t="shared" ca="1" si="55"/>
        <v>0</v>
      </c>
    </row>
    <row r="297" spans="1:15" s="11" customFormat="1" hidden="1" outlineLevel="1" x14ac:dyDescent="0.55000000000000004">
      <c r="A297" s="11">
        <f t="shared" ref="A297:A305" si="59">IF(AND(F297&lt;&gt;"",D297=""),A296+1,A296)</f>
        <v>27</v>
      </c>
      <c r="C297">
        <f>$F295</f>
        <v>0</v>
      </c>
      <c r="D297" s="3" t="str">
        <f t="shared" si="57"/>
        <v>A_BEDS_TOTAL - Total Available Beds</v>
      </c>
      <c r="F297" s="14" t="str">
        <f>_xll.EVDES(D297)</f>
        <v>Total Available Beds</v>
      </c>
      <c r="G297" s="60">
        <f ca="1">SUMIFS(OFFSET('BPC Data'!$F:$F,0,Summary!G$2),'BPC Data'!$E:$E,Summary!$D297,'BPC Data'!$B:$B,Summary!$C297)</f>
        <v>0</v>
      </c>
      <c r="H297" s="53">
        <f ca="1">SUMIFS(OFFSET('BPC Data'!$F:$F,0,Summary!H$2),'BPC Data'!$E:$E,Summary!$D297,'BPC Data'!$B:$B,Summary!$C297)</f>
        <v>0</v>
      </c>
      <c r="I297" s="60">
        <f ca="1">SUMIFS(OFFSET('BPC Data'!$F:$F,0,Summary!I$2),'BPC Data'!$E:$E,Summary!$D297,'BPC Data'!$B:$B,Summary!$C297)</f>
        <v>0</v>
      </c>
      <c r="J297" s="53">
        <f ca="1">SUMIFS(OFFSET('BPC Data'!$F:$F,0,Summary!J$2),'BPC Data'!$E:$E,Summary!$D297,'BPC Data'!$B:$B,Summary!$C297)</f>
        <v>0</v>
      </c>
      <c r="K297" s="60">
        <f ca="1">SUMIFS(OFFSET('BPC Data'!$F:$F,0,Summary!K$2),'BPC Data'!$E:$E,Summary!$D297,'BPC Data'!$B:$B,Summary!$C297)</f>
        <v>0</v>
      </c>
      <c r="L297" s="53">
        <f ca="1">SUMIFS(OFFSET('BPC Data'!$F:$F,0,Summary!L$2),'BPC Data'!$E:$E,Summary!$D297,'BPC Data'!$B:$B,Summary!$C297)</f>
        <v>0</v>
      </c>
      <c r="M297" s="60">
        <f ca="1">SUMIFS(OFFSET('BPC Data'!$F:$F,0,Summary!M$2),'BPC Data'!$E:$E,Summary!$D297,'BPC Data'!$B:$B,Summary!$C297)</f>
        <v>0</v>
      </c>
      <c r="N297" s="53">
        <f ca="1">SUMIFS(OFFSET('BPC Data'!$F:$F,0,Summary!N$2),'BPC Data'!$E:$E,Summary!$D297,'BPC Data'!$B:$B,Summary!$C297)</f>
        <v>0</v>
      </c>
      <c r="O297" s="18">
        <f t="shared" ca="1" si="55"/>
        <v>0</v>
      </c>
    </row>
    <row r="298" spans="1:15" s="11" customFormat="1" hidden="1" outlineLevel="1" x14ac:dyDescent="0.55000000000000004">
      <c r="A298" s="11">
        <f t="shared" si="59"/>
        <v>27</v>
      </c>
      <c r="B298"/>
      <c r="C298">
        <f>$F295</f>
        <v>0</v>
      </c>
      <c r="D298" s="3" t="str">
        <f t="shared" si="57"/>
        <v>T_REVENUES - Total Tenant Revenues</v>
      </c>
      <c r="E298"/>
      <c r="F298" s="14" t="str">
        <f>_xll.EVDES(D298)</f>
        <v>Total Tenant Revenues</v>
      </c>
      <c r="G298" s="60">
        <f ca="1">SUMIFS(OFFSET('BPC Data'!$F:$F,0,Summary!G$2),'BPC Data'!$E:$E,Summary!$D298,'BPC Data'!$B:$B,Summary!$C298)</f>
        <v>0</v>
      </c>
      <c r="H298" s="53">
        <f ca="1">SUMIFS(OFFSET('BPC Data'!$F:$F,0,Summary!H$2),'BPC Data'!$E:$E,Summary!$D298,'BPC Data'!$B:$B,Summary!$C298)</f>
        <v>0</v>
      </c>
      <c r="I298" s="60">
        <f ca="1">SUMIFS(OFFSET('BPC Data'!$F:$F,0,Summary!I$2),'BPC Data'!$E:$E,Summary!$D298,'BPC Data'!$B:$B,Summary!$C298)</f>
        <v>0</v>
      </c>
      <c r="J298" s="53">
        <f ca="1">SUMIFS(OFFSET('BPC Data'!$F:$F,0,Summary!J$2),'BPC Data'!$E:$E,Summary!$D298,'BPC Data'!$B:$B,Summary!$C298)</f>
        <v>0</v>
      </c>
      <c r="K298" s="60">
        <f ca="1">SUMIFS(OFFSET('BPC Data'!$F:$F,0,Summary!K$2),'BPC Data'!$E:$E,Summary!$D298,'BPC Data'!$B:$B,Summary!$C298)</f>
        <v>0</v>
      </c>
      <c r="L298" s="53">
        <f ca="1">SUMIFS(OFFSET('BPC Data'!$F:$F,0,Summary!L$2),'BPC Data'!$E:$E,Summary!$D298,'BPC Data'!$B:$B,Summary!$C298)</f>
        <v>0</v>
      </c>
      <c r="M298" s="60">
        <f ca="1">SUMIFS(OFFSET('BPC Data'!$F:$F,0,Summary!M$2),'BPC Data'!$E:$E,Summary!$D298,'BPC Data'!$B:$B,Summary!$C298)</f>
        <v>0</v>
      </c>
      <c r="N298" s="53">
        <f ca="1">SUMIFS(OFFSET('BPC Data'!$F:$F,0,Summary!N$2),'BPC Data'!$E:$E,Summary!$D298,'BPC Data'!$B:$B,Summary!$C298)</f>
        <v>0</v>
      </c>
      <c r="O298" s="18">
        <f t="shared" ca="1" si="55"/>
        <v>0</v>
      </c>
    </row>
    <row r="299" spans="1:15" s="11" customFormat="1" hidden="1" outlineLevel="1" x14ac:dyDescent="0.55000000000000004">
      <c r="A299" s="11">
        <f t="shared" si="59"/>
        <v>27</v>
      </c>
      <c r="B299"/>
      <c r="C299">
        <f>$F295</f>
        <v>0</v>
      </c>
      <c r="D299" s="3" t="str">
        <f t="shared" si="57"/>
        <v>T_OPEX - Tenant Operating Expenses</v>
      </c>
      <c r="E299"/>
      <c r="F299" s="14" t="str">
        <f>_xll.EVDES(D299)</f>
        <v>Tenant Operating Expenses</v>
      </c>
      <c r="G299" s="60">
        <f ca="1">SUMIFS(OFFSET('BPC Data'!$F:$F,0,Summary!G$2),'BPC Data'!$E:$E,Summary!$D299,'BPC Data'!$B:$B,Summary!$C299)</f>
        <v>0</v>
      </c>
      <c r="H299" s="53">
        <f ca="1">SUMIFS(OFFSET('BPC Data'!$F:$F,0,Summary!H$2),'BPC Data'!$E:$E,Summary!$D299,'BPC Data'!$B:$B,Summary!$C299)</f>
        <v>0</v>
      </c>
      <c r="I299" s="60">
        <f ca="1">SUMIFS(OFFSET('BPC Data'!$F:$F,0,Summary!I$2),'BPC Data'!$E:$E,Summary!$D299,'BPC Data'!$B:$B,Summary!$C299)</f>
        <v>0</v>
      </c>
      <c r="J299" s="53">
        <f ca="1">SUMIFS(OFFSET('BPC Data'!$F:$F,0,Summary!J$2),'BPC Data'!$E:$E,Summary!$D299,'BPC Data'!$B:$B,Summary!$C299)</f>
        <v>0</v>
      </c>
      <c r="K299" s="60">
        <f ca="1">SUMIFS(OFFSET('BPC Data'!$F:$F,0,Summary!K$2),'BPC Data'!$E:$E,Summary!$D299,'BPC Data'!$B:$B,Summary!$C299)</f>
        <v>0</v>
      </c>
      <c r="L299" s="53">
        <f ca="1">SUMIFS(OFFSET('BPC Data'!$F:$F,0,Summary!L$2),'BPC Data'!$E:$E,Summary!$D299,'BPC Data'!$B:$B,Summary!$C299)</f>
        <v>0</v>
      </c>
      <c r="M299" s="60">
        <f ca="1">SUMIFS(OFFSET('BPC Data'!$F:$F,0,Summary!M$2),'BPC Data'!$E:$E,Summary!$D299,'BPC Data'!$B:$B,Summary!$C299)</f>
        <v>0</v>
      </c>
      <c r="N299" s="53">
        <f ca="1">SUMIFS(OFFSET('BPC Data'!$F:$F,0,Summary!N$2),'BPC Data'!$E:$E,Summary!$D299,'BPC Data'!$B:$B,Summary!$C299)</f>
        <v>0</v>
      </c>
      <c r="O299" s="18">
        <f t="shared" ca="1" si="55"/>
        <v>0</v>
      </c>
    </row>
    <row r="300" spans="1:15" s="11" customFormat="1" hidden="1" outlineLevel="1" x14ac:dyDescent="0.55000000000000004">
      <c r="A300" s="11">
        <f t="shared" si="59"/>
        <v>27</v>
      </c>
      <c r="B300"/>
      <c r="C300">
        <f>$F295</f>
        <v>0</v>
      </c>
      <c r="D300" s="3" t="str">
        <f t="shared" si="57"/>
        <v>T_BAD_DEBT - Tenant Bad Debt Expense</v>
      </c>
      <c r="E300"/>
      <c r="F300" s="14" t="str">
        <f>_xll.EVDES(D300)</f>
        <v>Tenant Bad Debt Expense</v>
      </c>
      <c r="G300" s="60">
        <f ca="1">SUMIFS(OFFSET('BPC Data'!$F:$F,0,Summary!G$2),'BPC Data'!$E:$E,Summary!$D300,'BPC Data'!$B:$B,Summary!$C300)</f>
        <v>0</v>
      </c>
      <c r="H300" s="53">
        <f ca="1">SUMIFS(OFFSET('BPC Data'!$F:$F,0,Summary!H$2),'BPC Data'!$E:$E,Summary!$D300,'BPC Data'!$B:$B,Summary!$C300)</f>
        <v>0</v>
      </c>
      <c r="I300" s="60">
        <f ca="1">SUMIFS(OFFSET('BPC Data'!$F:$F,0,Summary!I$2),'BPC Data'!$E:$E,Summary!$D300,'BPC Data'!$B:$B,Summary!$C300)</f>
        <v>0</v>
      </c>
      <c r="J300" s="53">
        <f ca="1">SUMIFS(OFFSET('BPC Data'!$F:$F,0,Summary!J$2),'BPC Data'!$E:$E,Summary!$D300,'BPC Data'!$B:$B,Summary!$C300)</f>
        <v>0</v>
      </c>
      <c r="K300" s="60">
        <f ca="1">SUMIFS(OFFSET('BPC Data'!$F:$F,0,Summary!K$2),'BPC Data'!$E:$E,Summary!$D300,'BPC Data'!$B:$B,Summary!$C300)</f>
        <v>0</v>
      </c>
      <c r="L300" s="53">
        <f ca="1">SUMIFS(OFFSET('BPC Data'!$F:$F,0,Summary!L$2),'BPC Data'!$E:$E,Summary!$D300,'BPC Data'!$B:$B,Summary!$C300)</f>
        <v>0</v>
      </c>
      <c r="M300" s="60">
        <f ca="1">SUMIFS(OFFSET('BPC Data'!$F:$F,0,Summary!M$2),'BPC Data'!$E:$E,Summary!$D300,'BPC Data'!$B:$B,Summary!$C300)</f>
        <v>0</v>
      </c>
      <c r="N300" s="53">
        <f ca="1">SUMIFS(OFFSET('BPC Data'!$F:$F,0,Summary!N$2),'BPC Data'!$E:$E,Summary!$D300,'BPC Data'!$B:$B,Summary!$C300)</f>
        <v>0</v>
      </c>
      <c r="O300" s="18">
        <f t="shared" ca="1" si="55"/>
        <v>0</v>
      </c>
    </row>
    <row r="301" spans="1:15" s="11" customFormat="1" hidden="1" outlineLevel="1" x14ac:dyDescent="0.55000000000000004">
      <c r="A301" s="11">
        <f t="shared" si="59"/>
        <v>27</v>
      </c>
      <c r="B301"/>
      <c r="C301">
        <f>$F295</f>
        <v>0</v>
      </c>
      <c r="D301" s="2" t="str">
        <f t="shared" si="57"/>
        <v>T_EBITDARM - EBITDARM</v>
      </c>
      <c r="E301"/>
      <c r="F301" s="14" t="str">
        <f>_xll.EVDES(D301)</f>
        <v>EBITDARM</v>
      </c>
      <c r="G301" s="60">
        <f ca="1">SUMIFS(OFFSET('BPC Data'!$F:$F,0,Summary!G$2),'BPC Data'!$E:$E,Summary!$D301,'BPC Data'!$B:$B,Summary!$C301)</f>
        <v>0</v>
      </c>
      <c r="H301" s="53">
        <f ca="1">SUMIFS(OFFSET('BPC Data'!$F:$F,0,Summary!H$2),'BPC Data'!$E:$E,Summary!$D301,'BPC Data'!$B:$B,Summary!$C301)</f>
        <v>0</v>
      </c>
      <c r="I301" s="60">
        <f ca="1">SUMIFS(OFFSET('BPC Data'!$F:$F,0,Summary!I$2),'BPC Data'!$E:$E,Summary!$D301,'BPC Data'!$B:$B,Summary!$C301)</f>
        <v>0</v>
      </c>
      <c r="J301" s="53">
        <f ca="1">SUMIFS(OFFSET('BPC Data'!$F:$F,0,Summary!J$2),'BPC Data'!$E:$E,Summary!$D301,'BPC Data'!$B:$B,Summary!$C301)</f>
        <v>0</v>
      </c>
      <c r="K301" s="60">
        <f ca="1">SUMIFS(OFFSET('BPC Data'!$F:$F,0,Summary!K$2),'BPC Data'!$E:$E,Summary!$D301,'BPC Data'!$B:$B,Summary!$C301)</f>
        <v>0</v>
      </c>
      <c r="L301" s="53">
        <f ca="1">SUMIFS(OFFSET('BPC Data'!$F:$F,0,Summary!L$2),'BPC Data'!$E:$E,Summary!$D301,'BPC Data'!$B:$B,Summary!$C301)</f>
        <v>0</v>
      </c>
      <c r="M301" s="60">
        <f ca="1">SUMIFS(OFFSET('BPC Data'!$F:$F,0,Summary!M$2),'BPC Data'!$E:$E,Summary!$D301,'BPC Data'!$B:$B,Summary!$C301)</f>
        <v>0</v>
      </c>
      <c r="N301" s="53">
        <f ca="1">SUMIFS(OFFSET('BPC Data'!$F:$F,0,Summary!N$2),'BPC Data'!$E:$E,Summary!$D301,'BPC Data'!$B:$B,Summary!$C301)</f>
        <v>0</v>
      </c>
      <c r="O301" s="18">
        <f t="shared" ca="1" si="55"/>
        <v>0</v>
      </c>
    </row>
    <row r="302" spans="1:15" s="11" customFormat="1" hidden="1" outlineLevel="1" x14ac:dyDescent="0.55000000000000004">
      <c r="A302" s="11">
        <f t="shared" si="59"/>
        <v>27</v>
      </c>
      <c r="B302"/>
      <c r="C302">
        <f>$F295</f>
        <v>0</v>
      </c>
      <c r="D302" s="2" t="str">
        <f t="shared" si="57"/>
        <v>T_MGMT_FEE - Tenant Management Fee - Actual</v>
      </c>
      <c r="E302"/>
      <c r="F302" s="14" t="str">
        <f>_xll.EVDES(D302)</f>
        <v>Tenant Management Fee - Actual</v>
      </c>
      <c r="G302" s="60">
        <f ca="1">SUMIFS(OFFSET('BPC Data'!$F:$F,0,Summary!G$2),'BPC Data'!$E:$E,Summary!$D302,'BPC Data'!$B:$B,Summary!$C302)</f>
        <v>0</v>
      </c>
      <c r="H302" s="53">
        <f ca="1">SUMIFS(OFFSET('BPC Data'!$F:$F,0,Summary!H$2),'BPC Data'!$E:$E,Summary!$D302,'BPC Data'!$B:$B,Summary!$C302)</f>
        <v>0</v>
      </c>
      <c r="I302" s="60">
        <f ca="1">SUMIFS(OFFSET('BPC Data'!$F:$F,0,Summary!I$2),'BPC Data'!$E:$E,Summary!$D302,'BPC Data'!$B:$B,Summary!$C302)</f>
        <v>0</v>
      </c>
      <c r="J302" s="53">
        <f ca="1">SUMIFS(OFFSET('BPC Data'!$F:$F,0,Summary!J$2),'BPC Data'!$E:$E,Summary!$D302,'BPC Data'!$B:$B,Summary!$C302)</f>
        <v>0</v>
      </c>
      <c r="K302" s="60">
        <f ca="1">SUMIFS(OFFSET('BPC Data'!$F:$F,0,Summary!K$2),'BPC Data'!$E:$E,Summary!$D302,'BPC Data'!$B:$B,Summary!$C302)</f>
        <v>0</v>
      </c>
      <c r="L302" s="53">
        <f ca="1">SUMIFS(OFFSET('BPC Data'!$F:$F,0,Summary!L$2),'BPC Data'!$E:$E,Summary!$D302,'BPC Data'!$B:$B,Summary!$C302)</f>
        <v>0</v>
      </c>
      <c r="M302" s="60">
        <f ca="1">SUMIFS(OFFSET('BPC Data'!$F:$F,0,Summary!M$2),'BPC Data'!$E:$E,Summary!$D302,'BPC Data'!$B:$B,Summary!$C302)</f>
        <v>0</v>
      </c>
      <c r="N302" s="53">
        <f ca="1">SUMIFS(OFFSET('BPC Data'!$F:$F,0,Summary!N$2),'BPC Data'!$E:$E,Summary!$D302,'BPC Data'!$B:$B,Summary!$C302)</f>
        <v>0</v>
      </c>
      <c r="O302" s="18">
        <f t="shared" ca="1" si="55"/>
        <v>0</v>
      </c>
    </row>
    <row r="303" spans="1:15" s="11" customFormat="1" hidden="1" outlineLevel="1" x14ac:dyDescent="0.55000000000000004">
      <c r="A303" s="11">
        <f t="shared" si="59"/>
        <v>27</v>
      </c>
      <c r="B303"/>
      <c r="C303">
        <f>$F295</f>
        <v>0</v>
      </c>
      <c r="D303" s="1" t="str">
        <f t="shared" si="57"/>
        <v>T_EBITDAR - EBITDAR</v>
      </c>
      <c r="E303"/>
      <c r="F303" s="14" t="str">
        <f>_xll.EVDES(D303)</f>
        <v>EBITDAR</v>
      </c>
      <c r="G303" s="60">
        <f ca="1">SUMIFS(OFFSET('BPC Data'!$F:$F,0,Summary!G$2),'BPC Data'!$E:$E,Summary!$D303,'BPC Data'!$B:$B,Summary!$C303)</f>
        <v>0</v>
      </c>
      <c r="H303" s="53">
        <f ca="1">SUMIFS(OFFSET('BPC Data'!$F:$F,0,Summary!H$2),'BPC Data'!$E:$E,Summary!$D303,'BPC Data'!$B:$B,Summary!$C303)</f>
        <v>0</v>
      </c>
      <c r="I303" s="60">
        <f ca="1">SUMIFS(OFFSET('BPC Data'!$F:$F,0,Summary!I$2),'BPC Data'!$E:$E,Summary!$D303,'BPC Data'!$B:$B,Summary!$C303)</f>
        <v>0</v>
      </c>
      <c r="J303" s="53">
        <f ca="1">SUMIFS(OFFSET('BPC Data'!$F:$F,0,Summary!J$2),'BPC Data'!$E:$E,Summary!$D303,'BPC Data'!$B:$B,Summary!$C303)</f>
        <v>0</v>
      </c>
      <c r="K303" s="60">
        <f ca="1">SUMIFS(OFFSET('BPC Data'!$F:$F,0,Summary!K$2),'BPC Data'!$E:$E,Summary!$D303,'BPC Data'!$B:$B,Summary!$C303)</f>
        <v>0</v>
      </c>
      <c r="L303" s="53">
        <f ca="1">SUMIFS(OFFSET('BPC Data'!$F:$F,0,Summary!L$2),'BPC Data'!$E:$E,Summary!$D303,'BPC Data'!$B:$B,Summary!$C303)</f>
        <v>0</v>
      </c>
      <c r="M303" s="60">
        <f ca="1">SUMIFS(OFFSET('BPC Data'!$F:$F,0,Summary!M$2),'BPC Data'!$E:$E,Summary!$D303,'BPC Data'!$B:$B,Summary!$C303)</f>
        <v>0</v>
      </c>
      <c r="N303" s="53">
        <f ca="1">SUMIFS(OFFSET('BPC Data'!$F:$F,0,Summary!N$2),'BPC Data'!$E:$E,Summary!$D303,'BPC Data'!$B:$B,Summary!$C303)</f>
        <v>0</v>
      </c>
      <c r="O303" s="18">
        <f t="shared" ca="1" si="55"/>
        <v>0</v>
      </c>
    </row>
    <row r="304" spans="1:15" s="11" customFormat="1" hidden="1" outlineLevel="1" x14ac:dyDescent="0.55000000000000004">
      <c r="A304" s="11">
        <f t="shared" si="59"/>
        <v>27</v>
      </c>
      <c r="B304"/>
      <c r="C304">
        <f>$F295</f>
        <v>0</v>
      </c>
      <c r="D304" s="1" t="str">
        <f t="shared" si="57"/>
        <v>T_RENT_EXP - Tenant Rent Expense</v>
      </c>
      <c r="E304"/>
      <c r="F304" s="14" t="str">
        <f>_xll.EVDES(D304)</f>
        <v>Tenant Rent Expense</v>
      </c>
      <c r="G304" s="60">
        <f ca="1">SUMIFS(OFFSET('BPC Data'!$F:$F,0,Summary!G$2),'BPC Data'!$E:$E,Summary!$D304,'BPC Data'!$B:$B,Summary!$C304)</f>
        <v>0</v>
      </c>
      <c r="H304" s="53">
        <f ca="1">SUMIFS(OFFSET('BPC Data'!$F:$F,0,Summary!H$2),'BPC Data'!$E:$E,Summary!$D304,'BPC Data'!$B:$B,Summary!$C304)</f>
        <v>0</v>
      </c>
      <c r="I304" s="60">
        <f ca="1">SUMIFS(OFFSET('BPC Data'!$F:$F,0,Summary!I$2),'BPC Data'!$E:$E,Summary!$D304,'BPC Data'!$B:$B,Summary!$C304)</f>
        <v>0</v>
      </c>
      <c r="J304" s="53">
        <f ca="1">SUMIFS(OFFSET('BPC Data'!$F:$F,0,Summary!J$2),'BPC Data'!$E:$E,Summary!$D304,'BPC Data'!$B:$B,Summary!$C304)</f>
        <v>0</v>
      </c>
      <c r="K304" s="60">
        <f ca="1">SUMIFS(OFFSET('BPC Data'!$F:$F,0,Summary!K$2),'BPC Data'!$E:$E,Summary!$D304,'BPC Data'!$B:$B,Summary!$C304)</f>
        <v>0</v>
      </c>
      <c r="L304" s="53">
        <f ca="1">SUMIFS(OFFSET('BPC Data'!$F:$F,0,Summary!L$2),'BPC Data'!$E:$E,Summary!$D304,'BPC Data'!$B:$B,Summary!$C304)</f>
        <v>0</v>
      </c>
      <c r="M304" s="60">
        <f ca="1">SUMIFS(OFFSET('BPC Data'!$F:$F,0,Summary!M$2),'BPC Data'!$E:$E,Summary!$D304,'BPC Data'!$B:$B,Summary!$C304)</f>
        <v>0</v>
      </c>
      <c r="N304" s="53">
        <f ca="1">SUMIFS(OFFSET('BPC Data'!$F:$F,0,Summary!N$2),'BPC Data'!$E:$E,Summary!$D304,'BPC Data'!$B:$B,Summary!$C304)</f>
        <v>0</v>
      </c>
      <c r="O304" s="18">
        <f t="shared" ca="1" si="55"/>
        <v>0</v>
      </c>
    </row>
    <row r="305" spans="1:15" s="11" customFormat="1" hidden="1" outlineLevel="1" x14ac:dyDescent="0.55000000000000004">
      <c r="A305" s="11">
        <f t="shared" si="59"/>
        <v>27</v>
      </c>
      <c r="B305"/>
      <c r="C305"/>
      <c r="D305" s="1" t="str">
        <f t="shared" si="57"/>
        <v>x</v>
      </c>
      <c r="E305"/>
      <c r="F305" s="14" t="s">
        <v>0</v>
      </c>
      <c r="G305" s="61">
        <f ca="1">SUMIFS(OFFSET('BPC Data'!$F:$F,0,Summary!G$2),'BPC Data'!$E:$E,Summary!$D305,'BPC Data'!$B:$B,Summary!$C305)</f>
        <v>0</v>
      </c>
      <c r="H305" s="54">
        <f ca="1">SUMIFS(OFFSET('BPC Data'!$F:$F,0,Summary!H$2),'BPC Data'!$E:$E,Summary!$D305,'BPC Data'!$B:$B,Summary!$C305)</f>
        <v>0</v>
      </c>
      <c r="I305" s="61">
        <f ca="1">SUMIFS(OFFSET('BPC Data'!$F:$F,0,Summary!I$2),'BPC Data'!$E:$E,Summary!$D305,'BPC Data'!$B:$B,Summary!$C305)</f>
        <v>0</v>
      </c>
      <c r="J305" s="54">
        <f ca="1">SUMIFS(OFFSET('BPC Data'!$F:$F,0,Summary!J$2),'BPC Data'!$E:$E,Summary!$D305,'BPC Data'!$B:$B,Summary!$C305)</f>
        <v>0</v>
      </c>
      <c r="K305" s="61">
        <f ca="1">SUMIFS(OFFSET('BPC Data'!$F:$F,0,Summary!K$2),'BPC Data'!$E:$E,Summary!$D305,'BPC Data'!$B:$B,Summary!$C305)</f>
        <v>0</v>
      </c>
      <c r="L305" s="54">
        <f ca="1">SUMIFS(OFFSET('BPC Data'!$F:$F,0,Summary!L$2),'BPC Data'!$E:$E,Summary!$D305,'BPC Data'!$B:$B,Summary!$C305)</f>
        <v>0</v>
      </c>
      <c r="M305" s="61">
        <f ca="1">SUMIFS(OFFSET('BPC Data'!$F:$F,0,Summary!M$2),'BPC Data'!$E:$E,Summary!$D305,'BPC Data'!$B:$B,Summary!$C305)</f>
        <v>0</v>
      </c>
      <c r="N305" s="54">
        <f ca="1">SUMIFS(OFFSET('BPC Data'!$F:$F,0,Summary!N$2),'BPC Data'!$E:$E,Summary!$D305,'BPC Data'!$B:$B,Summary!$C305)</f>
        <v>0</v>
      </c>
      <c r="O305" s="18">
        <f t="shared" ca="1" si="55"/>
        <v>0</v>
      </c>
    </row>
    <row r="306" spans="1:15" s="11" customFormat="1" hidden="1" outlineLevel="1" x14ac:dyDescent="0.55000000000000004">
      <c r="A306" s="11">
        <f>IF(AND(D306&lt;&gt;"",C306=""),A305+1,A305)</f>
        <v>28</v>
      </c>
      <c r="B306" s="4"/>
      <c r="C306" s="4"/>
      <c r="D306" s="4" t="str">
        <f t="shared" si="57"/>
        <v>x</v>
      </c>
      <c r="E306" s="4"/>
      <c r="F306" s="13">
        <f>INDEX(PropertyList!$D:$D,MATCH(Summary!$A306,PropertyList!$C:$C,0))</f>
        <v>0</v>
      </c>
      <c r="G306" s="59">
        <f ca="1">SUMIFS(OFFSET('BPC Data'!$F:$F,0,Summary!G$2),'BPC Data'!$E:$E,Summary!$D306,'BPC Data'!$B:$B,Summary!$C306)</f>
        <v>0</v>
      </c>
      <c r="H306" s="52">
        <f ca="1">SUMIFS(OFFSET('BPC Data'!$F:$F,0,Summary!H$2),'BPC Data'!$E:$E,Summary!$D306,'BPC Data'!$B:$B,Summary!$C306)</f>
        <v>0</v>
      </c>
      <c r="I306" s="59">
        <f ca="1">SUMIFS(OFFSET('BPC Data'!$F:$F,0,Summary!I$2),'BPC Data'!$E:$E,Summary!$D306,'BPC Data'!$B:$B,Summary!$C306)</f>
        <v>0</v>
      </c>
      <c r="J306" s="52">
        <f ca="1">SUMIFS(OFFSET('BPC Data'!$F:$F,0,Summary!J$2),'BPC Data'!$E:$E,Summary!$D306,'BPC Data'!$B:$B,Summary!$C306)</f>
        <v>0</v>
      </c>
      <c r="K306" s="59">
        <f ca="1">SUMIFS(OFFSET('BPC Data'!$F:$F,0,Summary!K$2),'BPC Data'!$E:$E,Summary!$D306,'BPC Data'!$B:$B,Summary!$C306)</f>
        <v>0</v>
      </c>
      <c r="L306" s="52">
        <f ca="1">SUMIFS(OFFSET('BPC Data'!$F:$F,0,Summary!L$2),'BPC Data'!$E:$E,Summary!$D306,'BPC Data'!$B:$B,Summary!$C306)</f>
        <v>0</v>
      </c>
      <c r="M306" s="59">
        <f ca="1">SUMIFS(OFFSET('BPC Data'!$F:$F,0,Summary!M$2),'BPC Data'!$E:$E,Summary!$D306,'BPC Data'!$B:$B,Summary!$C306)</f>
        <v>0</v>
      </c>
      <c r="N306" s="52">
        <f ca="1">SUMIFS(OFFSET('BPC Data'!$F:$F,0,Summary!N$2),'BPC Data'!$E:$E,Summary!$D306,'BPC Data'!$B:$B,Summary!$C306)</f>
        <v>0</v>
      </c>
      <c r="O306" s="18">
        <f t="shared" ca="1" si="55"/>
        <v>0</v>
      </c>
    </row>
    <row r="307" spans="1:15" s="11" customFormat="1" hidden="1" outlineLevel="1" x14ac:dyDescent="0.55000000000000004">
      <c r="A307" s="11">
        <f>IF(AND(F307&lt;&gt;"",D307=""),A306+1,A306)</f>
        <v>28</v>
      </c>
      <c r="C307">
        <f>$F306</f>
        <v>0</v>
      </c>
      <c r="D307" s="3" t="str">
        <f t="shared" si="57"/>
        <v>PAY_PAT_DAYS - Total Payor Patient Days</v>
      </c>
      <c r="F307" s="14" t="str">
        <f>_xll.EVDES(D307)</f>
        <v>Total Payor Patient Days</v>
      </c>
      <c r="G307" s="60">
        <f ca="1">SUMIFS(OFFSET('BPC Data'!$F:$F,0,Summary!G$2),'BPC Data'!$E:$E,Summary!$D307,'BPC Data'!$B:$B,Summary!$C307)</f>
        <v>0</v>
      </c>
      <c r="H307" s="53">
        <f ca="1">SUMIFS(OFFSET('BPC Data'!$F:$F,0,Summary!H$2),'BPC Data'!$E:$E,Summary!$D307,'BPC Data'!$B:$B,Summary!$C307)</f>
        <v>0</v>
      </c>
      <c r="I307" s="60">
        <f ca="1">SUMIFS(OFFSET('BPC Data'!$F:$F,0,Summary!I$2),'BPC Data'!$E:$E,Summary!$D307,'BPC Data'!$B:$B,Summary!$C307)</f>
        <v>0</v>
      </c>
      <c r="J307" s="53">
        <f ca="1">SUMIFS(OFFSET('BPC Data'!$F:$F,0,Summary!J$2),'BPC Data'!$E:$E,Summary!$D307,'BPC Data'!$B:$B,Summary!$C307)</f>
        <v>0</v>
      </c>
      <c r="K307" s="60">
        <f ca="1">SUMIFS(OFFSET('BPC Data'!$F:$F,0,Summary!K$2),'BPC Data'!$E:$E,Summary!$D307,'BPC Data'!$B:$B,Summary!$C307)</f>
        <v>0</v>
      </c>
      <c r="L307" s="53">
        <f ca="1">SUMIFS(OFFSET('BPC Data'!$F:$F,0,Summary!L$2),'BPC Data'!$E:$E,Summary!$D307,'BPC Data'!$B:$B,Summary!$C307)</f>
        <v>0</v>
      </c>
      <c r="M307" s="60">
        <f ca="1">SUMIFS(OFFSET('BPC Data'!$F:$F,0,Summary!M$2),'BPC Data'!$E:$E,Summary!$D307,'BPC Data'!$B:$B,Summary!$C307)</f>
        <v>0</v>
      </c>
      <c r="N307" s="53">
        <f ca="1">SUMIFS(OFFSET('BPC Data'!$F:$F,0,Summary!N$2),'BPC Data'!$E:$E,Summary!$D307,'BPC Data'!$B:$B,Summary!$C307)</f>
        <v>0</v>
      </c>
      <c r="O307" s="18">
        <f t="shared" ca="1" si="55"/>
        <v>0</v>
      </c>
    </row>
    <row r="308" spans="1:15" s="11" customFormat="1" hidden="1" outlineLevel="1" x14ac:dyDescent="0.55000000000000004">
      <c r="A308" s="11">
        <f t="shared" ref="A308:A316" si="60">IF(AND(F308&lt;&gt;"",D308=""),A307+1,A307)</f>
        <v>28</v>
      </c>
      <c r="C308">
        <f>$F306</f>
        <v>0</v>
      </c>
      <c r="D308" s="3" t="str">
        <f t="shared" si="57"/>
        <v>A_BEDS_TOTAL - Total Available Beds</v>
      </c>
      <c r="F308" s="14" t="str">
        <f>_xll.EVDES(D308)</f>
        <v>Total Available Beds</v>
      </c>
      <c r="G308" s="60">
        <f ca="1">SUMIFS(OFFSET('BPC Data'!$F:$F,0,Summary!G$2),'BPC Data'!$E:$E,Summary!$D308,'BPC Data'!$B:$B,Summary!$C308)</f>
        <v>0</v>
      </c>
      <c r="H308" s="53">
        <f ca="1">SUMIFS(OFFSET('BPC Data'!$F:$F,0,Summary!H$2),'BPC Data'!$E:$E,Summary!$D308,'BPC Data'!$B:$B,Summary!$C308)</f>
        <v>0</v>
      </c>
      <c r="I308" s="60">
        <f ca="1">SUMIFS(OFFSET('BPC Data'!$F:$F,0,Summary!I$2),'BPC Data'!$E:$E,Summary!$D308,'BPC Data'!$B:$B,Summary!$C308)</f>
        <v>0</v>
      </c>
      <c r="J308" s="53">
        <f ca="1">SUMIFS(OFFSET('BPC Data'!$F:$F,0,Summary!J$2),'BPC Data'!$E:$E,Summary!$D308,'BPC Data'!$B:$B,Summary!$C308)</f>
        <v>0</v>
      </c>
      <c r="K308" s="60">
        <f ca="1">SUMIFS(OFFSET('BPC Data'!$F:$F,0,Summary!K$2),'BPC Data'!$E:$E,Summary!$D308,'BPC Data'!$B:$B,Summary!$C308)</f>
        <v>0</v>
      </c>
      <c r="L308" s="53">
        <f ca="1">SUMIFS(OFFSET('BPC Data'!$F:$F,0,Summary!L$2),'BPC Data'!$E:$E,Summary!$D308,'BPC Data'!$B:$B,Summary!$C308)</f>
        <v>0</v>
      </c>
      <c r="M308" s="60">
        <f ca="1">SUMIFS(OFFSET('BPC Data'!$F:$F,0,Summary!M$2),'BPC Data'!$E:$E,Summary!$D308,'BPC Data'!$B:$B,Summary!$C308)</f>
        <v>0</v>
      </c>
      <c r="N308" s="53">
        <f ca="1">SUMIFS(OFFSET('BPC Data'!$F:$F,0,Summary!N$2),'BPC Data'!$E:$E,Summary!$D308,'BPC Data'!$B:$B,Summary!$C308)</f>
        <v>0</v>
      </c>
      <c r="O308" s="18">
        <f t="shared" ca="1" si="55"/>
        <v>0</v>
      </c>
    </row>
    <row r="309" spans="1:15" s="11" customFormat="1" hidden="1" outlineLevel="1" x14ac:dyDescent="0.55000000000000004">
      <c r="A309" s="11">
        <f t="shared" si="60"/>
        <v>28</v>
      </c>
      <c r="B309"/>
      <c r="C309">
        <f>$F306</f>
        <v>0</v>
      </c>
      <c r="D309" s="3" t="str">
        <f t="shared" si="57"/>
        <v>T_REVENUES - Total Tenant Revenues</v>
      </c>
      <c r="E309"/>
      <c r="F309" s="14" t="str">
        <f>_xll.EVDES(D309)</f>
        <v>Total Tenant Revenues</v>
      </c>
      <c r="G309" s="60">
        <f ca="1">SUMIFS(OFFSET('BPC Data'!$F:$F,0,Summary!G$2),'BPC Data'!$E:$E,Summary!$D309,'BPC Data'!$B:$B,Summary!$C309)</f>
        <v>0</v>
      </c>
      <c r="H309" s="53">
        <f ca="1">SUMIFS(OFFSET('BPC Data'!$F:$F,0,Summary!H$2),'BPC Data'!$E:$E,Summary!$D309,'BPC Data'!$B:$B,Summary!$C309)</f>
        <v>0</v>
      </c>
      <c r="I309" s="60">
        <f ca="1">SUMIFS(OFFSET('BPC Data'!$F:$F,0,Summary!I$2),'BPC Data'!$E:$E,Summary!$D309,'BPC Data'!$B:$B,Summary!$C309)</f>
        <v>0</v>
      </c>
      <c r="J309" s="53">
        <f ca="1">SUMIFS(OFFSET('BPC Data'!$F:$F,0,Summary!J$2),'BPC Data'!$E:$E,Summary!$D309,'BPC Data'!$B:$B,Summary!$C309)</f>
        <v>0</v>
      </c>
      <c r="K309" s="60">
        <f ca="1">SUMIFS(OFFSET('BPC Data'!$F:$F,0,Summary!K$2),'BPC Data'!$E:$E,Summary!$D309,'BPC Data'!$B:$B,Summary!$C309)</f>
        <v>0</v>
      </c>
      <c r="L309" s="53">
        <f ca="1">SUMIFS(OFFSET('BPC Data'!$F:$F,0,Summary!L$2),'BPC Data'!$E:$E,Summary!$D309,'BPC Data'!$B:$B,Summary!$C309)</f>
        <v>0</v>
      </c>
      <c r="M309" s="60">
        <f ca="1">SUMIFS(OFFSET('BPC Data'!$F:$F,0,Summary!M$2),'BPC Data'!$E:$E,Summary!$D309,'BPC Data'!$B:$B,Summary!$C309)</f>
        <v>0</v>
      </c>
      <c r="N309" s="53">
        <f ca="1">SUMIFS(OFFSET('BPC Data'!$F:$F,0,Summary!N$2),'BPC Data'!$E:$E,Summary!$D309,'BPC Data'!$B:$B,Summary!$C309)</f>
        <v>0</v>
      </c>
      <c r="O309" s="18">
        <f t="shared" ca="1" si="55"/>
        <v>0</v>
      </c>
    </row>
    <row r="310" spans="1:15" s="11" customFormat="1" hidden="1" outlineLevel="1" x14ac:dyDescent="0.55000000000000004">
      <c r="A310" s="11">
        <f t="shared" si="60"/>
        <v>28</v>
      </c>
      <c r="B310"/>
      <c r="C310">
        <f>$F306</f>
        <v>0</v>
      </c>
      <c r="D310" s="3" t="str">
        <f t="shared" si="57"/>
        <v>T_OPEX - Tenant Operating Expenses</v>
      </c>
      <c r="E310"/>
      <c r="F310" s="14" t="str">
        <f>_xll.EVDES(D310)</f>
        <v>Tenant Operating Expenses</v>
      </c>
      <c r="G310" s="60">
        <f ca="1">SUMIFS(OFFSET('BPC Data'!$F:$F,0,Summary!G$2),'BPC Data'!$E:$E,Summary!$D310,'BPC Data'!$B:$B,Summary!$C310)</f>
        <v>0</v>
      </c>
      <c r="H310" s="53">
        <f ca="1">SUMIFS(OFFSET('BPC Data'!$F:$F,0,Summary!H$2),'BPC Data'!$E:$E,Summary!$D310,'BPC Data'!$B:$B,Summary!$C310)</f>
        <v>0</v>
      </c>
      <c r="I310" s="60">
        <f ca="1">SUMIFS(OFFSET('BPC Data'!$F:$F,0,Summary!I$2),'BPC Data'!$E:$E,Summary!$D310,'BPC Data'!$B:$B,Summary!$C310)</f>
        <v>0</v>
      </c>
      <c r="J310" s="53">
        <f ca="1">SUMIFS(OFFSET('BPC Data'!$F:$F,0,Summary!J$2),'BPC Data'!$E:$E,Summary!$D310,'BPC Data'!$B:$B,Summary!$C310)</f>
        <v>0</v>
      </c>
      <c r="K310" s="60">
        <f ca="1">SUMIFS(OFFSET('BPC Data'!$F:$F,0,Summary!K$2),'BPC Data'!$E:$E,Summary!$D310,'BPC Data'!$B:$B,Summary!$C310)</f>
        <v>0</v>
      </c>
      <c r="L310" s="53">
        <f ca="1">SUMIFS(OFFSET('BPC Data'!$F:$F,0,Summary!L$2),'BPC Data'!$E:$E,Summary!$D310,'BPC Data'!$B:$B,Summary!$C310)</f>
        <v>0</v>
      </c>
      <c r="M310" s="60">
        <f ca="1">SUMIFS(OFFSET('BPC Data'!$F:$F,0,Summary!M$2),'BPC Data'!$E:$E,Summary!$D310,'BPC Data'!$B:$B,Summary!$C310)</f>
        <v>0</v>
      </c>
      <c r="N310" s="53">
        <f ca="1">SUMIFS(OFFSET('BPC Data'!$F:$F,0,Summary!N$2),'BPC Data'!$E:$E,Summary!$D310,'BPC Data'!$B:$B,Summary!$C310)</f>
        <v>0</v>
      </c>
      <c r="O310" s="18">
        <f t="shared" ca="1" si="55"/>
        <v>0</v>
      </c>
    </row>
    <row r="311" spans="1:15" s="11" customFormat="1" hidden="1" outlineLevel="1" x14ac:dyDescent="0.55000000000000004">
      <c r="A311" s="11">
        <f t="shared" si="60"/>
        <v>28</v>
      </c>
      <c r="B311"/>
      <c r="C311">
        <f>$F306</f>
        <v>0</v>
      </c>
      <c r="D311" s="3" t="str">
        <f t="shared" si="57"/>
        <v>T_BAD_DEBT - Tenant Bad Debt Expense</v>
      </c>
      <c r="E311"/>
      <c r="F311" s="14" t="str">
        <f>_xll.EVDES(D311)</f>
        <v>Tenant Bad Debt Expense</v>
      </c>
      <c r="G311" s="60">
        <f ca="1">SUMIFS(OFFSET('BPC Data'!$F:$F,0,Summary!G$2),'BPC Data'!$E:$E,Summary!$D311,'BPC Data'!$B:$B,Summary!$C311)</f>
        <v>0</v>
      </c>
      <c r="H311" s="53">
        <f ca="1">SUMIFS(OFFSET('BPC Data'!$F:$F,0,Summary!H$2),'BPC Data'!$E:$E,Summary!$D311,'BPC Data'!$B:$B,Summary!$C311)</f>
        <v>0</v>
      </c>
      <c r="I311" s="60">
        <f ca="1">SUMIFS(OFFSET('BPC Data'!$F:$F,0,Summary!I$2),'BPC Data'!$E:$E,Summary!$D311,'BPC Data'!$B:$B,Summary!$C311)</f>
        <v>0</v>
      </c>
      <c r="J311" s="53">
        <f ca="1">SUMIFS(OFFSET('BPC Data'!$F:$F,0,Summary!J$2),'BPC Data'!$E:$E,Summary!$D311,'BPC Data'!$B:$B,Summary!$C311)</f>
        <v>0</v>
      </c>
      <c r="K311" s="60">
        <f ca="1">SUMIFS(OFFSET('BPC Data'!$F:$F,0,Summary!K$2),'BPC Data'!$E:$E,Summary!$D311,'BPC Data'!$B:$B,Summary!$C311)</f>
        <v>0</v>
      </c>
      <c r="L311" s="53">
        <f ca="1">SUMIFS(OFFSET('BPC Data'!$F:$F,0,Summary!L$2),'BPC Data'!$E:$E,Summary!$D311,'BPC Data'!$B:$B,Summary!$C311)</f>
        <v>0</v>
      </c>
      <c r="M311" s="60">
        <f ca="1">SUMIFS(OFFSET('BPC Data'!$F:$F,0,Summary!M$2),'BPC Data'!$E:$E,Summary!$D311,'BPC Data'!$B:$B,Summary!$C311)</f>
        <v>0</v>
      </c>
      <c r="N311" s="53">
        <f ca="1">SUMIFS(OFFSET('BPC Data'!$F:$F,0,Summary!N$2),'BPC Data'!$E:$E,Summary!$D311,'BPC Data'!$B:$B,Summary!$C311)</f>
        <v>0</v>
      </c>
      <c r="O311" s="18">
        <f t="shared" ca="1" si="55"/>
        <v>0</v>
      </c>
    </row>
    <row r="312" spans="1:15" s="11" customFormat="1" hidden="1" outlineLevel="1" x14ac:dyDescent="0.55000000000000004">
      <c r="A312" s="11">
        <f t="shared" si="60"/>
        <v>28</v>
      </c>
      <c r="B312"/>
      <c r="C312">
        <f>$F306</f>
        <v>0</v>
      </c>
      <c r="D312" s="2" t="str">
        <f t="shared" si="57"/>
        <v>T_EBITDARM - EBITDARM</v>
      </c>
      <c r="E312"/>
      <c r="F312" s="14" t="str">
        <f>_xll.EVDES(D312)</f>
        <v>EBITDARM</v>
      </c>
      <c r="G312" s="60">
        <f ca="1">SUMIFS(OFFSET('BPC Data'!$F:$F,0,Summary!G$2),'BPC Data'!$E:$E,Summary!$D312,'BPC Data'!$B:$B,Summary!$C312)</f>
        <v>0</v>
      </c>
      <c r="H312" s="53">
        <f ca="1">SUMIFS(OFFSET('BPC Data'!$F:$F,0,Summary!H$2),'BPC Data'!$E:$E,Summary!$D312,'BPC Data'!$B:$B,Summary!$C312)</f>
        <v>0</v>
      </c>
      <c r="I312" s="60">
        <f ca="1">SUMIFS(OFFSET('BPC Data'!$F:$F,0,Summary!I$2),'BPC Data'!$E:$E,Summary!$D312,'BPC Data'!$B:$B,Summary!$C312)</f>
        <v>0</v>
      </c>
      <c r="J312" s="53">
        <f ca="1">SUMIFS(OFFSET('BPC Data'!$F:$F,0,Summary!J$2),'BPC Data'!$E:$E,Summary!$D312,'BPC Data'!$B:$B,Summary!$C312)</f>
        <v>0</v>
      </c>
      <c r="K312" s="60">
        <f ca="1">SUMIFS(OFFSET('BPC Data'!$F:$F,0,Summary!K$2),'BPC Data'!$E:$E,Summary!$D312,'BPC Data'!$B:$B,Summary!$C312)</f>
        <v>0</v>
      </c>
      <c r="L312" s="53">
        <f ca="1">SUMIFS(OFFSET('BPC Data'!$F:$F,0,Summary!L$2),'BPC Data'!$E:$E,Summary!$D312,'BPC Data'!$B:$B,Summary!$C312)</f>
        <v>0</v>
      </c>
      <c r="M312" s="60">
        <f ca="1">SUMIFS(OFFSET('BPC Data'!$F:$F,0,Summary!M$2),'BPC Data'!$E:$E,Summary!$D312,'BPC Data'!$B:$B,Summary!$C312)</f>
        <v>0</v>
      </c>
      <c r="N312" s="53">
        <f ca="1">SUMIFS(OFFSET('BPC Data'!$F:$F,0,Summary!N$2),'BPC Data'!$E:$E,Summary!$D312,'BPC Data'!$B:$B,Summary!$C312)</f>
        <v>0</v>
      </c>
      <c r="O312" s="18">
        <f t="shared" ca="1" si="55"/>
        <v>0</v>
      </c>
    </row>
    <row r="313" spans="1:15" s="11" customFormat="1" hidden="1" outlineLevel="1" x14ac:dyDescent="0.55000000000000004">
      <c r="A313" s="11">
        <f t="shared" si="60"/>
        <v>28</v>
      </c>
      <c r="B313"/>
      <c r="C313">
        <f>$F306</f>
        <v>0</v>
      </c>
      <c r="D313" s="2" t="str">
        <f t="shared" si="57"/>
        <v>T_MGMT_FEE - Tenant Management Fee - Actual</v>
      </c>
      <c r="E313"/>
      <c r="F313" s="14" t="str">
        <f>_xll.EVDES(D313)</f>
        <v>Tenant Management Fee - Actual</v>
      </c>
      <c r="G313" s="60">
        <f ca="1">SUMIFS(OFFSET('BPC Data'!$F:$F,0,Summary!G$2),'BPC Data'!$E:$E,Summary!$D313,'BPC Data'!$B:$B,Summary!$C313)</f>
        <v>0</v>
      </c>
      <c r="H313" s="53">
        <f ca="1">SUMIFS(OFFSET('BPC Data'!$F:$F,0,Summary!H$2),'BPC Data'!$E:$E,Summary!$D313,'BPC Data'!$B:$B,Summary!$C313)</f>
        <v>0</v>
      </c>
      <c r="I313" s="60">
        <f ca="1">SUMIFS(OFFSET('BPC Data'!$F:$F,0,Summary!I$2),'BPC Data'!$E:$E,Summary!$D313,'BPC Data'!$B:$B,Summary!$C313)</f>
        <v>0</v>
      </c>
      <c r="J313" s="53">
        <f ca="1">SUMIFS(OFFSET('BPC Data'!$F:$F,0,Summary!J$2),'BPC Data'!$E:$E,Summary!$D313,'BPC Data'!$B:$B,Summary!$C313)</f>
        <v>0</v>
      </c>
      <c r="K313" s="60">
        <f ca="1">SUMIFS(OFFSET('BPC Data'!$F:$F,0,Summary!K$2),'BPC Data'!$E:$E,Summary!$D313,'BPC Data'!$B:$B,Summary!$C313)</f>
        <v>0</v>
      </c>
      <c r="L313" s="53">
        <f ca="1">SUMIFS(OFFSET('BPC Data'!$F:$F,0,Summary!L$2),'BPC Data'!$E:$E,Summary!$D313,'BPC Data'!$B:$B,Summary!$C313)</f>
        <v>0</v>
      </c>
      <c r="M313" s="60">
        <f ca="1">SUMIFS(OFFSET('BPC Data'!$F:$F,0,Summary!M$2),'BPC Data'!$E:$E,Summary!$D313,'BPC Data'!$B:$B,Summary!$C313)</f>
        <v>0</v>
      </c>
      <c r="N313" s="53">
        <f ca="1">SUMIFS(OFFSET('BPC Data'!$F:$F,0,Summary!N$2),'BPC Data'!$E:$E,Summary!$D313,'BPC Data'!$B:$B,Summary!$C313)</f>
        <v>0</v>
      </c>
      <c r="O313" s="18">
        <f t="shared" ca="1" si="55"/>
        <v>0</v>
      </c>
    </row>
    <row r="314" spans="1:15" s="11" customFormat="1" hidden="1" outlineLevel="1" x14ac:dyDescent="0.55000000000000004">
      <c r="A314" s="11">
        <f t="shared" si="60"/>
        <v>28</v>
      </c>
      <c r="B314"/>
      <c r="C314">
        <f>$F306</f>
        <v>0</v>
      </c>
      <c r="D314" s="1" t="str">
        <f t="shared" si="57"/>
        <v>T_EBITDAR - EBITDAR</v>
      </c>
      <c r="E314"/>
      <c r="F314" s="14" t="str">
        <f>_xll.EVDES(D314)</f>
        <v>EBITDAR</v>
      </c>
      <c r="G314" s="60">
        <f ca="1">SUMIFS(OFFSET('BPC Data'!$F:$F,0,Summary!G$2),'BPC Data'!$E:$E,Summary!$D314,'BPC Data'!$B:$B,Summary!$C314)</f>
        <v>0</v>
      </c>
      <c r="H314" s="53">
        <f ca="1">SUMIFS(OFFSET('BPC Data'!$F:$F,0,Summary!H$2),'BPC Data'!$E:$E,Summary!$D314,'BPC Data'!$B:$B,Summary!$C314)</f>
        <v>0</v>
      </c>
      <c r="I314" s="60">
        <f ca="1">SUMIFS(OFFSET('BPC Data'!$F:$F,0,Summary!I$2),'BPC Data'!$E:$E,Summary!$D314,'BPC Data'!$B:$B,Summary!$C314)</f>
        <v>0</v>
      </c>
      <c r="J314" s="53">
        <f ca="1">SUMIFS(OFFSET('BPC Data'!$F:$F,0,Summary!J$2),'BPC Data'!$E:$E,Summary!$D314,'BPC Data'!$B:$B,Summary!$C314)</f>
        <v>0</v>
      </c>
      <c r="K314" s="60">
        <f ca="1">SUMIFS(OFFSET('BPC Data'!$F:$F,0,Summary!K$2),'BPC Data'!$E:$E,Summary!$D314,'BPC Data'!$B:$B,Summary!$C314)</f>
        <v>0</v>
      </c>
      <c r="L314" s="53">
        <f ca="1">SUMIFS(OFFSET('BPC Data'!$F:$F,0,Summary!L$2),'BPC Data'!$E:$E,Summary!$D314,'BPC Data'!$B:$B,Summary!$C314)</f>
        <v>0</v>
      </c>
      <c r="M314" s="60">
        <f ca="1">SUMIFS(OFFSET('BPC Data'!$F:$F,0,Summary!M$2),'BPC Data'!$E:$E,Summary!$D314,'BPC Data'!$B:$B,Summary!$C314)</f>
        <v>0</v>
      </c>
      <c r="N314" s="53">
        <f ca="1">SUMIFS(OFFSET('BPC Data'!$F:$F,0,Summary!N$2),'BPC Data'!$E:$E,Summary!$D314,'BPC Data'!$B:$B,Summary!$C314)</f>
        <v>0</v>
      </c>
      <c r="O314" s="18">
        <f t="shared" ca="1" si="55"/>
        <v>0</v>
      </c>
    </row>
    <row r="315" spans="1:15" s="11" customFormat="1" hidden="1" outlineLevel="1" x14ac:dyDescent="0.55000000000000004">
      <c r="A315" s="11">
        <f t="shared" si="60"/>
        <v>28</v>
      </c>
      <c r="B315"/>
      <c r="C315">
        <f>$F306</f>
        <v>0</v>
      </c>
      <c r="D315" s="1" t="str">
        <f t="shared" si="57"/>
        <v>T_RENT_EXP - Tenant Rent Expense</v>
      </c>
      <c r="E315"/>
      <c r="F315" s="14" t="str">
        <f>_xll.EVDES(D315)</f>
        <v>Tenant Rent Expense</v>
      </c>
      <c r="G315" s="60">
        <f ca="1">SUMIFS(OFFSET('BPC Data'!$F:$F,0,Summary!G$2),'BPC Data'!$E:$E,Summary!$D315,'BPC Data'!$B:$B,Summary!$C315)</f>
        <v>0</v>
      </c>
      <c r="H315" s="53">
        <f ca="1">SUMIFS(OFFSET('BPC Data'!$F:$F,0,Summary!H$2),'BPC Data'!$E:$E,Summary!$D315,'BPC Data'!$B:$B,Summary!$C315)</f>
        <v>0</v>
      </c>
      <c r="I315" s="60">
        <f ca="1">SUMIFS(OFFSET('BPC Data'!$F:$F,0,Summary!I$2),'BPC Data'!$E:$E,Summary!$D315,'BPC Data'!$B:$B,Summary!$C315)</f>
        <v>0</v>
      </c>
      <c r="J315" s="53">
        <f ca="1">SUMIFS(OFFSET('BPC Data'!$F:$F,0,Summary!J$2),'BPC Data'!$E:$E,Summary!$D315,'BPC Data'!$B:$B,Summary!$C315)</f>
        <v>0</v>
      </c>
      <c r="K315" s="60">
        <f ca="1">SUMIFS(OFFSET('BPC Data'!$F:$F,0,Summary!K$2),'BPC Data'!$E:$E,Summary!$D315,'BPC Data'!$B:$B,Summary!$C315)</f>
        <v>0</v>
      </c>
      <c r="L315" s="53">
        <f ca="1">SUMIFS(OFFSET('BPC Data'!$F:$F,0,Summary!L$2),'BPC Data'!$E:$E,Summary!$D315,'BPC Data'!$B:$B,Summary!$C315)</f>
        <v>0</v>
      </c>
      <c r="M315" s="60">
        <f ca="1">SUMIFS(OFFSET('BPC Data'!$F:$F,0,Summary!M$2),'BPC Data'!$E:$E,Summary!$D315,'BPC Data'!$B:$B,Summary!$C315)</f>
        <v>0</v>
      </c>
      <c r="N315" s="53">
        <f ca="1">SUMIFS(OFFSET('BPC Data'!$F:$F,0,Summary!N$2),'BPC Data'!$E:$E,Summary!$D315,'BPC Data'!$B:$B,Summary!$C315)</f>
        <v>0</v>
      </c>
      <c r="O315" s="18">
        <f t="shared" ca="1" si="55"/>
        <v>0</v>
      </c>
    </row>
    <row r="316" spans="1:15" s="11" customFormat="1" hidden="1" outlineLevel="1" x14ac:dyDescent="0.55000000000000004">
      <c r="A316" s="11">
        <f t="shared" si="60"/>
        <v>28</v>
      </c>
      <c r="B316"/>
      <c r="C316"/>
      <c r="D316" s="1" t="str">
        <f t="shared" si="57"/>
        <v>x</v>
      </c>
      <c r="E316"/>
      <c r="F316" s="14" t="s">
        <v>0</v>
      </c>
      <c r="G316" s="61">
        <f ca="1">SUMIFS(OFFSET('BPC Data'!$F:$F,0,Summary!G$2),'BPC Data'!$E:$E,Summary!$D316,'BPC Data'!$B:$B,Summary!$C316)</f>
        <v>0</v>
      </c>
      <c r="H316" s="54">
        <f ca="1">SUMIFS(OFFSET('BPC Data'!$F:$F,0,Summary!H$2),'BPC Data'!$E:$E,Summary!$D316,'BPC Data'!$B:$B,Summary!$C316)</f>
        <v>0</v>
      </c>
      <c r="I316" s="61">
        <f ca="1">SUMIFS(OFFSET('BPC Data'!$F:$F,0,Summary!I$2),'BPC Data'!$E:$E,Summary!$D316,'BPC Data'!$B:$B,Summary!$C316)</f>
        <v>0</v>
      </c>
      <c r="J316" s="54">
        <f ca="1">SUMIFS(OFFSET('BPC Data'!$F:$F,0,Summary!J$2),'BPC Data'!$E:$E,Summary!$D316,'BPC Data'!$B:$B,Summary!$C316)</f>
        <v>0</v>
      </c>
      <c r="K316" s="61">
        <f ca="1">SUMIFS(OFFSET('BPC Data'!$F:$F,0,Summary!K$2),'BPC Data'!$E:$E,Summary!$D316,'BPC Data'!$B:$B,Summary!$C316)</f>
        <v>0</v>
      </c>
      <c r="L316" s="54">
        <f ca="1">SUMIFS(OFFSET('BPC Data'!$F:$F,0,Summary!L$2),'BPC Data'!$E:$E,Summary!$D316,'BPC Data'!$B:$B,Summary!$C316)</f>
        <v>0</v>
      </c>
      <c r="M316" s="61">
        <f ca="1">SUMIFS(OFFSET('BPC Data'!$F:$F,0,Summary!M$2),'BPC Data'!$E:$E,Summary!$D316,'BPC Data'!$B:$B,Summary!$C316)</f>
        <v>0</v>
      </c>
      <c r="N316" s="54">
        <f ca="1">SUMIFS(OFFSET('BPC Data'!$F:$F,0,Summary!N$2),'BPC Data'!$E:$E,Summary!$D316,'BPC Data'!$B:$B,Summary!$C316)</f>
        <v>0</v>
      </c>
      <c r="O316" s="18">
        <f t="shared" ca="1" si="55"/>
        <v>0</v>
      </c>
    </row>
    <row r="317" spans="1:15" s="11" customFormat="1" hidden="1" outlineLevel="1" x14ac:dyDescent="0.55000000000000004">
      <c r="A317" s="11">
        <f>IF(AND(D317&lt;&gt;"",C317=""),A316+1,A316)</f>
        <v>29</v>
      </c>
      <c r="B317" s="4"/>
      <c r="C317" s="4"/>
      <c r="D317" s="4" t="str">
        <f t="shared" si="57"/>
        <v>x</v>
      </c>
      <c r="E317" s="4"/>
      <c r="F317" s="13">
        <f>INDEX(PropertyList!$D:$D,MATCH(Summary!$A317,PropertyList!$C:$C,0))</f>
        <v>0</v>
      </c>
      <c r="G317" s="59">
        <f ca="1">SUMIFS(OFFSET('BPC Data'!$F:$F,0,Summary!G$2),'BPC Data'!$E:$E,Summary!$D317,'BPC Data'!$B:$B,Summary!$C317)</f>
        <v>0</v>
      </c>
      <c r="H317" s="52">
        <f ca="1">SUMIFS(OFFSET('BPC Data'!$F:$F,0,Summary!H$2),'BPC Data'!$E:$E,Summary!$D317,'BPC Data'!$B:$B,Summary!$C317)</f>
        <v>0</v>
      </c>
      <c r="I317" s="59">
        <f ca="1">SUMIFS(OFFSET('BPC Data'!$F:$F,0,Summary!I$2),'BPC Data'!$E:$E,Summary!$D317,'BPC Data'!$B:$B,Summary!$C317)</f>
        <v>0</v>
      </c>
      <c r="J317" s="52">
        <f ca="1">SUMIFS(OFFSET('BPC Data'!$F:$F,0,Summary!J$2),'BPC Data'!$E:$E,Summary!$D317,'BPC Data'!$B:$B,Summary!$C317)</f>
        <v>0</v>
      </c>
      <c r="K317" s="59">
        <f ca="1">SUMIFS(OFFSET('BPC Data'!$F:$F,0,Summary!K$2),'BPC Data'!$E:$E,Summary!$D317,'BPC Data'!$B:$B,Summary!$C317)</f>
        <v>0</v>
      </c>
      <c r="L317" s="52">
        <f ca="1">SUMIFS(OFFSET('BPC Data'!$F:$F,0,Summary!L$2),'BPC Data'!$E:$E,Summary!$D317,'BPC Data'!$B:$B,Summary!$C317)</f>
        <v>0</v>
      </c>
      <c r="M317" s="59">
        <f ca="1">SUMIFS(OFFSET('BPC Data'!$F:$F,0,Summary!M$2),'BPC Data'!$E:$E,Summary!$D317,'BPC Data'!$B:$B,Summary!$C317)</f>
        <v>0</v>
      </c>
      <c r="N317" s="52">
        <f ca="1">SUMIFS(OFFSET('BPC Data'!$F:$F,0,Summary!N$2),'BPC Data'!$E:$E,Summary!$D317,'BPC Data'!$B:$B,Summary!$C317)</f>
        <v>0</v>
      </c>
      <c r="O317" s="18">
        <f t="shared" ca="1" si="55"/>
        <v>0</v>
      </c>
    </row>
    <row r="318" spans="1:15" s="11" customFormat="1" hidden="1" outlineLevel="1" x14ac:dyDescent="0.55000000000000004">
      <c r="A318" s="11">
        <f>IF(AND(F318&lt;&gt;"",D318=""),A317+1,A317)</f>
        <v>29</v>
      </c>
      <c r="C318">
        <f>$F317</f>
        <v>0</v>
      </c>
      <c r="D318" s="3" t="str">
        <f t="shared" si="57"/>
        <v>PAY_PAT_DAYS - Total Payor Patient Days</v>
      </c>
      <c r="F318" s="14" t="str">
        <f>_xll.EVDES(D318)</f>
        <v>Total Payor Patient Days</v>
      </c>
      <c r="G318" s="60">
        <f ca="1">SUMIFS(OFFSET('BPC Data'!$F:$F,0,Summary!G$2),'BPC Data'!$E:$E,Summary!$D318,'BPC Data'!$B:$B,Summary!$C318)</f>
        <v>0</v>
      </c>
      <c r="H318" s="53">
        <f ca="1">SUMIFS(OFFSET('BPC Data'!$F:$F,0,Summary!H$2),'BPC Data'!$E:$E,Summary!$D318,'BPC Data'!$B:$B,Summary!$C318)</f>
        <v>0</v>
      </c>
      <c r="I318" s="60">
        <f ca="1">SUMIFS(OFFSET('BPC Data'!$F:$F,0,Summary!I$2),'BPC Data'!$E:$E,Summary!$D318,'BPC Data'!$B:$B,Summary!$C318)</f>
        <v>0</v>
      </c>
      <c r="J318" s="53">
        <f ca="1">SUMIFS(OFFSET('BPC Data'!$F:$F,0,Summary!J$2),'BPC Data'!$E:$E,Summary!$D318,'BPC Data'!$B:$B,Summary!$C318)</f>
        <v>0</v>
      </c>
      <c r="K318" s="60">
        <f ca="1">SUMIFS(OFFSET('BPC Data'!$F:$F,0,Summary!K$2),'BPC Data'!$E:$E,Summary!$D318,'BPC Data'!$B:$B,Summary!$C318)</f>
        <v>0</v>
      </c>
      <c r="L318" s="53">
        <f ca="1">SUMIFS(OFFSET('BPC Data'!$F:$F,0,Summary!L$2),'BPC Data'!$E:$E,Summary!$D318,'BPC Data'!$B:$B,Summary!$C318)</f>
        <v>0</v>
      </c>
      <c r="M318" s="60">
        <f ca="1">SUMIFS(OFFSET('BPC Data'!$F:$F,0,Summary!M$2),'BPC Data'!$E:$E,Summary!$D318,'BPC Data'!$B:$B,Summary!$C318)</f>
        <v>0</v>
      </c>
      <c r="N318" s="53">
        <f ca="1">SUMIFS(OFFSET('BPC Data'!$F:$F,0,Summary!N$2),'BPC Data'!$E:$E,Summary!$D318,'BPC Data'!$B:$B,Summary!$C318)</f>
        <v>0</v>
      </c>
      <c r="O318" s="18">
        <f t="shared" ca="1" si="55"/>
        <v>0</v>
      </c>
    </row>
    <row r="319" spans="1:15" s="11" customFormat="1" hidden="1" outlineLevel="1" x14ac:dyDescent="0.55000000000000004">
      <c r="A319" s="11">
        <f t="shared" ref="A319:A327" si="61">IF(AND(F319&lt;&gt;"",D319=""),A318+1,A318)</f>
        <v>29</v>
      </c>
      <c r="C319">
        <f>$F317</f>
        <v>0</v>
      </c>
      <c r="D319" s="3" t="str">
        <f t="shared" si="57"/>
        <v>A_BEDS_TOTAL - Total Available Beds</v>
      </c>
      <c r="F319" s="14" t="str">
        <f>_xll.EVDES(D319)</f>
        <v>Total Available Beds</v>
      </c>
      <c r="G319" s="60">
        <f ca="1">SUMIFS(OFFSET('BPC Data'!$F:$F,0,Summary!G$2),'BPC Data'!$E:$E,Summary!$D319,'BPC Data'!$B:$B,Summary!$C319)</f>
        <v>0</v>
      </c>
      <c r="H319" s="53">
        <f ca="1">SUMIFS(OFFSET('BPC Data'!$F:$F,0,Summary!H$2),'BPC Data'!$E:$E,Summary!$D319,'BPC Data'!$B:$B,Summary!$C319)</f>
        <v>0</v>
      </c>
      <c r="I319" s="60">
        <f ca="1">SUMIFS(OFFSET('BPC Data'!$F:$F,0,Summary!I$2),'BPC Data'!$E:$E,Summary!$D319,'BPC Data'!$B:$B,Summary!$C319)</f>
        <v>0</v>
      </c>
      <c r="J319" s="53">
        <f ca="1">SUMIFS(OFFSET('BPC Data'!$F:$F,0,Summary!J$2),'BPC Data'!$E:$E,Summary!$D319,'BPC Data'!$B:$B,Summary!$C319)</f>
        <v>0</v>
      </c>
      <c r="K319" s="60">
        <f ca="1">SUMIFS(OFFSET('BPC Data'!$F:$F,0,Summary!K$2),'BPC Data'!$E:$E,Summary!$D319,'BPC Data'!$B:$B,Summary!$C319)</f>
        <v>0</v>
      </c>
      <c r="L319" s="53">
        <f ca="1">SUMIFS(OFFSET('BPC Data'!$F:$F,0,Summary!L$2),'BPC Data'!$E:$E,Summary!$D319,'BPC Data'!$B:$B,Summary!$C319)</f>
        <v>0</v>
      </c>
      <c r="M319" s="60">
        <f ca="1">SUMIFS(OFFSET('BPC Data'!$F:$F,0,Summary!M$2),'BPC Data'!$E:$E,Summary!$D319,'BPC Data'!$B:$B,Summary!$C319)</f>
        <v>0</v>
      </c>
      <c r="N319" s="53">
        <f ca="1">SUMIFS(OFFSET('BPC Data'!$F:$F,0,Summary!N$2),'BPC Data'!$E:$E,Summary!$D319,'BPC Data'!$B:$B,Summary!$C319)</f>
        <v>0</v>
      </c>
      <c r="O319" s="18">
        <f t="shared" ca="1" si="55"/>
        <v>0</v>
      </c>
    </row>
    <row r="320" spans="1:15" s="11" customFormat="1" hidden="1" outlineLevel="1" x14ac:dyDescent="0.55000000000000004">
      <c r="A320" s="11">
        <f t="shared" si="61"/>
        <v>29</v>
      </c>
      <c r="B320"/>
      <c r="C320">
        <f>$F317</f>
        <v>0</v>
      </c>
      <c r="D320" s="3" t="str">
        <f t="shared" si="57"/>
        <v>T_REVENUES - Total Tenant Revenues</v>
      </c>
      <c r="E320"/>
      <c r="F320" s="14" t="str">
        <f>_xll.EVDES(D320)</f>
        <v>Total Tenant Revenues</v>
      </c>
      <c r="G320" s="60">
        <f ca="1">SUMIFS(OFFSET('BPC Data'!$F:$F,0,Summary!G$2),'BPC Data'!$E:$E,Summary!$D320,'BPC Data'!$B:$B,Summary!$C320)</f>
        <v>0</v>
      </c>
      <c r="H320" s="53">
        <f ca="1">SUMIFS(OFFSET('BPC Data'!$F:$F,0,Summary!H$2),'BPC Data'!$E:$E,Summary!$D320,'BPC Data'!$B:$B,Summary!$C320)</f>
        <v>0</v>
      </c>
      <c r="I320" s="60">
        <f ca="1">SUMIFS(OFFSET('BPC Data'!$F:$F,0,Summary!I$2),'BPC Data'!$E:$E,Summary!$D320,'BPC Data'!$B:$B,Summary!$C320)</f>
        <v>0</v>
      </c>
      <c r="J320" s="53">
        <f ca="1">SUMIFS(OFFSET('BPC Data'!$F:$F,0,Summary!J$2),'BPC Data'!$E:$E,Summary!$D320,'BPC Data'!$B:$B,Summary!$C320)</f>
        <v>0</v>
      </c>
      <c r="K320" s="60">
        <f ca="1">SUMIFS(OFFSET('BPC Data'!$F:$F,0,Summary!K$2),'BPC Data'!$E:$E,Summary!$D320,'BPC Data'!$B:$B,Summary!$C320)</f>
        <v>0</v>
      </c>
      <c r="L320" s="53">
        <f ca="1">SUMIFS(OFFSET('BPC Data'!$F:$F,0,Summary!L$2),'BPC Data'!$E:$E,Summary!$D320,'BPC Data'!$B:$B,Summary!$C320)</f>
        <v>0</v>
      </c>
      <c r="M320" s="60">
        <f ca="1">SUMIFS(OFFSET('BPC Data'!$F:$F,0,Summary!M$2),'BPC Data'!$E:$E,Summary!$D320,'BPC Data'!$B:$B,Summary!$C320)</f>
        <v>0</v>
      </c>
      <c r="N320" s="53">
        <f ca="1">SUMIFS(OFFSET('BPC Data'!$F:$F,0,Summary!N$2),'BPC Data'!$E:$E,Summary!$D320,'BPC Data'!$B:$B,Summary!$C320)</f>
        <v>0</v>
      </c>
      <c r="O320" s="18">
        <f t="shared" ca="1" si="55"/>
        <v>0</v>
      </c>
    </row>
    <row r="321" spans="1:15" s="11" customFormat="1" hidden="1" outlineLevel="1" x14ac:dyDescent="0.55000000000000004">
      <c r="A321" s="11">
        <f t="shared" si="61"/>
        <v>29</v>
      </c>
      <c r="B321"/>
      <c r="C321">
        <f>$F317</f>
        <v>0</v>
      </c>
      <c r="D321" s="3" t="str">
        <f t="shared" si="57"/>
        <v>T_OPEX - Tenant Operating Expenses</v>
      </c>
      <c r="E321"/>
      <c r="F321" s="14" t="str">
        <f>_xll.EVDES(D321)</f>
        <v>Tenant Operating Expenses</v>
      </c>
      <c r="G321" s="60">
        <f ca="1">SUMIFS(OFFSET('BPC Data'!$F:$F,0,Summary!G$2),'BPC Data'!$E:$E,Summary!$D321,'BPC Data'!$B:$B,Summary!$C321)</f>
        <v>0</v>
      </c>
      <c r="H321" s="53">
        <f ca="1">SUMIFS(OFFSET('BPC Data'!$F:$F,0,Summary!H$2),'BPC Data'!$E:$E,Summary!$D321,'BPC Data'!$B:$B,Summary!$C321)</f>
        <v>0</v>
      </c>
      <c r="I321" s="60">
        <f ca="1">SUMIFS(OFFSET('BPC Data'!$F:$F,0,Summary!I$2),'BPC Data'!$E:$E,Summary!$D321,'BPC Data'!$B:$B,Summary!$C321)</f>
        <v>0</v>
      </c>
      <c r="J321" s="53">
        <f ca="1">SUMIFS(OFFSET('BPC Data'!$F:$F,0,Summary!J$2),'BPC Data'!$E:$E,Summary!$D321,'BPC Data'!$B:$B,Summary!$C321)</f>
        <v>0</v>
      </c>
      <c r="K321" s="60">
        <f ca="1">SUMIFS(OFFSET('BPC Data'!$F:$F,0,Summary!K$2),'BPC Data'!$E:$E,Summary!$D321,'BPC Data'!$B:$B,Summary!$C321)</f>
        <v>0</v>
      </c>
      <c r="L321" s="53">
        <f ca="1">SUMIFS(OFFSET('BPC Data'!$F:$F,0,Summary!L$2),'BPC Data'!$E:$E,Summary!$D321,'BPC Data'!$B:$B,Summary!$C321)</f>
        <v>0</v>
      </c>
      <c r="M321" s="60">
        <f ca="1">SUMIFS(OFFSET('BPC Data'!$F:$F,0,Summary!M$2),'BPC Data'!$E:$E,Summary!$D321,'BPC Data'!$B:$B,Summary!$C321)</f>
        <v>0</v>
      </c>
      <c r="N321" s="53">
        <f ca="1">SUMIFS(OFFSET('BPC Data'!$F:$F,0,Summary!N$2),'BPC Data'!$E:$E,Summary!$D321,'BPC Data'!$B:$B,Summary!$C321)</f>
        <v>0</v>
      </c>
      <c r="O321" s="18">
        <f t="shared" ca="1" si="55"/>
        <v>0</v>
      </c>
    </row>
    <row r="322" spans="1:15" s="11" customFormat="1" hidden="1" outlineLevel="1" x14ac:dyDescent="0.55000000000000004">
      <c r="A322" s="11">
        <f t="shared" si="61"/>
        <v>29</v>
      </c>
      <c r="B322"/>
      <c r="C322">
        <f>$F317</f>
        <v>0</v>
      </c>
      <c r="D322" s="3" t="str">
        <f t="shared" si="57"/>
        <v>T_BAD_DEBT - Tenant Bad Debt Expense</v>
      </c>
      <c r="E322"/>
      <c r="F322" s="14" t="str">
        <f>_xll.EVDES(D322)</f>
        <v>Tenant Bad Debt Expense</v>
      </c>
      <c r="G322" s="60">
        <f ca="1">SUMIFS(OFFSET('BPC Data'!$F:$F,0,Summary!G$2),'BPC Data'!$E:$E,Summary!$D322,'BPC Data'!$B:$B,Summary!$C322)</f>
        <v>0</v>
      </c>
      <c r="H322" s="53">
        <f ca="1">SUMIFS(OFFSET('BPC Data'!$F:$F,0,Summary!H$2),'BPC Data'!$E:$E,Summary!$D322,'BPC Data'!$B:$B,Summary!$C322)</f>
        <v>0</v>
      </c>
      <c r="I322" s="60">
        <f ca="1">SUMIFS(OFFSET('BPC Data'!$F:$F,0,Summary!I$2),'BPC Data'!$E:$E,Summary!$D322,'BPC Data'!$B:$B,Summary!$C322)</f>
        <v>0</v>
      </c>
      <c r="J322" s="53">
        <f ca="1">SUMIFS(OFFSET('BPC Data'!$F:$F,0,Summary!J$2),'BPC Data'!$E:$E,Summary!$D322,'BPC Data'!$B:$B,Summary!$C322)</f>
        <v>0</v>
      </c>
      <c r="K322" s="60">
        <f ca="1">SUMIFS(OFFSET('BPC Data'!$F:$F,0,Summary!K$2),'BPC Data'!$E:$E,Summary!$D322,'BPC Data'!$B:$B,Summary!$C322)</f>
        <v>0</v>
      </c>
      <c r="L322" s="53">
        <f ca="1">SUMIFS(OFFSET('BPC Data'!$F:$F,0,Summary!L$2),'BPC Data'!$E:$E,Summary!$D322,'BPC Data'!$B:$B,Summary!$C322)</f>
        <v>0</v>
      </c>
      <c r="M322" s="60">
        <f ca="1">SUMIFS(OFFSET('BPC Data'!$F:$F,0,Summary!M$2),'BPC Data'!$E:$E,Summary!$D322,'BPC Data'!$B:$B,Summary!$C322)</f>
        <v>0</v>
      </c>
      <c r="N322" s="53">
        <f ca="1">SUMIFS(OFFSET('BPC Data'!$F:$F,0,Summary!N$2),'BPC Data'!$E:$E,Summary!$D322,'BPC Data'!$B:$B,Summary!$C322)</f>
        <v>0</v>
      </c>
      <c r="O322" s="18">
        <f t="shared" ca="1" si="55"/>
        <v>0</v>
      </c>
    </row>
    <row r="323" spans="1:15" s="11" customFormat="1" hidden="1" outlineLevel="1" x14ac:dyDescent="0.55000000000000004">
      <c r="A323" s="11">
        <f t="shared" si="61"/>
        <v>29</v>
      </c>
      <c r="B323"/>
      <c r="C323">
        <f>$F317</f>
        <v>0</v>
      </c>
      <c r="D323" s="2" t="str">
        <f t="shared" si="57"/>
        <v>T_EBITDARM - EBITDARM</v>
      </c>
      <c r="E323"/>
      <c r="F323" s="14" t="str">
        <f>_xll.EVDES(D323)</f>
        <v>EBITDARM</v>
      </c>
      <c r="G323" s="60">
        <f ca="1">SUMIFS(OFFSET('BPC Data'!$F:$F,0,Summary!G$2),'BPC Data'!$E:$E,Summary!$D323,'BPC Data'!$B:$B,Summary!$C323)</f>
        <v>0</v>
      </c>
      <c r="H323" s="53">
        <f ca="1">SUMIFS(OFFSET('BPC Data'!$F:$F,0,Summary!H$2),'BPC Data'!$E:$E,Summary!$D323,'BPC Data'!$B:$B,Summary!$C323)</f>
        <v>0</v>
      </c>
      <c r="I323" s="60">
        <f ca="1">SUMIFS(OFFSET('BPC Data'!$F:$F,0,Summary!I$2),'BPC Data'!$E:$E,Summary!$D323,'BPC Data'!$B:$B,Summary!$C323)</f>
        <v>0</v>
      </c>
      <c r="J323" s="53">
        <f ca="1">SUMIFS(OFFSET('BPC Data'!$F:$F,0,Summary!J$2),'BPC Data'!$E:$E,Summary!$D323,'BPC Data'!$B:$B,Summary!$C323)</f>
        <v>0</v>
      </c>
      <c r="K323" s="60">
        <f ca="1">SUMIFS(OFFSET('BPC Data'!$F:$F,0,Summary!K$2),'BPC Data'!$E:$E,Summary!$D323,'BPC Data'!$B:$B,Summary!$C323)</f>
        <v>0</v>
      </c>
      <c r="L323" s="53">
        <f ca="1">SUMIFS(OFFSET('BPC Data'!$F:$F,0,Summary!L$2),'BPC Data'!$E:$E,Summary!$D323,'BPC Data'!$B:$B,Summary!$C323)</f>
        <v>0</v>
      </c>
      <c r="M323" s="60">
        <f ca="1">SUMIFS(OFFSET('BPC Data'!$F:$F,0,Summary!M$2),'BPC Data'!$E:$E,Summary!$D323,'BPC Data'!$B:$B,Summary!$C323)</f>
        <v>0</v>
      </c>
      <c r="N323" s="53">
        <f ca="1">SUMIFS(OFFSET('BPC Data'!$F:$F,0,Summary!N$2),'BPC Data'!$E:$E,Summary!$D323,'BPC Data'!$B:$B,Summary!$C323)</f>
        <v>0</v>
      </c>
      <c r="O323" s="18">
        <f t="shared" ca="1" si="55"/>
        <v>0</v>
      </c>
    </row>
    <row r="324" spans="1:15" s="11" customFormat="1" hidden="1" outlineLevel="1" x14ac:dyDescent="0.55000000000000004">
      <c r="A324" s="11">
        <f t="shared" si="61"/>
        <v>29</v>
      </c>
      <c r="B324"/>
      <c r="C324">
        <f>$F317</f>
        <v>0</v>
      </c>
      <c r="D324" s="2" t="str">
        <f t="shared" si="57"/>
        <v>T_MGMT_FEE - Tenant Management Fee - Actual</v>
      </c>
      <c r="E324"/>
      <c r="F324" s="14" t="str">
        <f>_xll.EVDES(D324)</f>
        <v>Tenant Management Fee - Actual</v>
      </c>
      <c r="G324" s="60">
        <f ca="1">SUMIFS(OFFSET('BPC Data'!$F:$F,0,Summary!G$2),'BPC Data'!$E:$E,Summary!$D324,'BPC Data'!$B:$B,Summary!$C324)</f>
        <v>0</v>
      </c>
      <c r="H324" s="53">
        <f ca="1">SUMIFS(OFFSET('BPC Data'!$F:$F,0,Summary!H$2),'BPC Data'!$E:$E,Summary!$D324,'BPC Data'!$B:$B,Summary!$C324)</f>
        <v>0</v>
      </c>
      <c r="I324" s="60">
        <f ca="1">SUMIFS(OFFSET('BPC Data'!$F:$F,0,Summary!I$2),'BPC Data'!$E:$E,Summary!$D324,'BPC Data'!$B:$B,Summary!$C324)</f>
        <v>0</v>
      </c>
      <c r="J324" s="53">
        <f ca="1">SUMIFS(OFFSET('BPC Data'!$F:$F,0,Summary!J$2),'BPC Data'!$E:$E,Summary!$D324,'BPC Data'!$B:$B,Summary!$C324)</f>
        <v>0</v>
      </c>
      <c r="K324" s="60">
        <f ca="1">SUMIFS(OFFSET('BPC Data'!$F:$F,0,Summary!K$2),'BPC Data'!$E:$E,Summary!$D324,'BPC Data'!$B:$B,Summary!$C324)</f>
        <v>0</v>
      </c>
      <c r="L324" s="53">
        <f ca="1">SUMIFS(OFFSET('BPC Data'!$F:$F,0,Summary!L$2),'BPC Data'!$E:$E,Summary!$D324,'BPC Data'!$B:$B,Summary!$C324)</f>
        <v>0</v>
      </c>
      <c r="M324" s="60">
        <f ca="1">SUMIFS(OFFSET('BPC Data'!$F:$F,0,Summary!M$2),'BPC Data'!$E:$E,Summary!$D324,'BPC Data'!$B:$B,Summary!$C324)</f>
        <v>0</v>
      </c>
      <c r="N324" s="53">
        <f ca="1">SUMIFS(OFFSET('BPC Data'!$F:$F,0,Summary!N$2),'BPC Data'!$E:$E,Summary!$D324,'BPC Data'!$B:$B,Summary!$C324)</f>
        <v>0</v>
      </c>
      <c r="O324" s="18">
        <f t="shared" ca="1" si="55"/>
        <v>0</v>
      </c>
    </row>
    <row r="325" spans="1:15" s="11" customFormat="1" hidden="1" outlineLevel="1" x14ac:dyDescent="0.55000000000000004">
      <c r="A325" s="11">
        <f t="shared" si="61"/>
        <v>29</v>
      </c>
      <c r="B325"/>
      <c r="C325">
        <f>$F317</f>
        <v>0</v>
      </c>
      <c r="D325" s="1" t="str">
        <f t="shared" si="57"/>
        <v>T_EBITDAR - EBITDAR</v>
      </c>
      <c r="E325"/>
      <c r="F325" s="14" t="str">
        <f>_xll.EVDES(D325)</f>
        <v>EBITDAR</v>
      </c>
      <c r="G325" s="60">
        <f ca="1">SUMIFS(OFFSET('BPC Data'!$F:$F,0,Summary!G$2),'BPC Data'!$E:$E,Summary!$D325,'BPC Data'!$B:$B,Summary!$C325)</f>
        <v>0</v>
      </c>
      <c r="H325" s="53">
        <f ca="1">SUMIFS(OFFSET('BPC Data'!$F:$F,0,Summary!H$2),'BPC Data'!$E:$E,Summary!$D325,'BPC Data'!$B:$B,Summary!$C325)</f>
        <v>0</v>
      </c>
      <c r="I325" s="60">
        <f ca="1">SUMIFS(OFFSET('BPC Data'!$F:$F,0,Summary!I$2),'BPC Data'!$E:$E,Summary!$D325,'BPC Data'!$B:$B,Summary!$C325)</f>
        <v>0</v>
      </c>
      <c r="J325" s="53">
        <f ca="1">SUMIFS(OFFSET('BPC Data'!$F:$F,0,Summary!J$2),'BPC Data'!$E:$E,Summary!$D325,'BPC Data'!$B:$B,Summary!$C325)</f>
        <v>0</v>
      </c>
      <c r="K325" s="60">
        <f ca="1">SUMIFS(OFFSET('BPC Data'!$F:$F,0,Summary!K$2),'BPC Data'!$E:$E,Summary!$D325,'BPC Data'!$B:$B,Summary!$C325)</f>
        <v>0</v>
      </c>
      <c r="L325" s="53">
        <f ca="1">SUMIFS(OFFSET('BPC Data'!$F:$F,0,Summary!L$2),'BPC Data'!$E:$E,Summary!$D325,'BPC Data'!$B:$B,Summary!$C325)</f>
        <v>0</v>
      </c>
      <c r="M325" s="60">
        <f ca="1">SUMIFS(OFFSET('BPC Data'!$F:$F,0,Summary!M$2),'BPC Data'!$E:$E,Summary!$D325,'BPC Data'!$B:$B,Summary!$C325)</f>
        <v>0</v>
      </c>
      <c r="N325" s="53">
        <f ca="1">SUMIFS(OFFSET('BPC Data'!$F:$F,0,Summary!N$2),'BPC Data'!$E:$E,Summary!$D325,'BPC Data'!$B:$B,Summary!$C325)</f>
        <v>0</v>
      </c>
      <c r="O325" s="18">
        <f t="shared" ca="1" si="55"/>
        <v>0</v>
      </c>
    </row>
    <row r="326" spans="1:15" s="11" customFormat="1" hidden="1" outlineLevel="1" x14ac:dyDescent="0.55000000000000004">
      <c r="A326" s="11">
        <f t="shared" si="61"/>
        <v>29</v>
      </c>
      <c r="B326"/>
      <c r="C326">
        <f>$F317</f>
        <v>0</v>
      </c>
      <c r="D326" s="1" t="str">
        <f t="shared" si="57"/>
        <v>T_RENT_EXP - Tenant Rent Expense</v>
      </c>
      <c r="E326"/>
      <c r="F326" s="14" t="str">
        <f>_xll.EVDES(D326)</f>
        <v>Tenant Rent Expense</v>
      </c>
      <c r="G326" s="60">
        <f ca="1">SUMIFS(OFFSET('BPC Data'!$F:$F,0,Summary!G$2),'BPC Data'!$E:$E,Summary!$D326,'BPC Data'!$B:$B,Summary!$C326)</f>
        <v>0</v>
      </c>
      <c r="H326" s="53">
        <f ca="1">SUMIFS(OFFSET('BPC Data'!$F:$F,0,Summary!H$2),'BPC Data'!$E:$E,Summary!$D326,'BPC Data'!$B:$B,Summary!$C326)</f>
        <v>0</v>
      </c>
      <c r="I326" s="60">
        <f ca="1">SUMIFS(OFFSET('BPC Data'!$F:$F,0,Summary!I$2),'BPC Data'!$E:$E,Summary!$D326,'BPC Data'!$B:$B,Summary!$C326)</f>
        <v>0</v>
      </c>
      <c r="J326" s="53">
        <f ca="1">SUMIFS(OFFSET('BPC Data'!$F:$F,0,Summary!J$2),'BPC Data'!$E:$E,Summary!$D326,'BPC Data'!$B:$B,Summary!$C326)</f>
        <v>0</v>
      </c>
      <c r="K326" s="60">
        <f ca="1">SUMIFS(OFFSET('BPC Data'!$F:$F,0,Summary!K$2),'BPC Data'!$E:$E,Summary!$D326,'BPC Data'!$B:$B,Summary!$C326)</f>
        <v>0</v>
      </c>
      <c r="L326" s="53">
        <f ca="1">SUMIFS(OFFSET('BPC Data'!$F:$F,0,Summary!L$2),'BPC Data'!$E:$E,Summary!$D326,'BPC Data'!$B:$B,Summary!$C326)</f>
        <v>0</v>
      </c>
      <c r="M326" s="60">
        <f ca="1">SUMIFS(OFFSET('BPC Data'!$F:$F,0,Summary!M$2),'BPC Data'!$E:$E,Summary!$D326,'BPC Data'!$B:$B,Summary!$C326)</f>
        <v>0</v>
      </c>
      <c r="N326" s="53">
        <f ca="1">SUMIFS(OFFSET('BPC Data'!$F:$F,0,Summary!N$2),'BPC Data'!$E:$E,Summary!$D326,'BPC Data'!$B:$B,Summary!$C326)</f>
        <v>0</v>
      </c>
      <c r="O326" s="18">
        <f t="shared" ca="1" si="55"/>
        <v>0</v>
      </c>
    </row>
    <row r="327" spans="1:15" s="11" customFormat="1" hidden="1" outlineLevel="1" x14ac:dyDescent="0.55000000000000004">
      <c r="A327" s="11">
        <f t="shared" si="61"/>
        <v>29</v>
      </c>
      <c r="B327"/>
      <c r="C327"/>
      <c r="D327" s="1" t="str">
        <f t="shared" si="57"/>
        <v>x</v>
      </c>
      <c r="E327"/>
      <c r="F327" s="14" t="s">
        <v>0</v>
      </c>
      <c r="G327" s="61">
        <f ca="1">SUMIFS(OFFSET('BPC Data'!$F:$F,0,Summary!G$2),'BPC Data'!$E:$E,Summary!$D327,'BPC Data'!$B:$B,Summary!$C327)</f>
        <v>0</v>
      </c>
      <c r="H327" s="54">
        <f ca="1">SUMIFS(OFFSET('BPC Data'!$F:$F,0,Summary!H$2),'BPC Data'!$E:$E,Summary!$D327,'BPC Data'!$B:$B,Summary!$C327)</f>
        <v>0</v>
      </c>
      <c r="I327" s="61">
        <f ca="1">SUMIFS(OFFSET('BPC Data'!$F:$F,0,Summary!I$2),'BPC Data'!$E:$E,Summary!$D327,'BPC Data'!$B:$B,Summary!$C327)</f>
        <v>0</v>
      </c>
      <c r="J327" s="54">
        <f ca="1">SUMIFS(OFFSET('BPC Data'!$F:$F,0,Summary!J$2),'BPC Data'!$E:$E,Summary!$D327,'BPC Data'!$B:$B,Summary!$C327)</f>
        <v>0</v>
      </c>
      <c r="K327" s="61">
        <f ca="1">SUMIFS(OFFSET('BPC Data'!$F:$F,0,Summary!K$2),'BPC Data'!$E:$E,Summary!$D327,'BPC Data'!$B:$B,Summary!$C327)</f>
        <v>0</v>
      </c>
      <c r="L327" s="54">
        <f ca="1">SUMIFS(OFFSET('BPC Data'!$F:$F,0,Summary!L$2),'BPC Data'!$E:$E,Summary!$D327,'BPC Data'!$B:$B,Summary!$C327)</f>
        <v>0</v>
      </c>
      <c r="M327" s="61">
        <f ca="1">SUMIFS(OFFSET('BPC Data'!$F:$F,0,Summary!M$2),'BPC Data'!$E:$E,Summary!$D327,'BPC Data'!$B:$B,Summary!$C327)</f>
        <v>0</v>
      </c>
      <c r="N327" s="54">
        <f ca="1">SUMIFS(OFFSET('BPC Data'!$F:$F,0,Summary!N$2),'BPC Data'!$E:$E,Summary!$D327,'BPC Data'!$B:$B,Summary!$C327)</f>
        <v>0</v>
      </c>
      <c r="O327" s="18">
        <f t="shared" ca="1" si="55"/>
        <v>0</v>
      </c>
    </row>
    <row r="328" spans="1:15" s="11" customFormat="1" hidden="1" outlineLevel="1" x14ac:dyDescent="0.55000000000000004">
      <c r="A328" s="11">
        <f>IF(AND(D328&lt;&gt;"",C328=""),A327+1,A327)</f>
        <v>30</v>
      </c>
      <c r="B328" s="4"/>
      <c r="C328" s="4"/>
      <c r="D328" s="4" t="str">
        <f t="shared" si="57"/>
        <v>x</v>
      </c>
      <c r="E328" s="4"/>
      <c r="F328" s="13">
        <f>INDEX(PropertyList!$D:$D,MATCH(Summary!$A328,PropertyList!$C:$C,0))</f>
        <v>0</v>
      </c>
      <c r="G328" s="59">
        <f ca="1">SUMIFS(OFFSET('BPC Data'!$F:$F,0,Summary!G$2),'BPC Data'!$E:$E,Summary!$D328,'BPC Data'!$B:$B,Summary!$C328)</f>
        <v>0</v>
      </c>
      <c r="H328" s="52">
        <f ca="1">SUMIFS(OFFSET('BPC Data'!$F:$F,0,Summary!H$2),'BPC Data'!$E:$E,Summary!$D328,'BPC Data'!$B:$B,Summary!$C328)</f>
        <v>0</v>
      </c>
      <c r="I328" s="59">
        <f ca="1">SUMIFS(OFFSET('BPC Data'!$F:$F,0,Summary!I$2),'BPC Data'!$E:$E,Summary!$D328,'BPC Data'!$B:$B,Summary!$C328)</f>
        <v>0</v>
      </c>
      <c r="J328" s="52">
        <f ca="1">SUMIFS(OFFSET('BPC Data'!$F:$F,0,Summary!J$2),'BPC Data'!$E:$E,Summary!$D328,'BPC Data'!$B:$B,Summary!$C328)</f>
        <v>0</v>
      </c>
      <c r="K328" s="59">
        <f ca="1">SUMIFS(OFFSET('BPC Data'!$F:$F,0,Summary!K$2),'BPC Data'!$E:$E,Summary!$D328,'BPC Data'!$B:$B,Summary!$C328)</f>
        <v>0</v>
      </c>
      <c r="L328" s="52">
        <f ca="1">SUMIFS(OFFSET('BPC Data'!$F:$F,0,Summary!L$2),'BPC Data'!$E:$E,Summary!$D328,'BPC Data'!$B:$B,Summary!$C328)</f>
        <v>0</v>
      </c>
      <c r="M328" s="59">
        <f ca="1">SUMIFS(OFFSET('BPC Data'!$F:$F,0,Summary!M$2),'BPC Data'!$E:$E,Summary!$D328,'BPC Data'!$B:$B,Summary!$C328)</f>
        <v>0</v>
      </c>
      <c r="N328" s="52">
        <f ca="1">SUMIFS(OFFSET('BPC Data'!$F:$F,0,Summary!N$2),'BPC Data'!$E:$E,Summary!$D328,'BPC Data'!$B:$B,Summary!$C328)</f>
        <v>0</v>
      </c>
      <c r="O328" s="18">
        <f t="shared" ca="1" si="55"/>
        <v>0</v>
      </c>
    </row>
    <row r="329" spans="1:15" s="11" customFormat="1" hidden="1" outlineLevel="1" x14ac:dyDescent="0.55000000000000004">
      <c r="A329" s="11">
        <f>IF(AND(F329&lt;&gt;"",D329=""),A328+1,A328)</f>
        <v>30</v>
      </c>
      <c r="C329">
        <f>$F328</f>
        <v>0</v>
      </c>
      <c r="D329" s="3" t="str">
        <f t="shared" si="57"/>
        <v>PAY_PAT_DAYS - Total Payor Patient Days</v>
      </c>
      <c r="F329" s="14" t="str">
        <f>_xll.EVDES(D329)</f>
        <v>Total Payor Patient Days</v>
      </c>
      <c r="G329" s="60">
        <f ca="1">SUMIFS(OFFSET('BPC Data'!$F:$F,0,Summary!G$2),'BPC Data'!$E:$E,Summary!$D329,'BPC Data'!$B:$B,Summary!$C329)</f>
        <v>0</v>
      </c>
      <c r="H329" s="53">
        <f ca="1">SUMIFS(OFFSET('BPC Data'!$F:$F,0,Summary!H$2),'BPC Data'!$E:$E,Summary!$D329,'BPC Data'!$B:$B,Summary!$C329)</f>
        <v>0</v>
      </c>
      <c r="I329" s="60">
        <f ca="1">SUMIFS(OFFSET('BPC Data'!$F:$F,0,Summary!I$2),'BPC Data'!$E:$E,Summary!$D329,'BPC Data'!$B:$B,Summary!$C329)</f>
        <v>0</v>
      </c>
      <c r="J329" s="53">
        <f ca="1">SUMIFS(OFFSET('BPC Data'!$F:$F,0,Summary!J$2),'BPC Data'!$E:$E,Summary!$D329,'BPC Data'!$B:$B,Summary!$C329)</f>
        <v>0</v>
      </c>
      <c r="K329" s="60">
        <f ca="1">SUMIFS(OFFSET('BPC Data'!$F:$F,0,Summary!K$2),'BPC Data'!$E:$E,Summary!$D329,'BPC Data'!$B:$B,Summary!$C329)</f>
        <v>0</v>
      </c>
      <c r="L329" s="53">
        <f ca="1">SUMIFS(OFFSET('BPC Data'!$F:$F,0,Summary!L$2),'BPC Data'!$E:$E,Summary!$D329,'BPC Data'!$B:$B,Summary!$C329)</f>
        <v>0</v>
      </c>
      <c r="M329" s="60">
        <f ca="1">SUMIFS(OFFSET('BPC Data'!$F:$F,0,Summary!M$2),'BPC Data'!$E:$E,Summary!$D329,'BPC Data'!$B:$B,Summary!$C329)</f>
        <v>0</v>
      </c>
      <c r="N329" s="53">
        <f ca="1">SUMIFS(OFFSET('BPC Data'!$F:$F,0,Summary!N$2),'BPC Data'!$E:$E,Summary!$D329,'BPC Data'!$B:$B,Summary!$C329)</f>
        <v>0</v>
      </c>
      <c r="O329" s="18">
        <f t="shared" ref="O329:O392" ca="1" si="62">SUM(G329:N329)</f>
        <v>0</v>
      </c>
    </row>
    <row r="330" spans="1:15" s="11" customFormat="1" hidden="1" outlineLevel="1" x14ac:dyDescent="0.55000000000000004">
      <c r="A330" s="11">
        <f t="shared" ref="A330:A338" si="63">IF(AND(F330&lt;&gt;"",D330=""),A329+1,A329)</f>
        <v>30</v>
      </c>
      <c r="C330">
        <f>$F328</f>
        <v>0</v>
      </c>
      <c r="D330" s="3" t="str">
        <f t="shared" si="57"/>
        <v>A_BEDS_TOTAL - Total Available Beds</v>
      </c>
      <c r="F330" s="14" t="str">
        <f>_xll.EVDES(D330)</f>
        <v>Total Available Beds</v>
      </c>
      <c r="G330" s="60">
        <f ca="1">SUMIFS(OFFSET('BPC Data'!$F:$F,0,Summary!G$2),'BPC Data'!$E:$E,Summary!$D330,'BPC Data'!$B:$B,Summary!$C330)</f>
        <v>0</v>
      </c>
      <c r="H330" s="53">
        <f ca="1">SUMIFS(OFFSET('BPC Data'!$F:$F,0,Summary!H$2),'BPC Data'!$E:$E,Summary!$D330,'BPC Data'!$B:$B,Summary!$C330)</f>
        <v>0</v>
      </c>
      <c r="I330" s="60">
        <f ca="1">SUMIFS(OFFSET('BPC Data'!$F:$F,0,Summary!I$2),'BPC Data'!$E:$E,Summary!$D330,'BPC Data'!$B:$B,Summary!$C330)</f>
        <v>0</v>
      </c>
      <c r="J330" s="53">
        <f ca="1">SUMIFS(OFFSET('BPC Data'!$F:$F,0,Summary!J$2),'BPC Data'!$E:$E,Summary!$D330,'BPC Data'!$B:$B,Summary!$C330)</f>
        <v>0</v>
      </c>
      <c r="K330" s="60">
        <f ca="1">SUMIFS(OFFSET('BPC Data'!$F:$F,0,Summary!K$2),'BPC Data'!$E:$E,Summary!$D330,'BPC Data'!$B:$B,Summary!$C330)</f>
        <v>0</v>
      </c>
      <c r="L330" s="53">
        <f ca="1">SUMIFS(OFFSET('BPC Data'!$F:$F,0,Summary!L$2),'BPC Data'!$E:$E,Summary!$D330,'BPC Data'!$B:$B,Summary!$C330)</f>
        <v>0</v>
      </c>
      <c r="M330" s="60">
        <f ca="1">SUMIFS(OFFSET('BPC Data'!$F:$F,0,Summary!M$2),'BPC Data'!$E:$E,Summary!$D330,'BPC Data'!$B:$B,Summary!$C330)</f>
        <v>0</v>
      </c>
      <c r="N330" s="53">
        <f ca="1">SUMIFS(OFFSET('BPC Data'!$F:$F,0,Summary!N$2),'BPC Data'!$E:$E,Summary!$D330,'BPC Data'!$B:$B,Summary!$C330)</f>
        <v>0</v>
      </c>
      <c r="O330" s="18">
        <f t="shared" ca="1" si="62"/>
        <v>0</v>
      </c>
    </row>
    <row r="331" spans="1:15" s="11" customFormat="1" hidden="1" outlineLevel="1" x14ac:dyDescent="0.55000000000000004">
      <c r="A331" s="11">
        <f t="shared" si="63"/>
        <v>30</v>
      </c>
      <c r="B331"/>
      <c r="C331">
        <f>$F328</f>
        <v>0</v>
      </c>
      <c r="D331" s="3" t="str">
        <f t="shared" si="57"/>
        <v>T_REVENUES - Total Tenant Revenues</v>
      </c>
      <c r="E331"/>
      <c r="F331" s="14" t="str">
        <f>_xll.EVDES(D331)</f>
        <v>Total Tenant Revenues</v>
      </c>
      <c r="G331" s="60">
        <f ca="1">SUMIFS(OFFSET('BPC Data'!$F:$F,0,Summary!G$2),'BPC Data'!$E:$E,Summary!$D331,'BPC Data'!$B:$B,Summary!$C331)</f>
        <v>0</v>
      </c>
      <c r="H331" s="53">
        <f ca="1">SUMIFS(OFFSET('BPC Data'!$F:$F,0,Summary!H$2),'BPC Data'!$E:$E,Summary!$D331,'BPC Data'!$B:$B,Summary!$C331)</f>
        <v>0</v>
      </c>
      <c r="I331" s="60">
        <f ca="1">SUMIFS(OFFSET('BPC Data'!$F:$F,0,Summary!I$2),'BPC Data'!$E:$E,Summary!$D331,'BPC Data'!$B:$B,Summary!$C331)</f>
        <v>0</v>
      </c>
      <c r="J331" s="53">
        <f ca="1">SUMIFS(OFFSET('BPC Data'!$F:$F,0,Summary!J$2),'BPC Data'!$E:$E,Summary!$D331,'BPC Data'!$B:$B,Summary!$C331)</f>
        <v>0</v>
      </c>
      <c r="K331" s="60">
        <f ca="1">SUMIFS(OFFSET('BPC Data'!$F:$F,0,Summary!K$2),'BPC Data'!$E:$E,Summary!$D331,'BPC Data'!$B:$B,Summary!$C331)</f>
        <v>0</v>
      </c>
      <c r="L331" s="53">
        <f ca="1">SUMIFS(OFFSET('BPC Data'!$F:$F,0,Summary!L$2),'BPC Data'!$E:$E,Summary!$D331,'BPC Data'!$B:$B,Summary!$C331)</f>
        <v>0</v>
      </c>
      <c r="M331" s="60">
        <f ca="1">SUMIFS(OFFSET('BPC Data'!$F:$F,0,Summary!M$2),'BPC Data'!$E:$E,Summary!$D331,'BPC Data'!$B:$B,Summary!$C331)</f>
        <v>0</v>
      </c>
      <c r="N331" s="53">
        <f ca="1">SUMIFS(OFFSET('BPC Data'!$F:$F,0,Summary!N$2),'BPC Data'!$E:$E,Summary!$D331,'BPC Data'!$B:$B,Summary!$C331)</f>
        <v>0</v>
      </c>
      <c r="O331" s="18">
        <f t="shared" ca="1" si="62"/>
        <v>0</v>
      </c>
    </row>
    <row r="332" spans="1:15" s="11" customFormat="1" hidden="1" outlineLevel="1" x14ac:dyDescent="0.55000000000000004">
      <c r="A332" s="11">
        <f t="shared" si="63"/>
        <v>30</v>
      </c>
      <c r="B332"/>
      <c r="C332">
        <f>$F328</f>
        <v>0</v>
      </c>
      <c r="D332" s="3" t="str">
        <f t="shared" si="57"/>
        <v>T_OPEX - Tenant Operating Expenses</v>
      </c>
      <c r="E332"/>
      <c r="F332" s="14" t="str">
        <f>_xll.EVDES(D332)</f>
        <v>Tenant Operating Expenses</v>
      </c>
      <c r="G332" s="60">
        <f ca="1">SUMIFS(OFFSET('BPC Data'!$F:$F,0,Summary!G$2),'BPC Data'!$E:$E,Summary!$D332,'BPC Data'!$B:$B,Summary!$C332)</f>
        <v>0</v>
      </c>
      <c r="H332" s="53">
        <f ca="1">SUMIFS(OFFSET('BPC Data'!$F:$F,0,Summary!H$2),'BPC Data'!$E:$E,Summary!$D332,'BPC Data'!$B:$B,Summary!$C332)</f>
        <v>0</v>
      </c>
      <c r="I332" s="60">
        <f ca="1">SUMIFS(OFFSET('BPC Data'!$F:$F,0,Summary!I$2),'BPC Data'!$E:$E,Summary!$D332,'BPC Data'!$B:$B,Summary!$C332)</f>
        <v>0</v>
      </c>
      <c r="J332" s="53">
        <f ca="1">SUMIFS(OFFSET('BPC Data'!$F:$F,0,Summary!J$2),'BPC Data'!$E:$E,Summary!$D332,'BPC Data'!$B:$B,Summary!$C332)</f>
        <v>0</v>
      </c>
      <c r="K332" s="60">
        <f ca="1">SUMIFS(OFFSET('BPC Data'!$F:$F,0,Summary!K$2),'BPC Data'!$E:$E,Summary!$D332,'BPC Data'!$B:$B,Summary!$C332)</f>
        <v>0</v>
      </c>
      <c r="L332" s="53">
        <f ca="1">SUMIFS(OFFSET('BPC Data'!$F:$F,0,Summary!L$2),'BPC Data'!$E:$E,Summary!$D332,'BPC Data'!$B:$B,Summary!$C332)</f>
        <v>0</v>
      </c>
      <c r="M332" s="60">
        <f ca="1">SUMIFS(OFFSET('BPC Data'!$F:$F,0,Summary!M$2),'BPC Data'!$E:$E,Summary!$D332,'BPC Data'!$B:$B,Summary!$C332)</f>
        <v>0</v>
      </c>
      <c r="N332" s="53">
        <f ca="1">SUMIFS(OFFSET('BPC Data'!$F:$F,0,Summary!N$2),'BPC Data'!$E:$E,Summary!$D332,'BPC Data'!$B:$B,Summary!$C332)</f>
        <v>0</v>
      </c>
      <c r="O332" s="18">
        <f t="shared" ca="1" si="62"/>
        <v>0</v>
      </c>
    </row>
    <row r="333" spans="1:15" s="11" customFormat="1" hidden="1" outlineLevel="1" x14ac:dyDescent="0.55000000000000004">
      <c r="A333" s="11">
        <f t="shared" si="63"/>
        <v>30</v>
      </c>
      <c r="B333"/>
      <c r="C333">
        <f>$F328</f>
        <v>0</v>
      </c>
      <c r="D333" s="3" t="str">
        <f t="shared" si="57"/>
        <v>T_BAD_DEBT - Tenant Bad Debt Expense</v>
      </c>
      <c r="E333"/>
      <c r="F333" s="14" t="str">
        <f>_xll.EVDES(D333)</f>
        <v>Tenant Bad Debt Expense</v>
      </c>
      <c r="G333" s="60">
        <f ca="1">SUMIFS(OFFSET('BPC Data'!$F:$F,0,Summary!G$2),'BPC Data'!$E:$E,Summary!$D333,'BPC Data'!$B:$B,Summary!$C333)</f>
        <v>0</v>
      </c>
      <c r="H333" s="53">
        <f ca="1">SUMIFS(OFFSET('BPC Data'!$F:$F,0,Summary!H$2),'BPC Data'!$E:$E,Summary!$D333,'BPC Data'!$B:$B,Summary!$C333)</f>
        <v>0</v>
      </c>
      <c r="I333" s="60">
        <f ca="1">SUMIFS(OFFSET('BPC Data'!$F:$F,0,Summary!I$2),'BPC Data'!$E:$E,Summary!$D333,'BPC Data'!$B:$B,Summary!$C333)</f>
        <v>0</v>
      </c>
      <c r="J333" s="53">
        <f ca="1">SUMIFS(OFFSET('BPC Data'!$F:$F,0,Summary!J$2),'BPC Data'!$E:$E,Summary!$D333,'BPC Data'!$B:$B,Summary!$C333)</f>
        <v>0</v>
      </c>
      <c r="K333" s="60">
        <f ca="1">SUMIFS(OFFSET('BPC Data'!$F:$F,0,Summary!K$2),'BPC Data'!$E:$E,Summary!$D333,'BPC Data'!$B:$B,Summary!$C333)</f>
        <v>0</v>
      </c>
      <c r="L333" s="53">
        <f ca="1">SUMIFS(OFFSET('BPC Data'!$F:$F,0,Summary!L$2),'BPC Data'!$E:$E,Summary!$D333,'BPC Data'!$B:$B,Summary!$C333)</f>
        <v>0</v>
      </c>
      <c r="M333" s="60">
        <f ca="1">SUMIFS(OFFSET('BPC Data'!$F:$F,0,Summary!M$2),'BPC Data'!$E:$E,Summary!$D333,'BPC Data'!$B:$B,Summary!$C333)</f>
        <v>0</v>
      </c>
      <c r="N333" s="53">
        <f ca="1">SUMIFS(OFFSET('BPC Data'!$F:$F,0,Summary!N$2),'BPC Data'!$E:$E,Summary!$D333,'BPC Data'!$B:$B,Summary!$C333)</f>
        <v>0</v>
      </c>
      <c r="O333" s="18">
        <f t="shared" ca="1" si="62"/>
        <v>0</v>
      </c>
    </row>
    <row r="334" spans="1:15" s="11" customFormat="1" hidden="1" outlineLevel="1" x14ac:dyDescent="0.55000000000000004">
      <c r="A334" s="11">
        <f t="shared" si="63"/>
        <v>30</v>
      </c>
      <c r="B334"/>
      <c r="C334">
        <f>$F328</f>
        <v>0</v>
      </c>
      <c r="D334" s="2" t="str">
        <f t="shared" si="57"/>
        <v>T_EBITDARM - EBITDARM</v>
      </c>
      <c r="E334"/>
      <c r="F334" s="14" t="str">
        <f>_xll.EVDES(D334)</f>
        <v>EBITDARM</v>
      </c>
      <c r="G334" s="60">
        <f ca="1">SUMIFS(OFFSET('BPC Data'!$F:$F,0,Summary!G$2),'BPC Data'!$E:$E,Summary!$D334,'BPC Data'!$B:$B,Summary!$C334)</f>
        <v>0</v>
      </c>
      <c r="H334" s="53">
        <f ca="1">SUMIFS(OFFSET('BPC Data'!$F:$F,0,Summary!H$2),'BPC Data'!$E:$E,Summary!$D334,'BPC Data'!$B:$B,Summary!$C334)</f>
        <v>0</v>
      </c>
      <c r="I334" s="60">
        <f ca="1">SUMIFS(OFFSET('BPC Data'!$F:$F,0,Summary!I$2),'BPC Data'!$E:$E,Summary!$D334,'BPC Data'!$B:$B,Summary!$C334)</f>
        <v>0</v>
      </c>
      <c r="J334" s="53">
        <f ca="1">SUMIFS(OFFSET('BPC Data'!$F:$F,0,Summary!J$2),'BPC Data'!$E:$E,Summary!$D334,'BPC Data'!$B:$B,Summary!$C334)</f>
        <v>0</v>
      </c>
      <c r="K334" s="60">
        <f ca="1">SUMIFS(OFFSET('BPC Data'!$F:$F,0,Summary!K$2),'BPC Data'!$E:$E,Summary!$D334,'BPC Data'!$B:$B,Summary!$C334)</f>
        <v>0</v>
      </c>
      <c r="L334" s="53">
        <f ca="1">SUMIFS(OFFSET('BPC Data'!$F:$F,0,Summary!L$2),'BPC Data'!$E:$E,Summary!$D334,'BPC Data'!$B:$B,Summary!$C334)</f>
        <v>0</v>
      </c>
      <c r="M334" s="60">
        <f ca="1">SUMIFS(OFFSET('BPC Data'!$F:$F,0,Summary!M$2),'BPC Data'!$E:$E,Summary!$D334,'BPC Data'!$B:$B,Summary!$C334)</f>
        <v>0</v>
      </c>
      <c r="N334" s="53">
        <f ca="1">SUMIFS(OFFSET('BPC Data'!$F:$F,0,Summary!N$2),'BPC Data'!$E:$E,Summary!$D334,'BPC Data'!$B:$B,Summary!$C334)</f>
        <v>0</v>
      </c>
      <c r="O334" s="18">
        <f t="shared" ca="1" si="62"/>
        <v>0</v>
      </c>
    </row>
    <row r="335" spans="1:15" s="11" customFormat="1" hidden="1" outlineLevel="1" x14ac:dyDescent="0.55000000000000004">
      <c r="A335" s="11">
        <f t="shared" si="63"/>
        <v>30</v>
      </c>
      <c r="B335"/>
      <c r="C335">
        <f>$F328</f>
        <v>0</v>
      </c>
      <c r="D335" s="2" t="str">
        <f t="shared" si="57"/>
        <v>T_MGMT_FEE - Tenant Management Fee - Actual</v>
      </c>
      <c r="E335"/>
      <c r="F335" s="14" t="str">
        <f>_xll.EVDES(D335)</f>
        <v>Tenant Management Fee - Actual</v>
      </c>
      <c r="G335" s="60">
        <f ca="1">SUMIFS(OFFSET('BPC Data'!$F:$F,0,Summary!G$2),'BPC Data'!$E:$E,Summary!$D335,'BPC Data'!$B:$B,Summary!$C335)</f>
        <v>0</v>
      </c>
      <c r="H335" s="53">
        <f ca="1">SUMIFS(OFFSET('BPC Data'!$F:$F,0,Summary!H$2),'BPC Data'!$E:$E,Summary!$D335,'BPC Data'!$B:$B,Summary!$C335)</f>
        <v>0</v>
      </c>
      <c r="I335" s="60">
        <f ca="1">SUMIFS(OFFSET('BPC Data'!$F:$F,0,Summary!I$2),'BPC Data'!$E:$E,Summary!$D335,'BPC Data'!$B:$B,Summary!$C335)</f>
        <v>0</v>
      </c>
      <c r="J335" s="53">
        <f ca="1">SUMIFS(OFFSET('BPC Data'!$F:$F,0,Summary!J$2),'BPC Data'!$E:$E,Summary!$D335,'BPC Data'!$B:$B,Summary!$C335)</f>
        <v>0</v>
      </c>
      <c r="K335" s="60">
        <f ca="1">SUMIFS(OFFSET('BPC Data'!$F:$F,0,Summary!K$2),'BPC Data'!$E:$E,Summary!$D335,'BPC Data'!$B:$B,Summary!$C335)</f>
        <v>0</v>
      </c>
      <c r="L335" s="53">
        <f ca="1">SUMIFS(OFFSET('BPC Data'!$F:$F,0,Summary!L$2),'BPC Data'!$E:$E,Summary!$D335,'BPC Data'!$B:$B,Summary!$C335)</f>
        <v>0</v>
      </c>
      <c r="M335" s="60">
        <f ca="1">SUMIFS(OFFSET('BPC Data'!$F:$F,0,Summary!M$2),'BPC Data'!$E:$E,Summary!$D335,'BPC Data'!$B:$B,Summary!$C335)</f>
        <v>0</v>
      </c>
      <c r="N335" s="53">
        <f ca="1">SUMIFS(OFFSET('BPC Data'!$F:$F,0,Summary!N$2),'BPC Data'!$E:$E,Summary!$D335,'BPC Data'!$B:$B,Summary!$C335)</f>
        <v>0</v>
      </c>
      <c r="O335" s="18">
        <f t="shared" ca="1" si="62"/>
        <v>0</v>
      </c>
    </row>
    <row r="336" spans="1:15" s="11" customFormat="1" hidden="1" outlineLevel="1" x14ac:dyDescent="0.55000000000000004">
      <c r="A336" s="11">
        <f t="shared" si="63"/>
        <v>30</v>
      </c>
      <c r="B336"/>
      <c r="C336">
        <f>$F328</f>
        <v>0</v>
      </c>
      <c r="D336" s="1" t="str">
        <f t="shared" si="57"/>
        <v>T_EBITDAR - EBITDAR</v>
      </c>
      <c r="E336"/>
      <c r="F336" s="14" t="str">
        <f>_xll.EVDES(D336)</f>
        <v>EBITDAR</v>
      </c>
      <c r="G336" s="60">
        <f ca="1">SUMIFS(OFFSET('BPC Data'!$F:$F,0,Summary!G$2),'BPC Data'!$E:$E,Summary!$D336,'BPC Data'!$B:$B,Summary!$C336)</f>
        <v>0</v>
      </c>
      <c r="H336" s="53">
        <f ca="1">SUMIFS(OFFSET('BPC Data'!$F:$F,0,Summary!H$2),'BPC Data'!$E:$E,Summary!$D336,'BPC Data'!$B:$B,Summary!$C336)</f>
        <v>0</v>
      </c>
      <c r="I336" s="60">
        <f ca="1">SUMIFS(OFFSET('BPC Data'!$F:$F,0,Summary!I$2),'BPC Data'!$E:$E,Summary!$D336,'BPC Data'!$B:$B,Summary!$C336)</f>
        <v>0</v>
      </c>
      <c r="J336" s="53">
        <f ca="1">SUMIFS(OFFSET('BPC Data'!$F:$F,0,Summary!J$2),'BPC Data'!$E:$E,Summary!$D336,'BPC Data'!$B:$B,Summary!$C336)</f>
        <v>0</v>
      </c>
      <c r="K336" s="60">
        <f ca="1">SUMIFS(OFFSET('BPC Data'!$F:$F,0,Summary!K$2),'BPC Data'!$E:$E,Summary!$D336,'BPC Data'!$B:$B,Summary!$C336)</f>
        <v>0</v>
      </c>
      <c r="L336" s="53">
        <f ca="1">SUMIFS(OFFSET('BPC Data'!$F:$F,0,Summary!L$2),'BPC Data'!$E:$E,Summary!$D336,'BPC Data'!$B:$B,Summary!$C336)</f>
        <v>0</v>
      </c>
      <c r="M336" s="60">
        <f ca="1">SUMIFS(OFFSET('BPC Data'!$F:$F,0,Summary!M$2),'BPC Data'!$E:$E,Summary!$D336,'BPC Data'!$B:$B,Summary!$C336)</f>
        <v>0</v>
      </c>
      <c r="N336" s="53">
        <f ca="1">SUMIFS(OFFSET('BPC Data'!$F:$F,0,Summary!N$2),'BPC Data'!$E:$E,Summary!$D336,'BPC Data'!$B:$B,Summary!$C336)</f>
        <v>0</v>
      </c>
      <c r="O336" s="18">
        <f t="shared" ca="1" si="62"/>
        <v>0</v>
      </c>
    </row>
    <row r="337" spans="1:15" s="11" customFormat="1" hidden="1" outlineLevel="1" x14ac:dyDescent="0.55000000000000004">
      <c r="A337" s="11">
        <f t="shared" si="63"/>
        <v>30</v>
      </c>
      <c r="B337"/>
      <c r="C337">
        <f>$F328</f>
        <v>0</v>
      </c>
      <c r="D337" s="1" t="str">
        <f t="shared" si="57"/>
        <v>T_RENT_EXP - Tenant Rent Expense</v>
      </c>
      <c r="E337"/>
      <c r="F337" s="14" t="str">
        <f>_xll.EVDES(D337)</f>
        <v>Tenant Rent Expense</v>
      </c>
      <c r="G337" s="60">
        <f ca="1">SUMIFS(OFFSET('BPC Data'!$F:$F,0,Summary!G$2),'BPC Data'!$E:$E,Summary!$D337,'BPC Data'!$B:$B,Summary!$C337)</f>
        <v>0</v>
      </c>
      <c r="H337" s="53">
        <f ca="1">SUMIFS(OFFSET('BPC Data'!$F:$F,0,Summary!H$2),'BPC Data'!$E:$E,Summary!$D337,'BPC Data'!$B:$B,Summary!$C337)</f>
        <v>0</v>
      </c>
      <c r="I337" s="60">
        <f ca="1">SUMIFS(OFFSET('BPC Data'!$F:$F,0,Summary!I$2),'BPC Data'!$E:$E,Summary!$D337,'BPC Data'!$B:$B,Summary!$C337)</f>
        <v>0</v>
      </c>
      <c r="J337" s="53">
        <f ca="1">SUMIFS(OFFSET('BPC Data'!$F:$F,0,Summary!J$2),'BPC Data'!$E:$E,Summary!$D337,'BPC Data'!$B:$B,Summary!$C337)</f>
        <v>0</v>
      </c>
      <c r="K337" s="60">
        <f ca="1">SUMIFS(OFFSET('BPC Data'!$F:$F,0,Summary!K$2),'BPC Data'!$E:$E,Summary!$D337,'BPC Data'!$B:$B,Summary!$C337)</f>
        <v>0</v>
      </c>
      <c r="L337" s="53">
        <f ca="1">SUMIFS(OFFSET('BPC Data'!$F:$F,0,Summary!L$2),'BPC Data'!$E:$E,Summary!$D337,'BPC Data'!$B:$B,Summary!$C337)</f>
        <v>0</v>
      </c>
      <c r="M337" s="60">
        <f ca="1">SUMIFS(OFFSET('BPC Data'!$F:$F,0,Summary!M$2),'BPC Data'!$E:$E,Summary!$D337,'BPC Data'!$B:$B,Summary!$C337)</f>
        <v>0</v>
      </c>
      <c r="N337" s="53">
        <f ca="1">SUMIFS(OFFSET('BPC Data'!$F:$F,0,Summary!N$2),'BPC Data'!$E:$E,Summary!$D337,'BPC Data'!$B:$B,Summary!$C337)</f>
        <v>0</v>
      </c>
      <c r="O337" s="18">
        <f t="shared" ca="1" si="62"/>
        <v>0</v>
      </c>
    </row>
    <row r="338" spans="1:15" s="11" customFormat="1" hidden="1" outlineLevel="1" x14ac:dyDescent="0.55000000000000004">
      <c r="A338" s="11">
        <f t="shared" si="63"/>
        <v>30</v>
      </c>
      <c r="B338"/>
      <c r="C338"/>
      <c r="D338" s="1" t="str">
        <f t="shared" si="57"/>
        <v>x</v>
      </c>
      <c r="E338"/>
      <c r="F338" s="14" t="s">
        <v>0</v>
      </c>
      <c r="G338" s="61">
        <f ca="1">SUMIFS(OFFSET('BPC Data'!$F:$F,0,Summary!G$2),'BPC Data'!$E:$E,Summary!$D338,'BPC Data'!$B:$B,Summary!$C338)</f>
        <v>0</v>
      </c>
      <c r="H338" s="54">
        <f ca="1">SUMIFS(OFFSET('BPC Data'!$F:$F,0,Summary!H$2),'BPC Data'!$E:$E,Summary!$D338,'BPC Data'!$B:$B,Summary!$C338)</f>
        <v>0</v>
      </c>
      <c r="I338" s="61">
        <f ca="1">SUMIFS(OFFSET('BPC Data'!$F:$F,0,Summary!I$2),'BPC Data'!$E:$E,Summary!$D338,'BPC Data'!$B:$B,Summary!$C338)</f>
        <v>0</v>
      </c>
      <c r="J338" s="54">
        <f ca="1">SUMIFS(OFFSET('BPC Data'!$F:$F,0,Summary!J$2),'BPC Data'!$E:$E,Summary!$D338,'BPC Data'!$B:$B,Summary!$C338)</f>
        <v>0</v>
      </c>
      <c r="K338" s="61">
        <f ca="1">SUMIFS(OFFSET('BPC Data'!$F:$F,0,Summary!K$2),'BPC Data'!$E:$E,Summary!$D338,'BPC Data'!$B:$B,Summary!$C338)</f>
        <v>0</v>
      </c>
      <c r="L338" s="54">
        <f ca="1">SUMIFS(OFFSET('BPC Data'!$F:$F,0,Summary!L$2),'BPC Data'!$E:$E,Summary!$D338,'BPC Data'!$B:$B,Summary!$C338)</f>
        <v>0</v>
      </c>
      <c r="M338" s="61">
        <f ca="1">SUMIFS(OFFSET('BPC Data'!$F:$F,0,Summary!M$2),'BPC Data'!$E:$E,Summary!$D338,'BPC Data'!$B:$B,Summary!$C338)</f>
        <v>0</v>
      </c>
      <c r="N338" s="54">
        <f ca="1">SUMIFS(OFFSET('BPC Data'!$F:$F,0,Summary!N$2),'BPC Data'!$E:$E,Summary!$D338,'BPC Data'!$B:$B,Summary!$C338)</f>
        <v>0</v>
      </c>
      <c r="O338" s="18">
        <f t="shared" ca="1" si="62"/>
        <v>0</v>
      </c>
    </row>
    <row r="339" spans="1:15" s="11" customFormat="1" hidden="1" outlineLevel="1" x14ac:dyDescent="0.55000000000000004">
      <c r="A339" s="11">
        <f>IF(AND(D339&lt;&gt;"",C339=""),A338+1,A338)</f>
        <v>31</v>
      </c>
      <c r="B339" s="4"/>
      <c r="C339" s="4"/>
      <c r="D339" s="4" t="str">
        <f t="shared" si="57"/>
        <v>x</v>
      </c>
      <c r="E339" s="4"/>
      <c r="F339" s="13">
        <f>INDEX(PropertyList!$D:$D,MATCH(Summary!$A339,PropertyList!$C:$C,0))</f>
        <v>0</v>
      </c>
      <c r="G339" s="59">
        <f ca="1">SUMIFS(OFFSET('BPC Data'!$F:$F,0,Summary!G$2),'BPC Data'!$E:$E,Summary!$D339,'BPC Data'!$B:$B,Summary!$C339)</f>
        <v>0</v>
      </c>
      <c r="H339" s="52">
        <f ca="1">SUMIFS(OFFSET('BPC Data'!$F:$F,0,Summary!H$2),'BPC Data'!$E:$E,Summary!$D339,'BPC Data'!$B:$B,Summary!$C339)</f>
        <v>0</v>
      </c>
      <c r="I339" s="59">
        <f ca="1">SUMIFS(OFFSET('BPC Data'!$F:$F,0,Summary!I$2),'BPC Data'!$E:$E,Summary!$D339,'BPC Data'!$B:$B,Summary!$C339)</f>
        <v>0</v>
      </c>
      <c r="J339" s="52">
        <f ca="1">SUMIFS(OFFSET('BPC Data'!$F:$F,0,Summary!J$2),'BPC Data'!$E:$E,Summary!$D339,'BPC Data'!$B:$B,Summary!$C339)</f>
        <v>0</v>
      </c>
      <c r="K339" s="59">
        <f ca="1">SUMIFS(OFFSET('BPC Data'!$F:$F,0,Summary!K$2),'BPC Data'!$E:$E,Summary!$D339,'BPC Data'!$B:$B,Summary!$C339)</f>
        <v>0</v>
      </c>
      <c r="L339" s="52">
        <f ca="1">SUMIFS(OFFSET('BPC Data'!$F:$F,0,Summary!L$2),'BPC Data'!$E:$E,Summary!$D339,'BPC Data'!$B:$B,Summary!$C339)</f>
        <v>0</v>
      </c>
      <c r="M339" s="59">
        <f ca="1">SUMIFS(OFFSET('BPC Data'!$F:$F,0,Summary!M$2),'BPC Data'!$E:$E,Summary!$D339,'BPC Data'!$B:$B,Summary!$C339)</f>
        <v>0</v>
      </c>
      <c r="N339" s="52">
        <f ca="1">SUMIFS(OFFSET('BPC Data'!$F:$F,0,Summary!N$2),'BPC Data'!$E:$E,Summary!$D339,'BPC Data'!$B:$B,Summary!$C339)</f>
        <v>0</v>
      </c>
      <c r="O339" s="18">
        <f t="shared" ca="1" si="62"/>
        <v>0</v>
      </c>
    </row>
    <row r="340" spans="1:15" s="11" customFormat="1" hidden="1" outlineLevel="1" x14ac:dyDescent="0.55000000000000004">
      <c r="A340" s="11">
        <f>IF(AND(F340&lt;&gt;"",D340=""),A339+1,A339)</f>
        <v>31</v>
      </c>
      <c r="C340">
        <f>$F339</f>
        <v>0</v>
      </c>
      <c r="D340" s="3" t="str">
        <f t="shared" si="57"/>
        <v>PAY_PAT_DAYS - Total Payor Patient Days</v>
      </c>
      <c r="F340" s="14" t="str">
        <f>_xll.EVDES(D340)</f>
        <v>Total Payor Patient Days</v>
      </c>
      <c r="G340" s="60">
        <f ca="1">SUMIFS(OFFSET('BPC Data'!$F:$F,0,Summary!G$2),'BPC Data'!$E:$E,Summary!$D340,'BPC Data'!$B:$B,Summary!$C340)</f>
        <v>0</v>
      </c>
      <c r="H340" s="53">
        <f ca="1">SUMIFS(OFFSET('BPC Data'!$F:$F,0,Summary!H$2),'BPC Data'!$E:$E,Summary!$D340,'BPC Data'!$B:$B,Summary!$C340)</f>
        <v>0</v>
      </c>
      <c r="I340" s="60">
        <f ca="1">SUMIFS(OFFSET('BPC Data'!$F:$F,0,Summary!I$2),'BPC Data'!$E:$E,Summary!$D340,'BPC Data'!$B:$B,Summary!$C340)</f>
        <v>0</v>
      </c>
      <c r="J340" s="53">
        <f ca="1">SUMIFS(OFFSET('BPC Data'!$F:$F,0,Summary!J$2),'BPC Data'!$E:$E,Summary!$D340,'BPC Data'!$B:$B,Summary!$C340)</f>
        <v>0</v>
      </c>
      <c r="K340" s="60">
        <f ca="1">SUMIFS(OFFSET('BPC Data'!$F:$F,0,Summary!K$2),'BPC Data'!$E:$E,Summary!$D340,'BPC Data'!$B:$B,Summary!$C340)</f>
        <v>0</v>
      </c>
      <c r="L340" s="53">
        <f ca="1">SUMIFS(OFFSET('BPC Data'!$F:$F,0,Summary!L$2),'BPC Data'!$E:$E,Summary!$D340,'BPC Data'!$B:$B,Summary!$C340)</f>
        <v>0</v>
      </c>
      <c r="M340" s="60">
        <f ca="1">SUMIFS(OFFSET('BPC Data'!$F:$F,0,Summary!M$2),'BPC Data'!$E:$E,Summary!$D340,'BPC Data'!$B:$B,Summary!$C340)</f>
        <v>0</v>
      </c>
      <c r="N340" s="53">
        <f ca="1">SUMIFS(OFFSET('BPC Data'!$F:$F,0,Summary!N$2),'BPC Data'!$E:$E,Summary!$D340,'BPC Data'!$B:$B,Summary!$C340)</f>
        <v>0</v>
      </c>
      <c r="O340" s="18">
        <f t="shared" ca="1" si="62"/>
        <v>0</v>
      </c>
    </row>
    <row r="341" spans="1:15" s="11" customFormat="1" hidden="1" outlineLevel="1" x14ac:dyDescent="0.55000000000000004">
      <c r="A341" s="11">
        <f t="shared" ref="A341:A349" si="64">IF(AND(F341&lt;&gt;"",D341=""),A340+1,A340)</f>
        <v>31</v>
      </c>
      <c r="C341">
        <f>$F339</f>
        <v>0</v>
      </c>
      <c r="D341" s="3" t="str">
        <f t="shared" si="57"/>
        <v>A_BEDS_TOTAL - Total Available Beds</v>
      </c>
      <c r="F341" s="14" t="str">
        <f>_xll.EVDES(D341)</f>
        <v>Total Available Beds</v>
      </c>
      <c r="G341" s="60">
        <f ca="1">SUMIFS(OFFSET('BPC Data'!$F:$F,0,Summary!G$2),'BPC Data'!$E:$E,Summary!$D341,'BPC Data'!$B:$B,Summary!$C341)</f>
        <v>0</v>
      </c>
      <c r="H341" s="53">
        <f ca="1">SUMIFS(OFFSET('BPC Data'!$F:$F,0,Summary!H$2),'BPC Data'!$E:$E,Summary!$D341,'BPC Data'!$B:$B,Summary!$C341)</f>
        <v>0</v>
      </c>
      <c r="I341" s="60">
        <f ca="1">SUMIFS(OFFSET('BPC Data'!$F:$F,0,Summary!I$2),'BPC Data'!$E:$E,Summary!$D341,'BPC Data'!$B:$B,Summary!$C341)</f>
        <v>0</v>
      </c>
      <c r="J341" s="53">
        <f ca="1">SUMIFS(OFFSET('BPC Data'!$F:$F,0,Summary!J$2),'BPC Data'!$E:$E,Summary!$D341,'BPC Data'!$B:$B,Summary!$C341)</f>
        <v>0</v>
      </c>
      <c r="K341" s="60">
        <f ca="1">SUMIFS(OFFSET('BPC Data'!$F:$F,0,Summary!K$2),'BPC Data'!$E:$E,Summary!$D341,'BPC Data'!$B:$B,Summary!$C341)</f>
        <v>0</v>
      </c>
      <c r="L341" s="53">
        <f ca="1">SUMIFS(OFFSET('BPC Data'!$F:$F,0,Summary!L$2),'BPC Data'!$E:$E,Summary!$D341,'BPC Data'!$B:$B,Summary!$C341)</f>
        <v>0</v>
      </c>
      <c r="M341" s="60">
        <f ca="1">SUMIFS(OFFSET('BPC Data'!$F:$F,0,Summary!M$2),'BPC Data'!$E:$E,Summary!$D341,'BPC Data'!$B:$B,Summary!$C341)</f>
        <v>0</v>
      </c>
      <c r="N341" s="53">
        <f ca="1">SUMIFS(OFFSET('BPC Data'!$F:$F,0,Summary!N$2),'BPC Data'!$E:$E,Summary!$D341,'BPC Data'!$B:$B,Summary!$C341)</f>
        <v>0</v>
      </c>
      <c r="O341" s="18">
        <f t="shared" ca="1" si="62"/>
        <v>0</v>
      </c>
    </row>
    <row r="342" spans="1:15" s="11" customFormat="1" hidden="1" outlineLevel="1" x14ac:dyDescent="0.55000000000000004">
      <c r="A342" s="11">
        <f t="shared" si="64"/>
        <v>31</v>
      </c>
      <c r="B342"/>
      <c r="C342">
        <f>$F339</f>
        <v>0</v>
      </c>
      <c r="D342" s="3" t="str">
        <f t="shared" ref="D342:D405" si="65">$D331</f>
        <v>T_REVENUES - Total Tenant Revenues</v>
      </c>
      <c r="E342"/>
      <c r="F342" s="14" t="str">
        <f>_xll.EVDES(D342)</f>
        <v>Total Tenant Revenues</v>
      </c>
      <c r="G342" s="60">
        <f ca="1">SUMIFS(OFFSET('BPC Data'!$F:$F,0,Summary!G$2),'BPC Data'!$E:$E,Summary!$D342,'BPC Data'!$B:$B,Summary!$C342)</f>
        <v>0</v>
      </c>
      <c r="H342" s="53">
        <f ca="1">SUMIFS(OFFSET('BPC Data'!$F:$F,0,Summary!H$2),'BPC Data'!$E:$E,Summary!$D342,'BPC Data'!$B:$B,Summary!$C342)</f>
        <v>0</v>
      </c>
      <c r="I342" s="60">
        <f ca="1">SUMIFS(OFFSET('BPC Data'!$F:$F,0,Summary!I$2),'BPC Data'!$E:$E,Summary!$D342,'BPC Data'!$B:$B,Summary!$C342)</f>
        <v>0</v>
      </c>
      <c r="J342" s="53">
        <f ca="1">SUMIFS(OFFSET('BPC Data'!$F:$F,0,Summary!J$2),'BPC Data'!$E:$E,Summary!$D342,'BPC Data'!$B:$B,Summary!$C342)</f>
        <v>0</v>
      </c>
      <c r="K342" s="60">
        <f ca="1">SUMIFS(OFFSET('BPC Data'!$F:$F,0,Summary!K$2),'BPC Data'!$E:$E,Summary!$D342,'BPC Data'!$B:$B,Summary!$C342)</f>
        <v>0</v>
      </c>
      <c r="L342" s="53">
        <f ca="1">SUMIFS(OFFSET('BPC Data'!$F:$F,0,Summary!L$2),'BPC Data'!$E:$E,Summary!$D342,'BPC Data'!$B:$B,Summary!$C342)</f>
        <v>0</v>
      </c>
      <c r="M342" s="60">
        <f ca="1">SUMIFS(OFFSET('BPC Data'!$F:$F,0,Summary!M$2),'BPC Data'!$E:$E,Summary!$D342,'BPC Data'!$B:$B,Summary!$C342)</f>
        <v>0</v>
      </c>
      <c r="N342" s="53">
        <f ca="1">SUMIFS(OFFSET('BPC Data'!$F:$F,0,Summary!N$2),'BPC Data'!$E:$E,Summary!$D342,'BPC Data'!$B:$B,Summary!$C342)</f>
        <v>0</v>
      </c>
      <c r="O342" s="18">
        <f t="shared" ca="1" si="62"/>
        <v>0</v>
      </c>
    </row>
    <row r="343" spans="1:15" s="11" customFormat="1" hidden="1" outlineLevel="1" x14ac:dyDescent="0.55000000000000004">
      <c r="A343" s="11">
        <f t="shared" si="64"/>
        <v>31</v>
      </c>
      <c r="B343"/>
      <c r="C343">
        <f>$F339</f>
        <v>0</v>
      </c>
      <c r="D343" s="3" t="str">
        <f t="shared" si="65"/>
        <v>T_OPEX - Tenant Operating Expenses</v>
      </c>
      <c r="E343"/>
      <c r="F343" s="14" t="str">
        <f>_xll.EVDES(D343)</f>
        <v>Tenant Operating Expenses</v>
      </c>
      <c r="G343" s="60">
        <f ca="1">SUMIFS(OFFSET('BPC Data'!$F:$F,0,Summary!G$2),'BPC Data'!$E:$E,Summary!$D343,'BPC Data'!$B:$B,Summary!$C343)</f>
        <v>0</v>
      </c>
      <c r="H343" s="53">
        <f ca="1">SUMIFS(OFFSET('BPC Data'!$F:$F,0,Summary!H$2),'BPC Data'!$E:$E,Summary!$D343,'BPC Data'!$B:$B,Summary!$C343)</f>
        <v>0</v>
      </c>
      <c r="I343" s="60">
        <f ca="1">SUMIFS(OFFSET('BPC Data'!$F:$F,0,Summary!I$2),'BPC Data'!$E:$E,Summary!$D343,'BPC Data'!$B:$B,Summary!$C343)</f>
        <v>0</v>
      </c>
      <c r="J343" s="53">
        <f ca="1">SUMIFS(OFFSET('BPC Data'!$F:$F,0,Summary!J$2),'BPC Data'!$E:$E,Summary!$D343,'BPC Data'!$B:$B,Summary!$C343)</f>
        <v>0</v>
      </c>
      <c r="K343" s="60">
        <f ca="1">SUMIFS(OFFSET('BPC Data'!$F:$F,0,Summary!K$2),'BPC Data'!$E:$E,Summary!$D343,'BPC Data'!$B:$B,Summary!$C343)</f>
        <v>0</v>
      </c>
      <c r="L343" s="53">
        <f ca="1">SUMIFS(OFFSET('BPC Data'!$F:$F,0,Summary!L$2),'BPC Data'!$E:$E,Summary!$D343,'BPC Data'!$B:$B,Summary!$C343)</f>
        <v>0</v>
      </c>
      <c r="M343" s="60">
        <f ca="1">SUMIFS(OFFSET('BPC Data'!$F:$F,0,Summary!M$2),'BPC Data'!$E:$E,Summary!$D343,'BPC Data'!$B:$B,Summary!$C343)</f>
        <v>0</v>
      </c>
      <c r="N343" s="53">
        <f ca="1">SUMIFS(OFFSET('BPC Data'!$F:$F,0,Summary!N$2),'BPC Data'!$E:$E,Summary!$D343,'BPC Data'!$B:$B,Summary!$C343)</f>
        <v>0</v>
      </c>
      <c r="O343" s="18">
        <f t="shared" ca="1" si="62"/>
        <v>0</v>
      </c>
    </row>
    <row r="344" spans="1:15" s="11" customFormat="1" hidden="1" outlineLevel="1" x14ac:dyDescent="0.55000000000000004">
      <c r="A344" s="11">
        <f t="shared" si="64"/>
        <v>31</v>
      </c>
      <c r="B344"/>
      <c r="C344">
        <f>$F339</f>
        <v>0</v>
      </c>
      <c r="D344" s="3" t="str">
        <f t="shared" si="65"/>
        <v>T_BAD_DEBT - Tenant Bad Debt Expense</v>
      </c>
      <c r="E344"/>
      <c r="F344" s="14" t="str">
        <f>_xll.EVDES(D344)</f>
        <v>Tenant Bad Debt Expense</v>
      </c>
      <c r="G344" s="60">
        <f ca="1">SUMIFS(OFFSET('BPC Data'!$F:$F,0,Summary!G$2),'BPC Data'!$E:$E,Summary!$D344,'BPC Data'!$B:$B,Summary!$C344)</f>
        <v>0</v>
      </c>
      <c r="H344" s="53">
        <f ca="1">SUMIFS(OFFSET('BPC Data'!$F:$F,0,Summary!H$2),'BPC Data'!$E:$E,Summary!$D344,'BPC Data'!$B:$B,Summary!$C344)</f>
        <v>0</v>
      </c>
      <c r="I344" s="60">
        <f ca="1">SUMIFS(OFFSET('BPC Data'!$F:$F,0,Summary!I$2),'BPC Data'!$E:$E,Summary!$D344,'BPC Data'!$B:$B,Summary!$C344)</f>
        <v>0</v>
      </c>
      <c r="J344" s="53">
        <f ca="1">SUMIFS(OFFSET('BPC Data'!$F:$F,0,Summary!J$2),'BPC Data'!$E:$E,Summary!$D344,'BPC Data'!$B:$B,Summary!$C344)</f>
        <v>0</v>
      </c>
      <c r="K344" s="60">
        <f ca="1">SUMIFS(OFFSET('BPC Data'!$F:$F,0,Summary!K$2),'BPC Data'!$E:$E,Summary!$D344,'BPC Data'!$B:$B,Summary!$C344)</f>
        <v>0</v>
      </c>
      <c r="L344" s="53">
        <f ca="1">SUMIFS(OFFSET('BPC Data'!$F:$F,0,Summary!L$2),'BPC Data'!$E:$E,Summary!$D344,'BPC Data'!$B:$B,Summary!$C344)</f>
        <v>0</v>
      </c>
      <c r="M344" s="60">
        <f ca="1">SUMIFS(OFFSET('BPC Data'!$F:$F,0,Summary!M$2),'BPC Data'!$E:$E,Summary!$D344,'BPC Data'!$B:$B,Summary!$C344)</f>
        <v>0</v>
      </c>
      <c r="N344" s="53">
        <f ca="1">SUMIFS(OFFSET('BPC Data'!$F:$F,0,Summary!N$2),'BPC Data'!$E:$E,Summary!$D344,'BPC Data'!$B:$B,Summary!$C344)</f>
        <v>0</v>
      </c>
      <c r="O344" s="18">
        <f t="shared" ca="1" si="62"/>
        <v>0</v>
      </c>
    </row>
    <row r="345" spans="1:15" s="11" customFormat="1" hidden="1" outlineLevel="1" x14ac:dyDescent="0.55000000000000004">
      <c r="A345" s="11">
        <f t="shared" si="64"/>
        <v>31</v>
      </c>
      <c r="B345"/>
      <c r="C345">
        <f>$F339</f>
        <v>0</v>
      </c>
      <c r="D345" s="2" t="str">
        <f t="shared" si="65"/>
        <v>T_EBITDARM - EBITDARM</v>
      </c>
      <c r="E345"/>
      <c r="F345" s="14" t="str">
        <f>_xll.EVDES(D345)</f>
        <v>EBITDARM</v>
      </c>
      <c r="G345" s="60">
        <f ca="1">SUMIFS(OFFSET('BPC Data'!$F:$F,0,Summary!G$2),'BPC Data'!$E:$E,Summary!$D345,'BPC Data'!$B:$B,Summary!$C345)</f>
        <v>0</v>
      </c>
      <c r="H345" s="53">
        <f ca="1">SUMIFS(OFFSET('BPC Data'!$F:$F,0,Summary!H$2),'BPC Data'!$E:$E,Summary!$D345,'BPC Data'!$B:$B,Summary!$C345)</f>
        <v>0</v>
      </c>
      <c r="I345" s="60">
        <f ca="1">SUMIFS(OFFSET('BPC Data'!$F:$F,0,Summary!I$2),'BPC Data'!$E:$E,Summary!$D345,'BPC Data'!$B:$B,Summary!$C345)</f>
        <v>0</v>
      </c>
      <c r="J345" s="53">
        <f ca="1">SUMIFS(OFFSET('BPC Data'!$F:$F,0,Summary!J$2),'BPC Data'!$E:$E,Summary!$D345,'BPC Data'!$B:$B,Summary!$C345)</f>
        <v>0</v>
      </c>
      <c r="K345" s="60">
        <f ca="1">SUMIFS(OFFSET('BPC Data'!$F:$F,0,Summary!K$2),'BPC Data'!$E:$E,Summary!$D345,'BPC Data'!$B:$B,Summary!$C345)</f>
        <v>0</v>
      </c>
      <c r="L345" s="53">
        <f ca="1">SUMIFS(OFFSET('BPC Data'!$F:$F,0,Summary!L$2),'BPC Data'!$E:$E,Summary!$D345,'BPC Data'!$B:$B,Summary!$C345)</f>
        <v>0</v>
      </c>
      <c r="M345" s="60">
        <f ca="1">SUMIFS(OFFSET('BPC Data'!$F:$F,0,Summary!M$2),'BPC Data'!$E:$E,Summary!$D345,'BPC Data'!$B:$B,Summary!$C345)</f>
        <v>0</v>
      </c>
      <c r="N345" s="53">
        <f ca="1">SUMIFS(OFFSET('BPC Data'!$F:$F,0,Summary!N$2),'BPC Data'!$E:$E,Summary!$D345,'BPC Data'!$B:$B,Summary!$C345)</f>
        <v>0</v>
      </c>
      <c r="O345" s="18">
        <f t="shared" ca="1" si="62"/>
        <v>0</v>
      </c>
    </row>
    <row r="346" spans="1:15" s="11" customFormat="1" hidden="1" outlineLevel="1" x14ac:dyDescent="0.55000000000000004">
      <c r="A346" s="11">
        <f t="shared" si="64"/>
        <v>31</v>
      </c>
      <c r="B346"/>
      <c r="C346">
        <f>$F339</f>
        <v>0</v>
      </c>
      <c r="D346" s="2" t="str">
        <f t="shared" si="65"/>
        <v>T_MGMT_FEE - Tenant Management Fee - Actual</v>
      </c>
      <c r="E346"/>
      <c r="F346" s="14" t="str">
        <f>_xll.EVDES(D346)</f>
        <v>Tenant Management Fee - Actual</v>
      </c>
      <c r="G346" s="60">
        <f ca="1">SUMIFS(OFFSET('BPC Data'!$F:$F,0,Summary!G$2),'BPC Data'!$E:$E,Summary!$D346,'BPC Data'!$B:$B,Summary!$C346)</f>
        <v>0</v>
      </c>
      <c r="H346" s="53">
        <f ca="1">SUMIFS(OFFSET('BPC Data'!$F:$F,0,Summary!H$2),'BPC Data'!$E:$E,Summary!$D346,'BPC Data'!$B:$B,Summary!$C346)</f>
        <v>0</v>
      </c>
      <c r="I346" s="60">
        <f ca="1">SUMIFS(OFFSET('BPC Data'!$F:$F,0,Summary!I$2),'BPC Data'!$E:$E,Summary!$D346,'BPC Data'!$B:$B,Summary!$C346)</f>
        <v>0</v>
      </c>
      <c r="J346" s="53">
        <f ca="1">SUMIFS(OFFSET('BPC Data'!$F:$F,0,Summary!J$2),'BPC Data'!$E:$E,Summary!$D346,'BPC Data'!$B:$B,Summary!$C346)</f>
        <v>0</v>
      </c>
      <c r="K346" s="60">
        <f ca="1">SUMIFS(OFFSET('BPC Data'!$F:$F,0,Summary!K$2),'BPC Data'!$E:$E,Summary!$D346,'BPC Data'!$B:$B,Summary!$C346)</f>
        <v>0</v>
      </c>
      <c r="L346" s="53">
        <f ca="1">SUMIFS(OFFSET('BPC Data'!$F:$F,0,Summary!L$2),'BPC Data'!$E:$E,Summary!$D346,'BPC Data'!$B:$B,Summary!$C346)</f>
        <v>0</v>
      </c>
      <c r="M346" s="60">
        <f ca="1">SUMIFS(OFFSET('BPC Data'!$F:$F,0,Summary!M$2),'BPC Data'!$E:$E,Summary!$D346,'BPC Data'!$B:$B,Summary!$C346)</f>
        <v>0</v>
      </c>
      <c r="N346" s="53">
        <f ca="1">SUMIFS(OFFSET('BPC Data'!$F:$F,0,Summary!N$2),'BPC Data'!$E:$E,Summary!$D346,'BPC Data'!$B:$B,Summary!$C346)</f>
        <v>0</v>
      </c>
      <c r="O346" s="18">
        <f t="shared" ca="1" si="62"/>
        <v>0</v>
      </c>
    </row>
    <row r="347" spans="1:15" s="11" customFormat="1" hidden="1" outlineLevel="1" x14ac:dyDescent="0.55000000000000004">
      <c r="A347" s="11">
        <f t="shared" si="64"/>
        <v>31</v>
      </c>
      <c r="B347"/>
      <c r="C347">
        <f>$F339</f>
        <v>0</v>
      </c>
      <c r="D347" s="1" t="str">
        <f t="shared" si="65"/>
        <v>T_EBITDAR - EBITDAR</v>
      </c>
      <c r="E347"/>
      <c r="F347" s="14" t="str">
        <f>_xll.EVDES(D347)</f>
        <v>EBITDAR</v>
      </c>
      <c r="G347" s="60">
        <f ca="1">SUMIFS(OFFSET('BPC Data'!$F:$F,0,Summary!G$2),'BPC Data'!$E:$E,Summary!$D347,'BPC Data'!$B:$B,Summary!$C347)</f>
        <v>0</v>
      </c>
      <c r="H347" s="53">
        <f ca="1">SUMIFS(OFFSET('BPC Data'!$F:$F,0,Summary!H$2),'BPC Data'!$E:$E,Summary!$D347,'BPC Data'!$B:$B,Summary!$C347)</f>
        <v>0</v>
      </c>
      <c r="I347" s="60">
        <f ca="1">SUMIFS(OFFSET('BPC Data'!$F:$F,0,Summary!I$2),'BPC Data'!$E:$E,Summary!$D347,'BPC Data'!$B:$B,Summary!$C347)</f>
        <v>0</v>
      </c>
      <c r="J347" s="53">
        <f ca="1">SUMIFS(OFFSET('BPC Data'!$F:$F,0,Summary!J$2),'BPC Data'!$E:$E,Summary!$D347,'BPC Data'!$B:$B,Summary!$C347)</f>
        <v>0</v>
      </c>
      <c r="K347" s="60">
        <f ca="1">SUMIFS(OFFSET('BPC Data'!$F:$F,0,Summary!K$2),'BPC Data'!$E:$E,Summary!$D347,'BPC Data'!$B:$B,Summary!$C347)</f>
        <v>0</v>
      </c>
      <c r="L347" s="53">
        <f ca="1">SUMIFS(OFFSET('BPC Data'!$F:$F,0,Summary!L$2),'BPC Data'!$E:$E,Summary!$D347,'BPC Data'!$B:$B,Summary!$C347)</f>
        <v>0</v>
      </c>
      <c r="M347" s="60">
        <f ca="1">SUMIFS(OFFSET('BPC Data'!$F:$F,0,Summary!M$2),'BPC Data'!$E:$E,Summary!$D347,'BPC Data'!$B:$B,Summary!$C347)</f>
        <v>0</v>
      </c>
      <c r="N347" s="53">
        <f ca="1">SUMIFS(OFFSET('BPC Data'!$F:$F,0,Summary!N$2),'BPC Data'!$E:$E,Summary!$D347,'BPC Data'!$B:$B,Summary!$C347)</f>
        <v>0</v>
      </c>
      <c r="O347" s="18">
        <f t="shared" ca="1" si="62"/>
        <v>0</v>
      </c>
    </row>
    <row r="348" spans="1:15" s="11" customFormat="1" hidden="1" outlineLevel="1" x14ac:dyDescent="0.55000000000000004">
      <c r="A348" s="11">
        <f t="shared" si="64"/>
        <v>31</v>
      </c>
      <c r="B348"/>
      <c r="C348">
        <f>$F339</f>
        <v>0</v>
      </c>
      <c r="D348" s="1" t="str">
        <f t="shared" si="65"/>
        <v>T_RENT_EXP - Tenant Rent Expense</v>
      </c>
      <c r="E348"/>
      <c r="F348" s="14" t="str">
        <f>_xll.EVDES(D348)</f>
        <v>Tenant Rent Expense</v>
      </c>
      <c r="G348" s="60">
        <f ca="1">SUMIFS(OFFSET('BPC Data'!$F:$F,0,Summary!G$2),'BPC Data'!$E:$E,Summary!$D348,'BPC Data'!$B:$B,Summary!$C348)</f>
        <v>0</v>
      </c>
      <c r="H348" s="53">
        <f ca="1">SUMIFS(OFFSET('BPC Data'!$F:$F,0,Summary!H$2),'BPC Data'!$E:$E,Summary!$D348,'BPC Data'!$B:$B,Summary!$C348)</f>
        <v>0</v>
      </c>
      <c r="I348" s="60">
        <f ca="1">SUMIFS(OFFSET('BPC Data'!$F:$F,0,Summary!I$2),'BPC Data'!$E:$E,Summary!$D348,'BPC Data'!$B:$B,Summary!$C348)</f>
        <v>0</v>
      </c>
      <c r="J348" s="53">
        <f ca="1">SUMIFS(OFFSET('BPC Data'!$F:$F,0,Summary!J$2),'BPC Data'!$E:$E,Summary!$D348,'BPC Data'!$B:$B,Summary!$C348)</f>
        <v>0</v>
      </c>
      <c r="K348" s="60">
        <f ca="1">SUMIFS(OFFSET('BPC Data'!$F:$F,0,Summary!K$2),'BPC Data'!$E:$E,Summary!$D348,'BPC Data'!$B:$B,Summary!$C348)</f>
        <v>0</v>
      </c>
      <c r="L348" s="53">
        <f ca="1">SUMIFS(OFFSET('BPC Data'!$F:$F,0,Summary!L$2),'BPC Data'!$E:$E,Summary!$D348,'BPC Data'!$B:$B,Summary!$C348)</f>
        <v>0</v>
      </c>
      <c r="M348" s="60">
        <f ca="1">SUMIFS(OFFSET('BPC Data'!$F:$F,0,Summary!M$2),'BPC Data'!$E:$E,Summary!$D348,'BPC Data'!$B:$B,Summary!$C348)</f>
        <v>0</v>
      </c>
      <c r="N348" s="53">
        <f ca="1">SUMIFS(OFFSET('BPC Data'!$F:$F,0,Summary!N$2),'BPC Data'!$E:$E,Summary!$D348,'BPC Data'!$B:$B,Summary!$C348)</f>
        <v>0</v>
      </c>
      <c r="O348" s="18">
        <f t="shared" ca="1" si="62"/>
        <v>0</v>
      </c>
    </row>
    <row r="349" spans="1:15" s="11" customFormat="1" hidden="1" outlineLevel="1" x14ac:dyDescent="0.55000000000000004">
      <c r="A349" s="11">
        <f t="shared" si="64"/>
        <v>31</v>
      </c>
      <c r="B349"/>
      <c r="C349"/>
      <c r="D349" s="1" t="str">
        <f t="shared" si="65"/>
        <v>x</v>
      </c>
      <c r="E349"/>
      <c r="F349" s="14" t="s">
        <v>0</v>
      </c>
      <c r="G349" s="61">
        <f ca="1">SUMIFS(OFFSET('BPC Data'!$F:$F,0,Summary!G$2),'BPC Data'!$E:$E,Summary!$D349,'BPC Data'!$B:$B,Summary!$C349)</f>
        <v>0</v>
      </c>
      <c r="H349" s="54">
        <f ca="1">SUMIFS(OFFSET('BPC Data'!$F:$F,0,Summary!H$2),'BPC Data'!$E:$E,Summary!$D349,'BPC Data'!$B:$B,Summary!$C349)</f>
        <v>0</v>
      </c>
      <c r="I349" s="61">
        <f ca="1">SUMIFS(OFFSET('BPC Data'!$F:$F,0,Summary!I$2),'BPC Data'!$E:$E,Summary!$D349,'BPC Data'!$B:$B,Summary!$C349)</f>
        <v>0</v>
      </c>
      <c r="J349" s="54">
        <f ca="1">SUMIFS(OFFSET('BPC Data'!$F:$F,0,Summary!J$2),'BPC Data'!$E:$E,Summary!$D349,'BPC Data'!$B:$B,Summary!$C349)</f>
        <v>0</v>
      </c>
      <c r="K349" s="61">
        <f ca="1">SUMIFS(OFFSET('BPC Data'!$F:$F,0,Summary!K$2),'BPC Data'!$E:$E,Summary!$D349,'BPC Data'!$B:$B,Summary!$C349)</f>
        <v>0</v>
      </c>
      <c r="L349" s="54">
        <f ca="1">SUMIFS(OFFSET('BPC Data'!$F:$F,0,Summary!L$2),'BPC Data'!$E:$E,Summary!$D349,'BPC Data'!$B:$B,Summary!$C349)</f>
        <v>0</v>
      </c>
      <c r="M349" s="61">
        <f ca="1">SUMIFS(OFFSET('BPC Data'!$F:$F,0,Summary!M$2),'BPC Data'!$E:$E,Summary!$D349,'BPC Data'!$B:$B,Summary!$C349)</f>
        <v>0</v>
      </c>
      <c r="N349" s="54">
        <f ca="1">SUMIFS(OFFSET('BPC Data'!$F:$F,0,Summary!N$2),'BPC Data'!$E:$E,Summary!$D349,'BPC Data'!$B:$B,Summary!$C349)</f>
        <v>0</v>
      </c>
      <c r="O349" s="18">
        <f t="shared" ca="1" si="62"/>
        <v>0</v>
      </c>
    </row>
    <row r="350" spans="1:15" s="11" customFormat="1" hidden="1" outlineLevel="1" x14ac:dyDescent="0.55000000000000004">
      <c r="A350" s="11">
        <f>IF(AND(D350&lt;&gt;"",C350=""),A349+1,A349)</f>
        <v>32</v>
      </c>
      <c r="B350" s="4"/>
      <c r="C350" s="4"/>
      <c r="D350" s="4" t="str">
        <f t="shared" si="65"/>
        <v>x</v>
      </c>
      <c r="E350" s="4"/>
      <c r="F350" s="13">
        <f>INDEX(PropertyList!$D:$D,MATCH(Summary!$A350,PropertyList!$C:$C,0))</f>
        <v>0</v>
      </c>
      <c r="G350" s="59">
        <f ca="1">SUMIFS(OFFSET('BPC Data'!$F:$F,0,Summary!G$2),'BPC Data'!$E:$E,Summary!$D350,'BPC Data'!$B:$B,Summary!$C350)</f>
        <v>0</v>
      </c>
      <c r="H350" s="52">
        <f ca="1">SUMIFS(OFFSET('BPC Data'!$F:$F,0,Summary!H$2),'BPC Data'!$E:$E,Summary!$D350,'BPC Data'!$B:$B,Summary!$C350)</f>
        <v>0</v>
      </c>
      <c r="I350" s="59">
        <f ca="1">SUMIFS(OFFSET('BPC Data'!$F:$F,0,Summary!I$2),'BPC Data'!$E:$E,Summary!$D350,'BPC Data'!$B:$B,Summary!$C350)</f>
        <v>0</v>
      </c>
      <c r="J350" s="52">
        <f ca="1">SUMIFS(OFFSET('BPC Data'!$F:$F,0,Summary!J$2),'BPC Data'!$E:$E,Summary!$D350,'BPC Data'!$B:$B,Summary!$C350)</f>
        <v>0</v>
      </c>
      <c r="K350" s="59">
        <f ca="1">SUMIFS(OFFSET('BPC Data'!$F:$F,0,Summary!K$2),'BPC Data'!$E:$E,Summary!$D350,'BPC Data'!$B:$B,Summary!$C350)</f>
        <v>0</v>
      </c>
      <c r="L350" s="52">
        <f ca="1">SUMIFS(OFFSET('BPC Data'!$F:$F,0,Summary!L$2),'BPC Data'!$E:$E,Summary!$D350,'BPC Data'!$B:$B,Summary!$C350)</f>
        <v>0</v>
      </c>
      <c r="M350" s="59">
        <f ca="1">SUMIFS(OFFSET('BPC Data'!$F:$F,0,Summary!M$2),'BPC Data'!$E:$E,Summary!$D350,'BPC Data'!$B:$B,Summary!$C350)</f>
        <v>0</v>
      </c>
      <c r="N350" s="52">
        <f ca="1">SUMIFS(OFFSET('BPC Data'!$F:$F,0,Summary!N$2),'BPC Data'!$E:$E,Summary!$D350,'BPC Data'!$B:$B,Summary!$C350)</f>
        <v>0</v>
      </c>
      <c r="O350" s="18">
        <f t="shared" ca="1" si="62"/>
        <v>0</v>
      </c>
    </row>
    <row r="351" spans="1:15" s="11" customFormat="1" hidden="1" outlineLevel="1" x14ac:dyDescent="0.55000000000000004">
      <c r="A351" s="11">
        <f>IF(AND(F351&lt;&gt;"",D351=""),A350+1,A350)</f>
        <v>32</v>
      </c>
      <c r="C351">
        <f>$F350</f>
        <v>0</v>
      </c>
      <c r="D351" s="3" t="str">
        <f t="shared" si="65"/>
        <v>PAY_PAT_DAYS - Total Payor Patient Days</v>
      </c>
      <c r="F351" s="14" t="str">
        <f>_xll.EVDES(D351)</f>
        <v>Total Payor Patient Days</v>
      </c>
      <c r="G351" s="60">
        <f ca="1">SUMIFS(OFFSET('BPC Data'!$F:$F,0,Summary!G$2),'BPC Data'!$E:$E,Summary!$D351,'BPC Data'!$B:$B,Summary!$C351)</f>
        <v>0</v>
      </c>
      <c r="H351" s="53">
        <f ca="1">SUMIFS(OFFSET('BPC Data'!$F:$F,0,Summary!H$2),'BPC Data'!$E:$E,Summary!$D351,'BPC Data'!$B:$B,Summary!$C351)</f>
        <v>0</v>
      </c>
      <c r="I351" s="60">
        <f ca="1">SUMIFS(OFFSET('BPC Data'!$F:$F,0,Summary!I$2),'BPC Data'!$E:$E,Summary!$D351,'BPC Data'!$B:$B,Summary!$C351)</f>
        <v>0</v>
      </c>
      <c r="J351" s="53">
        <f ca="1">SUMIFS(OFFSET('BPC Data'!$F:$F,0,Summary!J$2),'BPC Data'!$E:$E,Summary!$D351,'BPC Data'!$B:$B,Summary!$C351)</f>
        <v>0</v>
      </c>
      <c r="K351" s="60">
        <f ca="1">SUMIFS(OFFSET('BPC Data'!$F:$F,0,Summary!K$2),'BPC Data'!$E:$E,Summary!$D351,'BPC Data'!$B:$B,Summary!$C351)</f>
        <v>0</v>
      </c>
      <c r="L351" s="53">
        <f ca="1">SUMIFS(OFFSET('BPC Data'!$F:$F,0,Summary!L$2),'BPC Data'!$E:$E,Summary!$D351,'BPC Data'!$B:$B,Summary!$C351)</f>
        <v>0</v>
      </c>
      <c r="M351" s="60">
        <f ca="1">SUMIFS(OFFSET('BPC Data'!$F:$F,0,Summary!M$2),'BPC Data'!$E:$E,Summary!$D351,'BPC Data'!$B:$B,Summary!$C351)</f>
        <v>0</v>
      </c>
      <c r="N351" s="53">
        <f ca="1">SUMIFS(OFFSET('BPC Data'!$F:$F,0,Summary!N$2),'BPC Data'!$E:$E,Summary!$D351,'BPC Data'!$B:$B,Summary!$C351)</f>
        <v>0</v>
      </c>
      <c r="O351" s="18">
        <f t="shared" ca="1" si="62"/>
        <v>0</v>
      </c>
    </row>
    <row r="352" spans="1:15" s="11" customFormat="1" hidden="1" outlineLevel="1" x14ac:dyDescent="0.55000000000000004">
      <c r="A352" s="11">
        <f t="shared" ref="A352:A360" si="66">IF(AND(F352&lt;&gt;"",D352=""),A351+1,A351)</f>
        <v>32</v>
      </c>
      <c r="C352">
        <f>$F350</f>
        <v>0</v>
      </c>
      <c r="D352" s="3" t="str">
        <f t="shared" si="65"/>
        <v>A_BEDS_TOTAL - Total Available Beds</v>
      </c>
      <c r="F352" s="14" t="str">
        <f>_xll.EVDES(D352)</f>
        <v>Total Available Beds</v>
      </c>
      <c r="G352" s="60">
        <f ca="1">SUMIFS(OFFSET('BPC Data'!$F:$F,0,Summary!G$2),'BPC Data'!$E:$E,Summary!$D352,'BPC Data'!$B:$B,Summary!$C352)</f>
        <v>0</v>
      </c>
      <c r="H352" s="53">
        <f ca="1">SUMIFS(OFFSET('BPC Data'!$F:$F,0,Summary!H$2),'BPC Data'!$E:$E,Summary!$D352,'BPC Data'!$B:$B,Summary!$C352)</f>
        <v>0</v>
      </c>
      <c r="I352" s="60">
        <f ca="1">SUMIFS(OFFSET('BPC Data'!$F:$F,0,Summary!I$2),'BPC Data'!$E:$E,Summary!$D352,'BPC Data'!$B:$B,Summary!$C352)</f>
        <v>0</v>
      </c>
      <c r="J352" s="53">
        <f ca="1">SUMIFS(OFFSET('BPC Data'!$F:$F,0,Summary!J$2),'BPC Data'!$E:$E,Summary!$D352,'BPC Data'!$B:$B,Summary!$C352)</f>
        <v>0</v>
      </c>
      <c r="K352" s="60">
        <f ca="1">SUMIFS(OFFSET('BPC Data'!$F:$F,0,Summary!K$2),'BPC Data'!$E:$E,Summary!$D352,'BPC Data'!$B:$B,Summary!$C352)</f>
        <v>0</v>
      </c>
      <c r="L352" s="53">
        <f ca="1">SUMIFS(OFFSET('BPC Data'!$F:$F,0,Summary!L$2),'BPC Data'!$E:$E,Summary!$D352,'BPC Data'!$B:$B,Summary!$C352)</f>
        <v>0</v>
      </c>
      <c r="M352" s="60">
        <f ca="1">SUMIFS(OFFSET('BPC Data'!$F:$F,0,Summary!M$2),'BPC Data'!$E:$E,Summary!$D352,'BPC Data'!$B:$B,Summary!$C352)</f>
        <v>0</v>
      </c>
      <c r="N352" s="53">
        <f ca="1">SUMIFS(OFFSET('BPC Data'!$F:$F,0,Summary!N$2),'BPC Data'!$E:$E,Summary!$D352,'BPC Data'!$B:$B,Summary!$C352)</f>
        <v>0</v>
      </c>
      <c r="O352" s="18">
        <f t="shared" ca="1" si="62"/>
        <v>0</v>
      </c>
    </row>
    <row r="353" spans="1:15" s="11" customFormat="1" hidden="1" outlineLevel="1" x14ac:dyDescent="0.55000000000000004">
      <c r="A353" s="11">
        <f t="shared" si="66"/>
        <v>32</v>
      </c>
      <c r="B353"/>
      <c r="C353">
        <f>$F350</f>
        <v>0</v>
      </c>
      <c r="D353" s="3" t="str">
        <f t="shared" si="65"/>
        <v>T_REVENUES - Total Tenant Revenues</v>
      </c>
      <c r="E353"/>
      <c r="F353" s="14" t="str">
        <f>_xll.EVDES(D353)</f>
        <v>Total Tenant Revenues</v>
      </c>
      <c r="G353" s="60">
        <f ca="1">SUMIFS(OFFSET('BPC Data'!$F:$F,0,Summary!G$2),'BPC Data'!$E:$E,Summary!$D353,'BPC Data'!$B:$B,Summary!$C353)</f>
        <v>0</v>
      </c>
      <c r="H353" s="53">
        <f ca="1">SUMIFS(OFFSET('BPC Data'!$F:$F,0,Summary!H$2),'BPC Data'!$E:$E,Summary!$D353,'BPC Data'!$B:$B,Summary!$C353)</f>
        <v>0</v>
      </c>
      <c r="I353" s="60">
        <f ca="1">SUMIFS(OFFSET('BPC Data'!$F:$F,0,Summary!I$2),'BPC Data'!$E:$E,Summary!$D353,'BPC Data'!$B:$B,Summary!$C353)</f>
        <v>0</v>
      </c>
      <c r="J353" s="53">
        <f ca="1">SUMIFS(OFFSET('BPC Data'!$F:$F,0,Summary!J$2),'BPC Data'!$E:$E,Summary!$D353,'BPC Data'!$B:$B,Summary!$C353)</f>
        <v>0</v>
      </c>
      <c r="K353" s="60">
        <f ca="1">SUMIFS(OFFSET('BPC Data'!$F:$F,0,Summary!K$2),'BPC Data'!$E:$E,Summary!$D353,'BPC Data'!$B:$B,Summary!$C353)</f>
        <v>0</v>
      </c>
      <c r="L353" s="53">
        <f ca="1">SUMIFS(OFFSET('BPC Data'!$F:$F,0,Summary!L$2),'BPC Data'!$E:$E,Summary!$D353,'BPC Data'!$B:$B,Summary!$C353)</f>
        <v>0</v>
      </c>
      <c r="M353" s="60">
        <f ca="1">SUMIFS(OFFSET('BPC Data'!$F:$F,0,Summary!M$2),'BPC Data'!$E:$E,Summary!$D353,'BPC Data'!$B:$B,Summary!$C353)</f>
        <v>0</v>
      </c>
      <c r="N353" s="53">
        <f ca="1">SUMIFS(OFFSET('BPC Data'!$F:$F,0,Summary!N$2),'BPC Data'!$E:$E,Summary!$D353,'BPC Data'!$B:$B,Summary!$C353)</f>
        <v>0</v>
      </c>
      <c r="O353" s="18">
        <f t="shared" ca="1" si="62"/>
        <v>0</v>
      </c>
    </row>
    <row r="354" spans="1:15" s="11" customFormat="1" hidden="1" outlineLevel="1" x14ac:dyDescent="0.55000000000000004">
      <c r="A354" s="11">
        <f t="shared" si="66"/>
        <v>32</v>
      </c>
      <c r="B354"/>
      <c r="C354">
        <f>$F350</f>
        <v>0</v>
      </c>
      <c r="D354" s="3" t="str">
        <f t="shared" si="65"/>
        <v>T_OPEX - Tenant Operating Expenses</v>
      </c>
      <c r="E354"/>
      <c r="F354" s="14" t="str">
        <f>_xll.EVDES(D354)</f>
        <v>Tenant Operating Expenses</v>
      </c>
      <c r="G354" s="60">
        <f ca="1">SUMIFS(OFFSET('BPC Data'!$F:$F,0,Summary!G$2),'BPC Data'!$E:$E,Summary!$D354,'BPC Data'!$B:$B,Summary!$C354)</f>
        <v>0</v>
      </c>
      <c r="H354" s="53">
        <f ca="1">SUMIFS(OFFSET('BPC Data'!$F:$F,0,Summary!H$2),'BPC Data'!$E:$E,Summary!$D354,'BPC Data'!$B:$B,Summary!$C354)</f>
        <v>0</v>
      </c>
      <c r="I354" s="60">
        <f ca="1">SUMIFS(OFFSET('BPC Data'!$F:$F,0,Summary!I$2),'BPC Data'!$E:$E,Summary!$D354,'BPC Data'!$B:$B,Summary!$C354)</f>
        <v>0</v>
      </c>
      <c r="J354" s="53">
        <f ca="1">SUMIFS(OFFSET('BPC Data'!$F:$F,0,Summary!J$2),'BPC Data'!$E:$E,Summary!$D354,'BPC Data'!$B:$B,Summary!$C354)</f>
        <v>0</v>
      </c>
      <c r="K354" s="60">
        <f ca="1">SUMIFS(OFFSET('BPC Data'!$F:$F,0,Summary!K$2),'BPC Data'!$E:$E,Summary!$D354,'BPC Data'!$B:$B,Summary!$C354)</f>
        <v>0</v>
      </c>
      <c r="L354" s="53">
        <f ca="1">SUMIFS(OFFSET('BPC Data'!$F:$F,0,Summary!L$2),'BPC Data'!$E:$E,Summary!$D354,'BPC Data'!$B:$B,Summary!$C354)</f>
        <v>0</v>
      </c>
      <c r="M354" s="60">
        <f ca="1">SUMIFS(OFFSET('BPC Data'!$F:$F,0,Summary!M$2),'BPC Data'!$E:$E,Summary!$D354,'BPC Data'!$B:$B,Summary!$C354)</f>
        <v>0</v>
      </c>
      <c r="N354" s="53">
        <f ca="1">SUMIFS(OFFSET('BPC Data'!$F:$F,0,Summary!N$2),'BPC Data'!$E:$E,Summary!$D354,'BPC Data'!$B:$B,Summary!$C354)</f>
        <v>0</v>
      </c>
      <c r="O354" s="18">
        <f t="shared" ca="1" si="62"/>
        <v>0</v>
      </c>
    </row>
    <row r="355" spans="1:15" s="11" customFormat="1" hidden="1" outlineLevel="1" x14ac:dyDescent="0.55000000000000004">
      <c r="A355" s="11">
        <f t="shared" si="66"/>
        <v>32</v>
      </c>
      <c r="B355"/>
      <c r="C355">
        <f>$F350</f>
        <v>0</v>
      </c>
      <c r="D355" s="3" t="str">
        <f t="shared" si="65"/>
        <v>T_BAD_DEBT - Tenant Bad Debt Expense</v>
      </c>
      <c r="E355"/>
      <c r="F355" s="14" t="str">
        <f>_xll.EVDES(D355)</f>
        <v>Tenant Bad Debt Expense</v>
      </c>
      <c r="G355" s="60">
        <f ca="1">SUMIFS(OFFSET('BPC Data'!$F:$F,0,Summary!G$2),'BPC Data'!$E:$E,Summary!$D355,'BPC Data'!$B:$B,Summary!$C355)</f>
        <v>0</v>
      </c>
      <c r="H355" s="53">
        <f ca="1">SUMIFS(OFFSET('BPC Data'!$F:$F,0,Summary!H$2),'BPC Data'!$E:$E,Summary!$D355,'BPC Data'!$B:$B,Summary!$C355)</f>
        <v>0</v>
      </c>
      <c r="I355" s="60">
        <f ca="1">SUMIFS(OFFSET('BPC Data'!$F:$F,0,Summary!I$2),'BPC Data'!$E:$E,Summary!$D355,'BPC Data'!$B:$B,Summary!$C355)</f>
        <v>0</v>
      </c>
      <c r="J355" s="53">
        <f ca="1">SUMIFS(OFFSET('BPC Data'!$F:$F,0,Summary!J$2),'BPC Data'!$E:$E,Summary!$D355,'BPC Data'!$B:$B,Summary!$C355)</f>
        <v>0</v>
      </c>
      <c r="K355" s="60">
        <f ca="1">SUMIFS(OFFSET('BPC Data'!$F:$F,0,Summary!K$2),'BPC Data'!$E:$E,Summary!$D355,'BPC Data'!$B:$B,Summary!$C355)</f>
        <v>0</v>
      </c>
      <c r="L355" s="53">
        <f ca="1">SUMIFS(OFFSET('BPC Data'!$F:$F,0,Summary!L$2),'BPC Data'!$E:$E,Summary!$D355,'BPC Data'!$B:$B,Summary!$C355)</f>
        <v>0</v>
      </c>
      <c r="M355" s="60">
        <f ca="1">SUMIFS(OFFSET('BPC Data'!$F:$F,0,Summary!M$2),'BPC Data'!$E:$E,Summary!$D355,'BPC Data'!$B:$B,Summary!$C355)</f>
        <v>0</v>
      </c>
      <c r="N355" s="53">
        <f ca="1">SUMIFS(OFFSET('BPC Data'!$F:$F,0,Summary!N$2),'BPC Data'!$E:$E,Summary!$D355,'BPC Data'!$B:$B,Summary!$C355)</f>
        <v>0</v>
      </c>
      <c r="O355" s="18">
        <f t="shared" ca="1" si="62"/>
        <v>0</v>
      </c>
    </row>
    <row r="356" spans="1:15" s="11" customFormat="1" hidden="1" outlineLevel="1" x14ac:dyDescent="0.55000000000000004">
      <c r="A356" s="11">
        <f t="shared" si="66"/>
        <v>32</v>
      </c>
      <c r="B356"/>
      <c r="C356">
        <f>$F350</f>
        <v>0</v>
      </c>
      <c r="D356" s="2" t="str">
        <f t="shared" si="65"/>
        <v>T_EBITDARM - EBITDARM</v>
      </c>
      <c r="E356"/>
      <c r="F356" s="14" t="str">
        <f>_xll.EVDES(D356)</f>
        <v>EBITDARM</v>
      </c>
      <c r="G356" s="60">
        <f ca="1">SUMIFS(OFFSET('BPC Data'!$F:$F,0,Summary!G$2),'BPC Data'!$E:$E,Summary!$D356,'BPC Data'!$B:$B,Summary!$C356)</f>
        <v>0</v>
      </c>
      <c r="H356" s="53">
        <f ca="1">SUMIFS(OFFSET('BPC Data'!$F:$F,0,Summary!H$2),'BPC Data'!$E:$E,Summary!$D356,'BPC Data'!$B:$B,Summary!$C356)</f>
        <v>0</v>
      </c>
      <c r="I356" s="60">
        <f ca="1">SUMIFS(OFFSET('BPC Data'!$F:$F,0,Summary!I$2),'BPC Data'!$E:$E,Summary!$D356,'BPC Data'!$B:$B,Summary!$C356)</f>
        <v>0</v>
      </c>
      <c r="J356" s="53">
        <f ca="1">SUMIFS(OFFSET('BPC Data'!$F:$F,0,Summary!J$2),'BPC Data'!$E:$E,Summary!$D356,'BPC Data'!$B:$B,Summary!$C356)</f>
        <v>0</v>
      </c>
      <c r="K356" s="60">
        <f ca="1">SUMIFS(OFFSET('BPC Data'!$F:$F,0,Summary!K$2),'BPC Data'!$E:$E,Summary!$D356,'BPC Data'!$B:$B,Summary!$C356)</f>
        <v>0</v>
      </c>
      <c r="L356" s="53">
        <f ca="1">SUMIFS(OFFSET('BPC Data'!$F:$F,0,Summary!L$2),'BPC Data'!$E:$E,Summary!$D356,'BPC Data'!$B:$B,Summary!$C356)</f>
        <v>0</v>
      </c>
      <c r="M356" s="60">
        <f ca="1">SUMIFS(OFFSET('BPC Data'!$F:$F,0,Summary!M$2),'BPC Data'!$E:$E,Summary!$D356,'BPC Data'!$B:$B,Summary!$C356)</f>
        <v>0</v>
      </c>
      <c r="N356" s="53">
        <f ca="1">SUMIFS(OFFSET('BPC Data'!$F:$F,0,Summary!N$2),'BPC Data'!$E:$E,Summary!$D356,'BPC Data'!$B:$B,Summary!$C356)</f>
        <v>0</v>
      </c>
      <c r="O356" s="18">
        <f t="shared" ca="1" si="62"/>
        <v>0</v>
      </c>
    </row>
    <row r="357" spans="1:15" s="11" customFormat="1" hidden="1" outlineLevel="1" x14ac:dyDescent="0.55000000000000004">
      <c r="A357" s="11">
        <f t="shared" si="66"/>
        <v>32</v>
      </c>
      <c r="B357"/>
      <c r="C357">
        <f>$F350</f>
        <v>0</v>
      </c>
      <c r="D357" s="2" t="str">
        <f t="shared" si="65"/>
        <v>T_MGMT_FEE - Tenant Management Fee - Actual</v>
      </c>
      <c r="E357"/>
      <c r="F357" s="14" t="str">
        <f>_xll.EVDES(D357)</f>
        <v>Tenant Management Fee - Actual</v>
      </c>
      <c r="G357" s="60">
        <f ca="1">SUMIFS(OFFSET('BPC Data'!$F:$F,0,Summary!G$2),'BPC Data'!$E:$E,Summary!$D357,'BPC Data'!$B:$B,Summary!$C357)</f>
        <v>0</v>
      </c>
      <c r="H357" s="53">
        <f ca="1">SUMIFS(OFFSET('BPC Data'!$F:$F,0,Summary!H$2),'BPC Data'!$E:$E,Summary!$D357,'BPC Data'!$B:$B,Summary!$C357)</f>
        <v>0</v>
      </c>
      <c r="I357" s="60">
        <f ca="1">SUMIFS(OFFSET('BPC Data'!$F:$F,0,Summary!I$2),'BPC Data'!$E:$E,Summary!$D357,'BPC Data'!$B:$B,Summary!$C357)</f>
        <v>0</v>
      </c>
      <c r="J357" s="53">
        <f ca="1">SUMIFS(OFFSET('BPC Data'!$F:$F,0,Summary!J$2),'BPC Data'!$E:$E,Summary!$D357,'BPC Data'!$B:$B,Summary!$C357)</f>
        <v>0</v>
      </c>
      <c r="K357" s="60">
        <f ca="1">SUMIFS(OFFSET('BPC Data'!$F:$F,0,Summary!K$2),'BPC Data'!$E:$E,Summary!$D357,'BPC Data'!$B:$B,Summary!$C357)</f>
        <v>0</v>
      </c>
      <c r="L357" s="53">
        <f ca="1">SUMIFS(OFFSET('BPC Data'!$F:$F,0,Summary!L$2),'BPC Data'!$E:$E,Summary!$D357,'BPC Data'!$B:$B,Summary!$C357)</f>
        <v>0</v>
      </c>
      <c r="M357" s="60">
        <f ca="1">SUMIFS(OFFSET('BPC Data'!$F:$F,0,Summary!M$2),'BPC Data'!$E:$E,Summary!$D357,'BPC Data'!$B:$B,Summary!$C357)</f>
        <v>0</v>
      </c>
      <c r="N357" s="53">
        <f ca="1">SUMIFS(OFFSET('BPC Data'!$F:$F,0,Summary!N$2),'BPC Data'!$E:$E,Summary!$D357,'BPC Data'!$B:$B,Summary!$C357)</f>
        <v>0</v>
      </c>
      <c r="O357" s="18">
        <f t="shared" ca="1" si="62"/>
        <v>0</v>
      </c>
    </row>
    <row r="358" spans="1:15" s="11" customFormat="1" hidden="1" outlineLevel="1" x14ac:dyDescent="0.55000000000000004">
      <c r="A358" s="11">
        <f t="shared" si="66"/>
        <v>32</v>
      </c>
      <c r="B358"/>
      <c r="C358">
        <f>$F350</f>
        <v>0</v>
      </c>
      <c r="D358" s="1" t="str">
        <f t="shared" si="65"/>
        <v>T_EBITDAR - EBITDAR</v>
      </c>
      <c r="E358"/>
      <c r="F358" s="14" t="str">
        <f>_xll.EVDES(D358)</f>
        <v>EBITDAR</v>
      </c>
      <c r="G358" s="60">
        <f ca="1">SUMIFS(OFFSET('BPC Data'!$F:$F,0,Summary!G$2),'BPC Data'!$E:$E,Summary!$D358,'BPC Data'!$B:$B,Summary!$C358)</f>
        <v>0</v>
      </c>
      <c r="H358" s="53">
        <f ca="1">SUMIFS(OFFSET('BPC Data'!$F:$F,0,Summary!H$2),'BPC Data'!$E:$E,Summary!$D358,'BPC Data'!$B:$B,Summary!$C358)</f>
        <v>0</v>
      </c>
      <c r="I358" s="60">
        <f ca="1">SUMIFS(OFFSET('BPC Data'!$F:$F,0,Summary!I$2),'BPC Data'!$E:$E,Summary!$D358,'BPC Data'!$B:$B,Summary!$C358)</f>
        <v>0</v>
      </c>
      <c r="J358" s="53">
        <f ca="1">SUMIFS(OFFSET('BPC Data'!$F:$F,0,Summary!J$2),'BPC Data'!$E:$E,Summary!$D358,'BPC Data'!$B:$B,Summary!$C358)</f>
        <v>0</v>
      </c>
      <c r="K358" s="60">
        <f ca="1">SUMIFS(OFFSET('BPC Data'!$F:$F,0,Summary!K$2),'BPC Data'!$E:$E,Summary!$D358,'BPC Data'!$B:$B,Summary!$C358)</f>
        <v>0</v>
      </c>
      <c r="L358" s="53">
        <f ca="1">SUMIFS(OFFSET('BPC Data'!$F:$F,0,Summary!L$2),'BPC Data'!$E:$E,Summary!$D358,'BPC Data'!$B:$B,Summary!$C358)</f>
        <v>0</v>
      </c>
      <c r="M358" s="60">
        <f ca="1">SUMIFS(OFFSET('BPC Data'!$F:$F,0,Summary!M$2),'BPC Data'!$E:$E,Summary!$D358,'BPC Data'!$B:$B,Summary!$C358)</f>
        <v>0</v>
      </c>
      <c r="N358" s="53">
        <f ca="1">SUMIFS(OFFSET('BPC Data'!$F:$F,0,Summary!N$2),'BPC Data'!$E:$E,Summary!$D358,'BPC Data'!$B:$B,Summary!$C358)</f>
        <v>0</v>
      </c>
      <c r="O358" s="18">
        <f t="shared" ca="1" si="62"/>
        <v>0</v>
      </c>
    </row>
    <row r="359" spans="1:15" s="11" customFormat="1" hidden="1" outlineLevel="1" x14ac:dyDescent="0.55000000000000004">
      <c r="A359" s="11">
        <f t="shared" si="66"/>
        <v>32</v>
      </c>
      <c r="B359"/>
      <c r="C359">
        <f>$F350</f>
        <v>0</v>
      </c>
      <c r="D359" s="1" t="str">
        <f t="shared" si="65"/>
        <v>T_RENT_EXP - Tenant Rent Expense</v>
      </c>
      <c r="E359"/>
      <c r="F359" s="14" t="str">
        <f>_xll.EVDES(D359)</f>
        <v>Tenant Rent Expense</v>
      </c>
      <c r="G359" s="60">
        <f ca="1">SUMIFS(OFFSET('BPC Data'!$F:$F,0,Summary!G$2),'BPC Data'!$E:$E,Summary!$D359,'BPC Data'!$B:$B,Summary!$C359)</f>
        <v>0</v>
      </c>
      <c r="H359" s="53">
        <f ca="1">SUMIFS(OFFSET('BPC Data'!$F:$F,0,Summary!H$2),'BPC Data'!$E:$E,Summary!$D359,'BPC Data'!$B:$B,Summary!$C359)</f>
        <v>0</v>
      </c>
      <c r="I359" s="60">
        <f ca="1">SUMIFS(OFFSET('BPC Data'!$F:$F,0,Summary!I$2),'BPC Data'!$E:$E,Summary!$D359,'BPC Data'!$B:$B,Summary!$C359)</f>
        <v>0</v>
      </c>
      <c r="J359" s="53">
        <f ca="1">SUMIFS(OFFSET('BPC Data'!$F:$F,0,Summary!J$2),'BPC Data'!$E:$E,Summary!$D359,'BPC Data'!$B:$B,Summary!$C359)</f>
        <v>0</v>
      </c>
      <c r="K359" s="60">
        <f ca="1">SUMIFS(OFFSET('BPC Data'!$F:$F,0,Summary!K$2),'BPC Data'!$E:$E,Summary!$D359,'BPC Data'!$B:$B,Summary!$C359)</f>
        <v>0</v>
      </c>
      <c r="L359" s="53">
        <f ca="1">SUMIFS(OFFSET('BPC Data'!$F:$F,0,Summary!L$2),'BPC Data'!$E:$E,Summary!$D359,'BPC Data'!$B:$B,Summary!$C359)</f>
        <v>0</v>
      </c>
      <c r="M359" s="60">
        <f ca="1">SUMIFS(OFFSET('BPC Data'!$F:$F,0,Summary!M$2),'BPC Data'!$E:$E,Summary!$D359,'BPC Data'!$B:$B,Summary!$C359)</f>
        <v>0</v>
      </c>
      <c r="N359" s="53">
        <f ca="1">SUMIFS(OFFSET('BPC Data'!$F:$F,0,Summary!N$2),'BPC Data'!$E:$E,Summary!$D359,'BPC Data'!$B:$B,Summary!$C359)</f>
        <v>0</v>
      </c>
      <c r="O359" s="18">
        <f t="shared" ca="1" si="62"/>
        <v>0</v>
      </c>
    </row>
    <row r="360" spans="1:15" s="11" customFormat="1" hidden="1" outlineLevel="1" x14ac:dyDescent="0.55000000000000004">
      <c r="A360" s="11">
        <f t="shared" si="66"/>
        <v>32</v>
      </c>
      <c r="B360"/>
      <c r="C360"/>
      <c r="D360" s="1" t="str">
        <f t="shared" si="65"/>
        <v>x</v>
      </c>
      <c r="E360"/>
      <c r="F360" s="14" t="s">
        <v>0</v>
      </c>
      <c r="G360" s="61">
        <f ca="1">SUMIFS(OFFSET('BPC Data'!$F:$F,0,Summary!G$2),'BPC Data'!$E:$E,Summary!$D360,'BPC Data'!$B:$B,Summary!$C360)</f>
        <v>0</v>
      </c>
      <c r="H360" s="54">
        <f ca="1">SUMIFS(OFFSET('BPC Data'!$F:$F,0,Summary!H$2),'BPC Data'!$E:$E,Summary!$D360,'BPC Data'!$B:$B,Summary!$C360)</f>
        <v>0</v>
      </c>
      <c r="I360" s="61">
        <f ca="1">SUMIFS(OFFSET('BPC Data'!$F:$F,0,Summary!I$2),'BPC Data'!$E:$E,Summary!$D360,'BPC Data'!$B:$B,Summary!$C360)</f>
        <v>0</v>
      </c>
      <c r="J360" s="54">
        <f ca="1">SUMIFS(OFFSET('BPC Data'!$F:$F,0,Summary!J$2),'BPC Data'!$E:$E,Summary!$D360,'BPC Data'!$B:$B,Summary!$C360)</f>
        <v>0</v>
      </c>
      <c r="K360" s="61">
        <f ca="1">SUMIFS(OFFSET('BPC Data'!$F:$F,0,Summary!K$2),'BPC Data'!$E:$E,Summary!$D360,'BPC Data'!$B:$B,Summary!$C360)</f>
        <v>0</v>
      </c>
      <c r="L360" s="54">
        <f ca="1">SUMIFS(OFFSET('BPC Data'!$F:$F,0,Summary!L$2),'BPC Data'!$E:$E,Summary!$D360,'BPC Data'!$B:$B,Summary!$C360)</f>
        <v>0</v>
      </c>
      <c r="M360" s="61">
        <f ca="1">SUMIFS(OFFSET('BPC Data'!$F:$F,0,Summary!M$2),'BPC Data'!$E:$E,Summary!$D360,'BPC Data'!$B:$B,Summary!$C360)</f>
        <v>0</v>
      </c>
      <c r="N360" s="54">
        <f ca="1">SUMIFS(OFFSET('BPC Data'!$F:$F,0,Summary!N$2),'BPC Data'!$E:$E,Summary!$D360,'BPC Data'!$B:$B,Summary!$C360)</f>
        <v>0</v>
      </c>
      <c r="O360" s="18">
        <f t="shared" ca="1" si="62"/>
        <v>0</v>
      </c>
    </row>
    <row r="361" spans="1:15" s="11" customFormat="1" hidden="1" outlineLevel="1" x14ac:dyDescent="0.55000000000000004">
      <c r="A361" s="11">
        <f>IF(AND(D361&lt;&gt;"",C361=""),A360+1,A360)</f>
        <v>33</v>
      </c>
      <c r="B361" s="4"/>
      <c r="C361" s="4"/>
      <c r="D361" s="4" t="str">
        <f t="shared" si="65"/>
        <v>x</v>
      </c>
      <c r="E361" s="4"/>
      <c r="F361" s="13">
        <f>INDEX(PropertyList!$D:$D,MATCH(Summary!$A361,PropertyList!$C:$C,0))</f>
        <v>0</v>
      </c>
      <c r="G361" s="59">
        <f ca="1">SUMIFS(OFFSET('BPC Data'!$F:$F,0,Summary!G$2),'BPC Data'!$E:$E,Summary!$D361,'BPC Data'!$B:$B,Summary!$C361)</f>
        <v>0</v>
      </c>
      <c r="H361" s="52">
        <f ca="1">SUMIFS(OFFSET('BPC Data'!$F:$F,0,Summary!H$2),'BPC Data'!$E:$E,Summary!$D361,'BPC Data'!$B:$B,Summary!$C361)</f>
        <v>0</v>
      </c>
      <c r="I361" s="59">
        <f ca="1">SUMIFS(OFFSET('BPC Data'!$F:$F,0,Summary!I$2),'BPC Data'!$E:$E,Summary!$D361,'BPC Data'!$B:$B,Summary!$C361)</f>
        <v>0</v>
      </c>
      <c r="J361" s="52">
        <f ca="1">SUMIFS(OFFSET('BPC Data'!$F:$F,0,Summary!J$2),'BPC Data'!$E:$E,Summary!$D361,'BPC Data'!$B:$B,Summary!$C361)</f>
        <v>0</v>
      </c>
      <c r="K361" s="59">
        <f ca="1">SUMIFS(OFFSET('BPC Data'!$F:$F,0,Summary!K$2),'BPC Data'!$E:$E,Summary!$D361,'BPC Data'!$B:$B,Summary!$C361)</f>
        <v>0</v>
      </c>
      <c r="L361" s="52">
        <f ca="1">SUMIFS(OFFSET('BPC Data'!$F:$F,0,Summary!L$2),'BPC Data'!$E:$E,Summary!$D361,'BPC Data'!$B:$B,Summary!$C361)</f>
        <v>0</v>
      </c>
      <c r="M361" s="59">
        <f ca="1">SUMIFS(OFFSET('BPC Data'!$F:$F,0,Summary!M$2),'BPC Data'!$E:$E,Summary!$D361,'BPC Data'!$B:$B,Summary!$C361)</f>
        <v>0</v>
      </c>
      <c r="N361" s="52">
        <f ca="1">SUMIFS(OFFSET('BPC Data'!$F:$F,0,Summary!N$2),'BPC Data'!$E:$E,Summary!$D361,'BPC Data'!$B:$B,Summary!$C361)</f>
        <v>0</v>
      </c>
      <c r="O361" s="18">
        <f t="shared" ca="1" si="62"/>
        <v>0</v>
      </c>
    </row>
    <row r="362" spans="1:15" s="11" customFormat="1" hidden="1" outlineLevel="1" x14ac:dyDescent="0.55000000000000004">
      <c r="A362" s="11">
        <f>IF(AND(F362&lt;&gt;"",D362=""),A361+1,A361)</f>
        <v>33</v>
      </c>
      <c r="C362">
        <f>$F361</f>
        <v>0</v>
      </c>
      <c r="D362" s="3" t="str">
        <f t="shared" si="65"/>
        <v>PAY_PAT_DAYS - Total Payor Patient Days</v>
      </c>
      <c r="F362" s="14" t="str">
        <f>_xll.EVDES(D362)</f>
        <v>Total Payor Patient Days</v>
      </c>
      <c r="G362" s="60">
        <f ca="1">SUMIFS(OFFSET('BPC Data'!$F:$F,0,Summary!G$2),'BPC Data'!$E:$E,Summary!$D362,'BPC Data'!$B:$B,Summary!$C362)</f>
        <v>0</v>
      </c>
      <c r="H362" s="53">
        <f ca="1">SUMIFS(OFFSET('BPC Data'!$F:$F,0,Summary!H$2),'BPC Data'!$E:$E,Summary!$D362,'BPC Data'!$B:$B,Summary!$C362)</f>
        <v>0</v>
      </c>
      <c r="I362" s="60">
        <f ca="1">SUMIFS(OFFSET('BPC Data'!$F:$F,0,Summary!I$2),'BPC Data'!$E:$E,Summary!$D362,'BPC Data'!$B:$B,Summary!$C362)</f>
        <v>0</v>
      </c>
      <c r="J362" s="53">
        <f ca="1">SUMIFS(OFFSET('BPC Data'!$F:$F,0,Summary!J$2),'BPC Data'!$E:$E,Summary!$D362,'BPC Data'!$B:$B,Summary!$C362)</f>
        <v>0</v>
      </c>
      <c r="K362" s="60">
        <f ca="1">SUMIFS(OFFSET('BPC Data'!$F:$F,0,Summary!K$2),'BPC Data'!$E:$E,Summary!$D362,'BPC Data'!$B:$B,Summary!$C362)</f>
        <v>0</v>
      </c>
      <c r="L362" s="53">
        <f ca="1">SUMIFS(OFFSET('BPC Data'!$F:$F,0,Summary!L$2),'BPC Data'!$E:$E,Summary!$D362,'BPC Data'!$B:$B,Summary!$C362)</f>
        <v>0</v>
      </c>
      <c r="M362" s="60">
        <f ca="1">SUMIFS(OFFSET('BPC Data'!$F:$F,0,Summary!M$2),'BPC Data'!$E:$E,Summary!$D362,'BPC Data'!$B:$B,Summary!$C362)</f>
        <v>0</v>
      </c>
      <c r="N362" s="53">
        <f ca="1">SUMIFS(OFFSET('BPC Data'!$F:$F,0,Summary!N$2),'BPC Data'!$E:$E,Summary!$D362,'BPC Data'!$B:$B,Summary!$C362)</f>
        <v>0</v>
      </c>
      <c r="O362" s="18">
        <f t="shared" ca="1" si="62"/>
        <v>0</v>
      </c>
    </row>
    <row r="363" spans="1:15" s="11" customFormat="1" hidden="1" outlineLevel="1" x14ac:dyDescent="0.55000000000000004">
      <c r="A363" s="11">
        <f t="shared" ref="A363:A371" si="67">IF(AND(F363&lt;&gt;"",D363=""),A362+1,A362)</f>
        <v>33</v>
      </c>
      <c r="C363">
        <f>$F361</f>
        <v>0</v>
      </c>
      <c r="D363" s="3" t="str">
        <f t="shared" si="65"/>
        <v>A_BEDS_TOTAL - Total Available Beds</v>
      </c>
      <c r="F363" s="14" t="str">
        <f>_xll.EVDES(D363)</f>
        <v>Total Available Beds</v>
      </c>
      <c r="G363" s="60">
        <f ca="1">SUMIFS(OFFSET('BPC Data'!$F:$F,0,Summary!G$2),'BPC Data'!$E:$E,Summary!$D363,'BPC Data'!$B:$B,Summary!$C363)</f>
        <v>0</v>
      </c>
      <c r="H363" s="53">
        <f ca="1">SUMIFS(OFFSET('BPC Data'!$F:$F,0,Summary!H$2),'BPC Data'!$E:$E,Summary!$D363,'BPC Data'!$B:$B,Summary!$C363)</f>
        <v>0</v>
      </c>
      <c r="I363" s="60">
        <f ca="1">SUMIFS(OFFSET('BPC Data'!$F:$F,0,Summary!I$2),'BPC Data'!$E:$E,Summary!$D363,'BPC Data'!$B:$B,Summary!$C363)</f>
        <v>0</v>
      </c>
      <c r="J363" s="53">
        <f ca="1">SUMIFS(OFFSET('BPC Data'!$F:$F,0,Summary!J$2),'BPC Data'!$E:$E,Summary!$D363,'BPC Data'!$B:$B,Summary!$C363)</f>
        <v>0</v>
      </c>
      <c r="K363" s="60">
        <f ca="1">SUMIFS(OFFSET('BPC Data'!$F:$F,0,Summary!K$2),'BPC Data'!$E:$E,Summary!$D363,'BPC Data'!$B:$B,Summary!$C363)</f>
        <v>0</v>
      </c>
      <c r="L363" s="53">
        <f ca="1">SUMIFS(OFFSET('BPC Data'!$F:$F,0,Summary!L$2),'BPC Data'!$E:$E,Summary!$D363,'BPC Data'!$B:$B,Summary!$C363)</f>
        <v>0</v>
      </c>
      <c r="M363" s="60">
        <f ca="1">SUMIFS(OFFSET('BPC Data'!$F:$F,0,Summary!M$2),'BPC Data'!$E:$E,Summary!$D363,'BPC Data'!$B:$B,Summary!$C363)</f>
        <v>0</v>
      </c>
      <c r="N363" s="53">
        <f ca="1">SUMIFS(OFFSET('BPC Data'!$F:$F,0,Summary!N$2),'BPC Data'!$E:$E,Summary!$D363,'BPC Data'!$B:$B,Summary!$C363)</f>
        <v>0</v>
      </c>
      <c r="O363" s="18">
        <f t="shared" ca="1" si="62"/>
        <v>0</v>
      </c>
    </row>
    <row r="364" spans="1:15" s="11" customFormat="1" hidden="1" outlineLevel="1" x14ac:dyDescent="0.55000000000000004">
      <c r="A364" s="11">
        <f t="shared" si="67"/>
        <v>33</v>
      </c>
      <c r="B364"/>
      <c r="C364">
        <f>$F361</f>
        <v>0</v>
      </c>
      <c r="D364" s="3" t="str">
        <f t="shared" si="65"/>
        <v>T_REVENUES - Total Tenant Revenues</v>
      </c>
      <c r="E364"/>
      <c r="F364" s="14" t="str">
        <f>_xll.EVDES(D364)</f>
        <v>Total Tenant Revenues</v>
      </c>
      <c r="G364" s="60">
        <f ca="1">SUMIFS(OFFSET('BPC Data'!$F:$F,0,Summary!G$2),'BPC Data'!$E:$E,Summary!$D364,'BPC Data'!$B:$B,Summary!$C364)</f>
        <v>0</v>
      </c>
      <c r="H364" s="53">
        <f ca="1">SUMIFS(OFFSET('BPC Data'!$F:$F,0,Summary!H$2),'BPC Data'!$E:$E,Summary!$D364,'BPC Data'!$B:$B,Summary!$C364)</f>
        <v>0</v>
      </c>
      <c r="I364" s="60">
        <f ca="1">SUMIFS(OFFSET('BPC Data'!$F:$F,0,Summary!I$2),'BPC Data'!$E:$E,Summary!$D364,'BPC Data'!$B:$B,Summary!$C364)</f>
        <v>0</v>
      </c>
      <c r="J364" s="53">
        <f ca="1">SUMIFS(OFFSET('BPC Data'!$F:$F,0,Summary!J$2),'BPC Data'!$E:$E,Summary!$D364,'BPC Data'!$B:$B,Summary!$C364)</f>
        <v>0</v>
      </c>
      <c r="K364" s="60">
        <f ca="1">SUMIFS(OFFSET('BPC Data'!$F:$F,0,Summary!K$2),'BPC Data'!$E:$E,Summary!$D364,'BPC Data'!$B:$B,Summary!$C364)</f>
        <v>0</v>
      </c>
      <c r="L364" s="53">
        <f ca="1">SUMIFS(OFFSET('BPC Data'!$F:$F,0,Summary!L$2),'BPC Data'!$E:$E,Summary!$D364,'BPC Data'!$B:$B,Summary!$C364)</f>
        <v>0</v>
      </c>
      <c r="M364" s="60">
        <f ca="1">SUMIFS(OFFSET('BPC Data'!$F:$F,0,Summary!M$2),'BPC Data'!$E:$E,Summary!$D364,'BPC Data'!$B:$B,Summary!$C364)</f>
        <v>0</v>
      </c>
      <c r="N364" s="53">
        <f ca="1">SUMIFS(OFFSET('BPC Data'!$F:$F,0,Summary!N$2),'BPC Data'!$E:$E,Summary!$D364,'BPC Data'!$B:$B,Summary!$C364)</f>
        <v>0</v>
      </c>
      <c r="O364" s="18">
        <f t="shared" ca="1" si="62"/>
        <v>0</v>
      </c>
    </row>
    <row r="365" spans="1:15" s="11" customFormat="1" hidden="1" outlineLevel="1" x14ac:dyDescent="0.55000000000000004">
      <c r="A365" s="11">
        <f t="shared" si="67"/>
        <v>33</v>
      </c>
      <c r="B365"/>
      <c r="C365">
        <f>$F361</f>
        <v>0</v>
      </c>
      <c r="D365" s="3" t="str">
        <f t="shared" si="65"/>
        <v>T_OPEX - Tenant Operating Expenses</v>
      </c>
      <c r="E365"/>
      <c r="F365" s="14" t="str">
        <f>_xll.EVDES(D365)</f>
        <v>Tenant Operating Expenses</v>
      </c>
      <c r="G365" s="60">
        <f ca="1">SUMIFS(OFFSET('BPC Data'!$F:$F,0,Summary!G$2),'BPC Data'!$E:$E,Summary!$D365,'BPC Data'!$B:$B,Summary!$C365)</f>
        <v>0</v>
      </c>
      <c r="H365" s="53">
        <f ca="1">SUMIFS(OFFSET('BPC Data'!$F:$F,0,Summary!H$2),'BPC Data'!$E:$E,Summary!$D365,'BPC Data'!$B:$B,Summary!$C365)</f>
        <v>0</v>
      </c>
      <c r="I365" s="60">
        <f ca="1">SUMIFS(OFFSET('BPC Data'!$F:$F,0,Summary!I$2),'BPC Data'!$E:$E,Summary!$D365,'BPC Data'!$B:$B,Summary!$C365)</f>
        <v>0</v>
      </c>
      <c r="J365" s="53">
        <f ca="1">SUMIFS(OFFSET('BPC Data'!$F:$F,0,Summary!J$2),'BPC Data'!$E:$E,Summary!$D365,'BPC Data'!$B:$B,Summary!$C365)</f>
        <v>0</v>
      </c>
      <c r="K365" s="60">
        <f ca="1">SUMIFS(OFFSET('BPC Data'!$F:$F,0,Summary!K$2),'BPC Data'!$E:$E,Summary!$D365,'BPC Data'!$B:$B,Summary!$C365)</f>
        <v>0</v>
      </c>
      <c r="L365" s="53">
        <f ca="1">SUMIFS(OFFSET('BPC Data'!$F:$F,0,Summary!L$2),'BPC Data'!$E:$E,Summary!$D365,'BPC Data'!$B:$B,Summary!$C365)</f>
        <v>0</v>
      </c>
      <c r="M365" s="60">
        <f ca="1">SUMIFS(OFFSET('BPC Data'!$F:$F,0,Summary!M$2),'BPC Data'!$E:$E,Summary!$D365,'BPC Data'!$B:$B,Summary!$C365)</f>
        <v>0</v>
      </c>
      <c r="N365" s="53">
        <f ca="1">SUMIFS(OFFSET('BPC Data'!$F:$F,0,Summary!N$2),'BPC Data'!$E:$E,Summary!$D365,'BPC Data'!$B:$B,Summary!$C365)</f>
        <v>0</v>
      </c>
      <c r="O365" s="18">
        <f t="shared" ca="1" si="62"/>
        <v>0</v>
      </c>
    </row>
    <row r="366" spans="1:15" s="11" customFormat="1" hidden="1" outlineLevel="1" x14ac:dyDescent="0.55000000000000004">
      <c r="A366" s="11">
        <f t="shared" si="67"/>
        <v>33</v>
      </c>
      <c r="B366"/>
      <c r="C366">
        <f>$F361</f>
        <v>0</v>
      </c>
      <c r="D366" s="3" t="str">
        <f t="shared" si="65"/>
        <v>T_BAD_DEBT - Tenant Bad Debt Expense</v>
      </c>
      <c r="E366"/>
      <c r="F366" s="14" t="str">
        <f>_xll.EVDES(D366)</f>
        <v>Tenant Bad Debt Expense</v>
      </c>
      <c r="G366" s="60">
        <f ca="1">SUMIFS(OFFSET('BPC Data'!$F:$F,0,Summary!G$2),'BPC Data'!$E:$E,Summary!$D366,'BPC Data'!$B:$B,Summary!$C366)</f>
        <v>0</v>
      </c>
      <c r="H366" s="53">
        <f ca="1">SUMIFS(OFFSET('BPC Data'!$F:$F,0,Summary!H$2),'BPC Data'!$E:$E,Summary!$D366,'BPC Data'!$B:$B,Summary!$C366)</f>
        <v>0</v>
      </c>
      <c r="I366" s="60">
        <f ca="1">SUMIFS(OFFSET('BPC Data'!$F:$F,0,Summary!I$2),'BPC Data'!$E:$E,Summary!$D366,'BPC Data'!$B:$B,Summary!$C366)</f>
        <v>0</v>
      </c>
      <c r="J366" s="53">
        <f ca="1">SUMIFS(OFFSET('BPC Data'!$F:$F,0,Summary!J$2),'BPC Data'!$E:$E,Summary!$D366,'BPC Data'!$B:$B,Summary!$C366)</f>
        <v>0</v>
      </c>
      <c r="K366" s="60">
        <f ca="1">SUMIFS(OFFSET('BPC Data'!$F:$F,0,Summary!K$2),'BPC Data'!$E:$E,Summary!$D366,'BPC Data'!$B:$B,Summary!$C366)</f>
        <v>0</v>
      </c>
      <c r="L366" s="53">
        <f ca="1">SUMIFS(OFFSET('BPC Data'!$F:$F,0,Summary!L$2),'BPC Data'!$E:$E,Summary!$D366,'BPC Data'!$B:$B,Summary!$C366)</f>
        <v>0</v>
      </c>
      <c r="M366" s="60">
        <f ca="1">SUMIFS(OFFSET('BPC Data'!$F:$F,0,Summary!M$2),'BPC Data'!$E:$E,Summary!$D366,'BPC Data'!$B:$B,Summary!$C366)</f>
        <v>0</v>
      </c>
      <c r="N366" s="53">
        <f ca="1">SUMIFS(OFFSET('BPC Data'!$F:$F,0,Summary!N$2),'BPC Data'!$E:$E,Summary!$D366,'BPC Data'!$B:$B,Summary!$C366)</f>
        <v>0</v>
      </c>
      <c r="O366" s="18">
        <f t="shared" ca="1" si="62"/>
        <v>0</v>
      </c>
    </row>
    <row r="367" spans="1:15" s="11" customFormat="1" hidden="1" outlineLevel="1" x14ac:dyDescent="0.55000000000000004">
      <c r="A367" s="11">
        <f t="shared" si="67"/>
        <v>33</v>
      </c>
      <c r="B367"/>
      <c r="C367">
        <f>$F361</f>
        <v>0</v>
      </c>
      <c r="D367" s="2" t="str">
        <f t="shared" si="65"/>
        <v>T_EBITDARM - EBITDARM</v>
      </c>
      <c r="E367"/>
      <c r="F367" s="14" t="str">
        <f>_xll.EVDES(D367)</f>
        <v>EBITDARM</v>
      </c>
      <c r="G367" s="60">
        <f ca="1">SUMIFS(OFFSET('BPC Data'!$F:$F,0,Summary!G$2),'BPC Data'!$E:$E,Summary!$D367,'BPC Data'!$B:$B,Summary!$C367)</f>
        <v>0</v>
      </c>
      <c r="H367" s="53">
        <f ca="1">SUMIFS(OFFSET('BPC Data'!$F:$F,0,Summary!H$2),'BPC Data'!$E:$E,Summary!$D367,'BPC Data'!$B:$B,Summary!$C367)</f>
        <v>0</v>
      </c>
      <c r="I367" s="60">
        <f ca="1">SUMIFS(OFFSET('BPC Data'!$F:$F,0,Summary!I$2),'BPC Data'!$E:$E,Summary!$D367,'BPC Data'!$B:$B,Summary!$C367)</f>
        <v>0</v>
      </c>
      <c r="J367" s="53">
        <f ca="1">SUMIFS(OFFSET('BPC Data'!$F:$F,0,Summary!J$2),'BPC Data'!$E:$E,Summary!$D367,'BPC Data'!$B:$B,Summary!$C367)</f>
        <v>0</v>
      </c>
      <c r="K367" s="60">
        <f ca="1">SUMIFS(OFFSET('BPC Data'!$F:$F,0,Summary!K$2),'BPC Data'!$E:$E,Summary!$D367,'BPC Data'!$B:$B,Summary!$C367)</f>
        <v>0</v>
      </c>
      <c r="L367" s="53">
        <f ca="1">SUMIFS(OFFSET('BPC Data'!$F:$F,0,Summary!L$2),'BPC Data'!$E:$E,Summary!$D367,'BPC Data'!$B:$B,Summary!$C367)</f>
        <v>0</v>
      </c>
      <c r="M367" s="60">
        <f ca="1">SUMIFS(OFFSET('BPC Data'!$F:$F,0,Summary!M$2),'BPC Data'!$E:$E,Summary!$D367,'BPC Data'!$B:$B,Summary!$C367)</f>
        <v>0</v>
      </c>
      <c r="N367" s="53">
        <f ca="1">SUMIFS(OFFSET('BPC Data'!$F:$F,0,Summary!N$2),'BPC Data'!$E:$E,Summary!$D367,'BPC Data'!$B:$B,Summary!$C367)</f>
        <v>0</v>
      </c>
      <c r="O367" s="18">
        <f t="shared" ca="1" si="62"/>
        <v>0</v>
      </c>
    </row>
    <row r="368" spans="1:15" s="11" customFormat="1" hidden="1" outlineLevel="1" x14ac:dyDescent="0.55000000000000004">
      <c r="A368" s="11">
        <f t="shared" si="67"/>
        <v>33</v>
      </c>
      <c r="B368"/>
      <c r="C368">
        <f>$F361</f>
        <v>0</v>
      </c>
      <c r="D368" s="2" t="str">
        <f t="shared" si="65"/>
        <v>T_MGMT_FEE - Tenant Management Fee - Actual</v>
      </c>
      <c r="E368"/>
      <c r="F368" s="14" t="str">
        <f>_xll.EVDES(D368)</f>
        <v>Tenant Management Fee - Actual</v>
      </c>
      <c r="G368" s="60">
        <f ca="1">SUMIFS(OFFSET('BPC Data'!$F:$F,0,Summary!G$2),'BPC Data'!$E:$E,Summary!$D368,'BPC Data'!$B:$B,Summary!$C368)</f>
        <v>0</v>
      </c>
      <c r="H368" s="53">
        <f ca="1">SUMIFS(OFFSET('BPC Data'!$F:$F,0,Summary!H$2),'BPC Data'!$E:$E,Summary!$D368,'BPC Data'!$B:$B,Summary!$C368)</f>
        <v>0</v>
      </c>
      <c r="I368" s="60">
        <f ca="1">SUMIFS(OFFSET('BPC Data'!$F:$F,0,Summary!I$2),'BPC Data'!$E:$E,Summary!$D368,'BPC Data'!$B:$B,Summary!$C368)</f>
        <v>0</v>
      </c>
      <c r="J368" s="53">
        <f ca="1">SUMIFS(OFFSET('BPC Data'!$F:$F,0,Summary!J$2),'BPC Data'!$E:$E,Summary!$D368,'BPC Data'!$B:$B,Summary!$C368)</f>
        <v>0</v>
      </c>
      <c r="K368" s="60">
        <f ca="1">SUMIFS(OFFSET('BPC Data'!$F:$F,0,Summary!K$2),'BPC Data'!$E:$E,Summary!$D368,'BPC Data'!$B:$B,Summary!$C368)</f>
        <v>0</v>
      </c>
      <c r="L368" s="53">
        <f ca="1">SUMIFS(OFFSET('BPC Data'!$F:$F,0,Summary!L$2),'BPC Data'!$E:$E,Summary!$D368,'BPC Data'!$B:$B,Summary!$C368)</f>
        <v>0</v>
      </c>
      <c r="M368" s="60">
        <f ca="1">SUMIFS(OFFSET('BPC Data'!$F:$F,0,Summary!M$2),'BPC Data'!$E:$E,Summary!$D368,'BPC Data'!$B:$B,Summary!$C368)</f>
        <v>0</v>
      </c>
      <c r="N368" s="53">
        <f ca="1">SUMIFS(OFFSET('BPC Data'!$F:$F,0,Summary!N$2),'BPC Data'!$E:$E,Summary!$D368,'BPC Data'!$B:$B,Summary!$C368)</f>
        <v>0</v>
      </c>
      <c r="O368" s="18">
        <f t="shared" ca="1" si="62"/>
        <v>0</v>
      </c>
    </row>
    <row r="369" spans="1:15" s="11" customFormat="1" hidden="1" outlineLevel="1" x14ac:dyDescent="0.55000000000000004">
      <c r="A369" s="11">
        <f t="shared" si="67"/>
        <v>33</v>
      </c>
      <c r="B369"/>
      <c r="C369">
        <f>$F361</f>
        <v>0</v>
      </c>
      <c r="D369" s="1" t="str">
        <f t="shared" si="65"/>
        <v>T_EBITDAR - EBITDAR</v>
      </c>
      <c r="E369"/>
      <c r="F369" s="14" t="str">
        <f>_xll.EVDES(D369)</f>
        <v>EBITDAR</v>
      </c>
      <c r="G369" s="60">
        <f ca="1">SUMIFS(OFFSET('BPC Data'!$F:$F,0,Summary!G$2),'BPC Data'!$E:$E,Summary!$D369,'BPC Data'!$B:$B,Summary!$C369)</f>
        <v>0</v>
      </c>
      <c r="H369" s="53">
        <f ca="1">SUMIFS(OFFSET('BPC Data'!$F:$F,0,Summary!H$2),'BPC Data'!$E:$E,Summary!$D369,'BPC Data'!$B:$B,Summary!$C369)</f>
        <v>0</v>
      </c>
      <c r="I369" s="60">
        <f ca="1">SUMIFS(OFFSET('BPC Data'!$F:$F,0,Summary!I$2),'BPC Data'!$E:$E,Summary!$D369,'BPC Data'!$B:$B,Summary!$C369)</f>
        <v>0</v>
      </c>
      <c r="J369" s="53">
        <f ca="1">SUMIFS(OFFSET('BPC Data'!$F:$F,0,Summary!J$2),'BPC Data'!$E:$E,Summary!$D369,'BPC Data'!$B:$B,Summary!$C369)</f>
        <v>0</v>
      </c>
      <c r="K369" s="60">
        <f ca="1">SUMIFS(OFFSET('BPC Data'!$F:$F,0,Summary!K$2),'BPC Data'!$E:$E,Summary!$D369,'BPC Data'!$B:$B,Summary!$C369)</f>
        <v>0</v>
      </c>
      <c r="L369" s="53">
        <f ca="1">SUMIFS(OFFSET('BPC Data'!$F:$F,0,Summary!L$2),'BPC Data'!$E:$E,Summary!$D369,'BPC Data'!$B:$B,Summary!$C369)</f>
        <v>0</v>
      </c>
      <c r="M369" s="60">
        <f ca="1">SUMIFS(OFFSET('BPC Data'!$F:$F,0,Summary!M$2),'BPC Data'!$E:$E,Summary!$D369,'BPC Data'!$B:$B,Summary!$C369)</f>
        <v>0</v>
      </c>
      <c r="N369" s="53">
        <f ca="1">SUMIFS(OFFSET('BPC Data'!$F:$F,0,Summary!N$2),'BPC Data'!$E:$E,Summary!$D369,'BPC Data'!$B:$B,Summary!$C369)</f>
        <v>0</v>
      </c>
      <c r="O369" s="18">
        <f t="shared" ca="1" si="62"/>
        <v>0</v>
      </c>
    </row>
    <row r="370" spans="1:15" s="11" customFormat="1" hidden="1" outlineLevel="1" x14ac:dyDescent="0.55000000000000004">
      <c r="A370" s="11">
        <f t="shared" si="67"/>
        <v>33</v>
      </c>
      <c r="B370"/>
      <c r="C370">
        <f>$F361</f>
        <v>0</v>
      </c>
      <c r="D370" s="1" t="str">
        <f t="shared" si="65"/>
        <v>T_RENT_EXP - Tenant Rent Expense</v>
      </c>
      <c r="E370"/>
      <c r="F370" s="14" t="str">
        <f>_xll.EVDES(D370)</f>
        <v>Tenant Rent Expense</v>
      </c>
      <c r="G370" s="60">
        <f ca="1">SUMIFS(OFFSET('BPC Data'!$F:$F,0,Summary!G$2),'BPC Data'!$E:$E,Summary!$D370,'BPC Data'!$B:$B,Summary!$C370)</f>
        <v>0</v>
      </c>
      <c r="H370" s="53">
        <f ca="1">SUMIFS(OFFSET('BPC Data'!$F:$F,0,Summary!H$2),'BPC Data'!$E:$E,Summary!$D370,'BPC Data'!$B:$B,Summary!$C370)</f>
        <v>0</v>
      </c>
      <c r="I370" s="60">
        <f ca="1">SUMIFS(OFFSET('BPC Data'!$F:$F,0,Summary!I$2),'BPC Data'!$E:$E,Summary!$D370,'BPC Data'!$B:$B,Summary!$C370)</f>
        <v>0</v>
      </c>
      <c r="J370" s="53">
        <f ca="1">SUMIFS(OFFSET('BPC Data'!$F:$F,0,Summary!J$2),'BPC Data'!$E:$E,Summary!$D370,'BPC Data'!$B:$B,Summary!$C370)</f>
        <v>0</v>
      </c>
      <c r="K370" s="60">
        <f ca="1">SUMIFS(OFFSET('BPC Data'!$F:$F,0,Summary!K$2),'BPC Data'!$E:$E,Summary!$D370,'BPC Data'!$B:$B,Summary!$C370)</f>
        <v>0</v>
      </c>
      <c r="L370" s="53">
        <f ca="1">SUMIFS(OFFSET('BPC Data'!$F:$F,0,Summary!L$2),'BPC Data'!$E:$E,Summary!$D370,'BPC Data'!$B:$B,Summary!$C370)</f>
        <v>0</v>
      </c>
      <c r="M370" s="60">
        <f ca="1">SUMIFS(OFFSET('BPC Data'!$F:$F,0,Summary!M$2),'BPC Data'!$E:$E,Summary!$D370,'BPC Data'!$B:$B,Summary!$C370)</f>
        <v>0</v>
      </c>
      <c r="N370" s="53">
        <f ca="1">SUMIFS(OFFSET('BPC Data'!$F:$F,0,Summary!N$2),'BPC Data'!$E:$E,Summary!$D370,'BPC Data'!$B:$B,Summary!$C370)</f>
        <v>0</v>
      </c>
      <c r="O370" s="18">
        <f t="shared" ca="1" si="62"/>
        <v>0</v>
      </c>
    </row>
    <row r="371" spans="1:15" s="11" customFormat="1" hidden="1" outlineLevel="1" x14ac:dyDescent="0.55000000000000004">
      <c r="A371" s="11">
        <f t="shared" si="67"/>
        <v>33</v>
      </c>
      <c r="B371"/>
      <c r="C371"/>
      <c r="D371" s="1" t="str">
        <f t="shared" si="65"/>
        <v>x</v>
      </c>
      <c r="E371"/>
      <c r="F371" s="14" t="s">
        <v>0</v>
      </c>
      <c r="G371" s="61">
        <f ca="1">SUMIFS(OFFSET('BPC Data'!$F:$F,0,Summary!G$2),'BPC Data'!$E:$E,Summary!$D371,'BPC Data'!$B:$B,Summary!$C371)</f>
        <v>0</v>
      </c>
      <c r="H371" s="54">
        <f ca="1">SUMIFS(OFFSET('BPC Data'!$F:$F,0,Summary!H$2),'BPC Data'!$E:$E,Summary!$D371,'BPC Data'!$B:$B,Summary!$C371)</f>
        <v>0</v>
      </c>
      <c r="I371" s="61">
        <f ca="1">SUMIFS(OFFSET('BPC Data'!$F:$F,0,Summary!I$2),'BPC Data'!$E:$E,Summary!$D371,'BPC Data'!$B:$B,Summary!$C371)</f>
        <v>0</v>
      </c>
      <c r="J371" s="54">
        <f ca="1">SUMIFS(OFFSET('BPC Data'!$F:$F,0,Summary!J$2),'BPC Data'!$E:$E,Summary!$D371,'BPC Data'!$B:$B,Summary!$C371)</f>
        <v>0</v>
      </c>
      <c r="K371" s="61">
        <f ca="1">SUMIFS(OFFSET('BPC Data'!$F:$F,0,Summary!K$2),'BPC Data'!$E:$E,Summary!$D371,'BPC Data'!$B:$B,Summary!$C371)</f>
        <v>0</v>
      </c>
      <c r="L371" s="54">
        <f ca="1">SUMIFS(OFFSET('BPC Data'!$F:$F,0,Summary!L$2),'BPC Data'!$E:$E,Summary!$D371,'BPC Data'!$B:$B,Summary!$C371)</f>
        <v>0</v>
      </c>
      <c r="M371" s="61">
        <f ca="1">SUMIFS(OFFSET('BPC Data'!$F:$F,0,Summary!M$2),'BPC Data'!$E:$E,Summary!$D371,'BPC Data'!$B:$B,Summary!$C371)</f>
        <v>0</v>
      </c>
      <c r="N371" s="54">
        <f ca="1">SUMIFS(OFFSET('BPC Data'!$F:$F,0,Summary!N$2),'BPC Data'!$E:$E,Summary!$D371,'BPC Data'!$B:$B,Summary!$C371)</f>
        <v>0</v>
      </c>
      <c r="O371" s="18">
        <f t="shared" ca="1" si="62"/>
        <v>0</v>
      </c>
    </row>
    <row r="372" spans="1:15" s="11" customFormat="1" hidden="1" outlineLevel="1" x14ac:dyDescent="0.55000000000000004">
      <c r="A372" s="11">
        <f>IF(AND(D372&lt;&gt;"",C372=""),A371+1,A371)</f>
        <v>34</v>
      </c>
      <c r="B372" s="4"/>
      <c r="C372" s="4"/>
      <c r="D372" s="4" t="str">
        <f t="shared" si="65"/>
        <v>x</v>
      </c>
      <c r="E372" s="4"/>
      <c r="F372" s="13">
        <f>INDEX(PropertyList!$D:$D,MATCH(Summary!$A372,PropertyList!$C:$C,0))</f>
        <v>0</v>
      </c>
      <c r="G372" s="59">
        <f ca="1">SUMIFS(OFFSET('BPC Data'!$F:$F,0,Summary!G$2),'BPC Data'!$E:$E,Summary!$D372,'BPC Data'!$B:$B,Summary!$C372)</f>
        <v>0</v>
      </c>
      <c r="H372" s="52">
        <f ca="1">SUMIFS(OFFSET('BPC Data'!$F:$F,0,Summary!H$2),'BPC Data'!$E:$E,Summary!$D372,'BPC Data'!$B:$B,Summary!$C372)</f>
        <v>0</v>
      </c>
      <c r="I372" s="59">
        <f ca="1">SUMIFS(OFFSET('BPC Data'!$F:$F,0,Summary!I$2),'BPC Data'!$E:$E,Summary!$D372,'BPC Data'!$B:$B,Summary!$C372)</f>
        <v>0</v>
      </c>
      <c r="J372" s="52">
        <f ca="1">SUMIFS(OFFSET('BPC Data'!$F:$F,0,Summary!J$2),'BPC Data'!$E:$E,Summary!$D372,'BPC Data'!$B:$B,Summary!$C372)</f>
        <v>0</v>
      </c>
      <c r="K372" s="59">
        <f ca="1">SUMIFS(OFFSET('BPC Data'!$F:$F,0,Summary!K$2),'BPC Data'!$E:$E,Summary!$D372,'BPC Data'!$B:$B,Summary!$C372)</f>
        <v>0</v>
      </c>
      <c r="L372" s="52">
        <f ca="1">SUMIFS(OFFSET('BPC Data'!$F:$F,0,Summary!L$2),'BPC Data'!$E:$E,Summary!$D372,'BPC Data'!$B:$B,Summary!$C372)</f>
        <v>0</v>
      </c>
      <c r="M372" s="59">
        <f ca="1">SUMIFS(OFFSET('BPC Data'!$F:$F,0,Summary!M$2),'BPC Data'!$E:$E,Summary!$D372,'BPC Data'!$B:$B,Summary!$C372)</f>
        <v>0</v>
      </c>
      <c r="N372" s="52">
        <f ca="1">SUMIFS(OFFSET('BPC Data'!$F:$F,0,Summary!N$2),'BPC Data'!$E:$E,Summary!$D372,'BPC Data'!$B:$B,Summary!$C372)</f>
        <v>0</v>
      </c>
      <c r="O372" s="18">
        <f t="shared" ca="1" si="62"/>
        <v>0</v>
      </c>
    </row>
    <row r="373" spans="1:15" s="11" customFormat="1" hidden="1" outlineLevel="1" x14ac:dyDescent="0.55000000000000004">
      <c r="A373" s="11">
        <f>IF(AND(F373&lt;&gt;"",D373=""),A372+1,A372)</f>
        <v>34</v>
      </c>
      <c r="C373">
        <f>$F372</f>
        <v>0</v>
      </c>
      <c r="D373" s="3" t="str">
        <f t="shared" si="65"/>
        <v>PAY_PAT_DAYS - Total Payor Patient Days</v>
      </c>
      <c r="F373" s="14" t="str">
        <f>_xll.EVDES(D373)</f>
        <v>Total Payor Patient Days</v>
      </c>
      <c r="G373" s="60">
        <f ca="1">SUMIFS(OFFSET('BPC Data'!$F:$F,0,Summary!G$2),'BPC Data'!$E:$E,Summary!$D373,'BPC Data'!$B:$B,Summary!$C373)</f>
        <v>0</v>
      </c>
      <c r="H373" s="53">
        <f ca="1">SUMIFS(OFFSET('BPC Data'!$F:$F,0,Summary!H$2),'BPC Data'!$E:$E,Summary!$D373,'BPC Data'!$B:$B,Summary!$C373)</f>
        <v>0</v>
      </c>
      <c r="I373" s="60">
        <f ca="1">SUMIFS(OFFSET('BPC Data'!$F:$F,0,Summary!I$2),'BPC Data'!$E:$E,Summary!$D373,'BPC Data'!$B:$B,Summary!$C373)</f>
        <v>0</v>
      </c>
      <c r="J373" s="53">
        <f ca="1">SUMIFS(OFFSET('BPC Data'!$F:$F,0,Summary!J$2),'BPC Data'!$E:$E,Summary!$D373,'BPC Data'!$B:$B,Summary!$C373)</f>
        <v>0</v>
      </c>
      <c r="K373" s="60">
        <f ca="1">SUMIFS(OFFSET('BPC Data'!$F:$F,0,Summary!K$2),'BPC Data'!$E:$E,Summary!$D373,'BPC Data'!$B:$B,Summary!$C373)</f>
        <v>0</v>
      </c>
      <c r="L373" s="53">
        <f ca="1">SUMIFS(OFFSET('BPC Data'!$F:$F,0,Summary!L$2),'BPC Data'!$E:$E,Summary!$D373,'BPC Data'!$B:$B,Summary!$C373)</f>
        <v>0</v>
      </c>
      <c r="M373" s="60">
        <f ca="1">SUMIFS(OFFSET('BPC Data'!$F:$F,0,Summary!M$2),'BPC Data'!$E:$E,Summary!$D373,'BPC Data'!$B:$B,Summary!$C373)</f>
        <v>0</v>
      </c>
      <c r="N373" s="53">
        <f ca="1">SUMIFS(OFFSET('BPC Data'!$F:$F,0,Summary!N$2),'BPC Data'!$E:$E,Summary!$D373,'BPC Data'!$B:$B,Summary!$C373)</f>
        <v>0</v>
      </c>
      <c r="O373" s="18">
        <f t="shared" ca="1" si="62"/>
        <v>0</v>
      </c>
    </row>
    <row r="374" spans="1:15" s="11" customFormat="1" hidden="1" outlineLevel="1" x14ac:dyDescent="0.55000000000000004">
      <c r="A374" s="11">
        <f t="shared" ref="A374:A382" si="68">IF(AND(F374&lt;&gt;"",D374=""),A373+1,A373)</f>
        <v>34</v>
      </c>
      <c r="C374">
        <f>$F372</f>
        <v>0</v>
      </c>
      <c r="D374" s="3" t="str">
        <f t="shared" si="65"/>
        <v>A_BEDS_TOTAL - Total Available Beds</v>
      </c>
      <c r="F374" s="14" t="str">
        <f>_xll.EVDES(D374)</f>
        <v>Total Available Beds</v>
      </c>
      <c r="G374" s="60">
        <f ca="1">SUMIFS(OFFSET('BPC Data'!$F:$F,0,Summary!G$2),'BPC Data'!$E:$E,Summary!$D374,'BPC Data'!$B:$B,Summary!$C374)</f>
        <v>0</v>
      </c>
      <c r="H374" s="53">
        <f ca="1">SUMIFS(OFFSET('BPC Data'!$F:$F,0,Summary!H$2),'BPC Data'!$E:$E,Summary!$D374,'BPC Data'!$B:$B,Summary!$C374)</f>
        <v>0</v>
      </c>
      <c r="I374" s="60">
        <f ca="1">SUMIFS(OFFSET('BPC Data'!$F:$F,0,Summary!I$2),'BPC Data'!$E:$E,Summary!$D374,'BPC Data'!$B:$B,Summary!$C374)</f>
        <v>0</v>
      </c>
      <c r="J374" s="53">
        <f ca="1">SUMIFS(OFFSET('BPC Data'!$F:$F,0,Summary!J$2),'BPC Data'!$E:$E,Summary!$D374,'BPC Data'!$B:$B,Summary!$C374)</f>
        <v>0</v>
      </c>
      <c r="K374" s="60">
        <f ca="1">SUMIFS(OFFSET('BPC Data'!$F:$F,0,Summary!K$2),'BPC Data'!$E:$E,Summary!$D374,'BPC Data'!$B:$B,Summary!$C374)</f>
        <v>0</v>
      </c>
      <c r="L374" s="53">
        <f ca="1">SUMIFS(OFFSET('BPC Data'!$F:$F,0,Summary!L$2),'BPC Data'!$E:$E,Summary!$D374,'BPC Data'!$B:$B,Summary!$C374)</f>
        <v>0</v>
      </c>
      <c r="M374" s="60">
        <f ca="1">SUMIFS(OFFSET('BPC Data'!$F:$F,0,Summary!M$2),'BPC Data'!$E:$E,Summary!$D374,'BPC Data'!$B:$B,Summary!$C374)</f>
        <v>0</v>
      </c>
      <c r="N374" s="53">
        <f ca="1">SUMIFS(OFFSET('BPC Data'!$F:$F,0,Summary!N$2),'BPC Data'!$E:$E,Summary!$D374,'BPC Data'!$B:$B,Summary!$C374)</f>
        <v>0</v>
      </c>
      <c r="O374" s="18">
        <f t="shared" ca="1" si="62"/>
        <v>0</v>
      </c>
    </row>
    <row r="375" spans="1:15" s="11" customFormat="1" hidden="1" outlineLevel="1" x14ac:dyDescent="0.55000000000000004">
      <c r="A375" s="11">
        <f t="shared" si="68"/>
        <v>34</v>
      </c>
      <c r="B375"/>
      <c r="C375">
        <f>$F372</f>
        <v>0</v>
      </c>
      <c r="D375" s="3" t="str">
        <f t="shared" si="65"/>
        <v>T_REVENUES - Total Tenant Revenues</v>
      </c>
      <c r="E375"/>
      <c r="F375" s="14" t="str">
        <f>_xll.EVDES(D375)</f>
        <v>Total Tenant Revenues</v>
      </c>
      <c r="G375" s="60">
        <f ca="1">SUMIFS(OFFSET('BPC Data'!$F:$F,0,Summary!G$2),'BPC Data'!$E:$E,Summary!$D375,'BPC Data'!$B:$B,Summary!$C375)</f>
        <v>0</v>
      </c>
      <c r="H375" s="53">
        <f ca="1">SUMIFS(OFFSET('BPC Data'!$F:$F,0,Summary!H$2),'BPC Data'!$E:$E,Summary!$D375,'BPC Data'!$B:$B,Summary!$C375)</f>
        <v>0</v>
      </c>
      <c r="I375" s="60">
        <f ca="1">SUMIFS(OFFSET('BPC Data'!$F:$F,0,Summary!I$2),'BPC Data'!$E:$E,Summary!$D375,'BPC Data'!$B:$B,Summary!$C375)</f>
        <v>0</v>
      </c>
      <c r="J375" s="53">
        <f ca="1">SUMIFS(OFFSET('BPC Data'!$F:$F,0,Summary!J$2),'BPC Data'!$E:$E,Summary!$D375,'BPC Data'!$B:$B,Summary!$C375)</f>
        <v>0</v>
      </c>
      <c r="K375" s="60">
        <f ca="1">SUMIFS(OFFSET('BPC Data'!$F:$F,0,Summary!K$2),'BPC Data'!$E:$E,Summary!$D375,'BPC Data'!$B:$B,Summary!$C375)</f>
        <v>0</v>
      </c>
      <c r="L375" s="53">
        <f ca="1">SUMIFS(OFFSET('BPC Data'!$F:$F,0,Summary!L$2),'BPC Data'!$E:$E,Summary!$D375,'BPC Data'!$B:$B,Summary!$C375)</f>
        <v>0</v>
      </c>
      <c r="M375" s="60">
        <f ca="1">SUMIFS(OFFSET('BPC Data'!$F:$F,0,Summary!M$2),'BPC Data'!$E:$E,Summary!$D375,'BPC Data'!$B:$B,Summary!$C375)</f>
        <v>0</v>
      </c>
      <c r="N375" s="53">
        <f ca="1">SUMIFS(OFFSET('BPC Data'!$F:$F,0,Summary!N$2),'BPC Data'!$E:$E,Summary!$D375,'BPC Data'!$B:$B,Summary!$C375)</f>
        <v>0</v>
      </c>
      <c r="O375" s="18">
        <f t="shared" ca="1" si="62"/>
        <v>0</v>
      </c>
    </row>
    <row r="376" spans="1:15" s="11" customFormat="1" hidden="1" outlineLevel="1" x14ac:dyDescent="0.55000000000000004">
      <c r="A376" s="11">
        <f t="shared" si="68"/>
        <v>34</v>
      </c>
      <c r="B376"/>
      <c r="C376">
        <f>$F372</f>
        <v>0</v>
      </c>
      <c r="D376" s="3" t="str">
        <f t="shared" si="65"/>
        <v>T_OPEX - Tenant Operating Expenses</v>
      </c>
      <c r="E376"/>
      <c r="F376" s="14" t="str">
        <f>_xll.EVDES(D376)</f>
        <v>Tenant Operating Expenses</v>
      </c>
      <c r="G376" s="60">
        <f ca="1">SUMIFS(OFFSET('BPC Data'!$F:$F,0,Summary!G$2),'BPC Data'!$E:$E,Summary!$D376,'BPC Data'!$B:$B,Summary!$C376)</f>
        <v>0</v>
      </c>
      <c r="H376" s="53">
        <f ca="1">SUMIFS(OFFSET('BPC Data'!$F:$F,0,Summary!H$2),'BPC Data'!$E:$E,Summary!$D376,'BPC Data'!$B:$B,Summary!$C376)</f>
        <v>0</v>
      </c>
      <c r="I376" s="60">
        <f ca="1">SUMIFS(OFFSET('BPC Data'!$F:$F,0,Summary!I$2),'BPC Data'!$E:$E,Summary!$D376,'BPC Data'!$B:$B,Summary!$C376)</f>
        <v>0</v>
      </c>
      <c r="J376" s="53">
        <f ca="1">SUMIFS(OFFSET('BPC Data'!$F:$F,0,Summary!J$2),'BPC Data'!$E:$E,Summary!$D376,'BPC Data'!$B:$B,Summary!$C376)</f>
        <v>0</v>
      </c>
      <c r="K376" s="60">
        <f ca="1">SUMIFS(OFFSET('BPC Data'!$F:$F,0,Summary!K$2),'BPC Data'!$E:$E,Summary!$D376,'BPC Data'!$B:$B,Summary!$C376)</f>
        <v>0</v>
      </c>
      <c r="L376" s="53">
        <f ca="1">SUMIFS(OFFSET('BPC Data'!$F:$F,0,Summary!L$2),'BPC Data'!$E:$E,Summary!$D376,'BPC Data'!$B:$B,Summary!$C376)</f>
        <v>0</v>
      </c>
      <c r="M376" s="60">
        <f ca="1">SUMIFS(OFFSET('BPC Data'!$F:$F,0,Summary!M$2),'BPC Data'!$E:$E,Summary!$D376,'BPC Data'!$B:$B,Summary!$C376)</f>
        <v>0</v>
      </c>
      <c r="N376" s="53">
        <f ca="1">SUMIFS(OFFSET('BPC Data'!$F:$F,0,Summary!N$2),'BPC Data'!$E:$E,Summary!$D376,'BPC Data'!$B:$B,Summary!$C376)</f>
        <v>0</v>
      </c>
      <c r="O376" s="18">
        <f t="shared" ca="1" si="62"/>
        <v>0</v>
      </c>
    </row>
    <row r="377" spans="1:15" s="11" customFormat="1" hidden="1" outlineLevel="1" x14ac:dyDescent="0.55000000000000004">
      <c r="A377" s="11">
        <f t="shared" si="68"/>
        <v>34</v>
      </c>
      <c r="B377"/>
      <c r="C377">
        <f>$F372</f>
        <v>0</v>
      </c>
      <c r="D377" s="3" t="str">
        <f t="shared" si="65"/>
        <v>T_BAD_DEBT - Tenant Bad Debt Expense</v>
      </c>
      <c r="E377"/>
      <c r="F377" s="14" t="str">
        <f>_xll.EVDES(D377)</f>
        <v>Tenant Bad Debt Expense</v>
      </c>
      <c r="G377" s="60">
        <f ca="1">SUMIFS(OFFSET('BPC Data'!$F:$F,0,Summary!G$2),'BPC Data'!$E:$E,Summary!$D377,'BPC Data'!$B:$B,Summary!$C377)</f>
        <v>0</v>
      </c>
      <c r="H377" s="53">
        <f ca="1">SUMIFS(OFFSET('BPC Data'!$F:$F,0,Summary!H$2),'BPC Data'!$E:$E,Summary!$D377,'BPC Data'!$B:$B,Summary!$C377)</f>
        <v>0</v>
      </c>
      <c r="I377" s="60">
        <f ca="1">SUMIFS(OFFSET('BPC Data'!$F:$F,0,Summary!I$2),'BPC Data'!$E:$E,Summary!$D377,'BPC Data'!$B:$B,Summary!$C377)</f>
        <v>0</v>
      </c>
      <c r="J377" s="53">
        <f ca="1">SUMIFS(OFFSET('BPC Data'!$F:$F,0,Summary!J$2),'BPC Data'!$E:$E,Summary!$D377,'BPC Data'!$B:$B,Summary!$C377)</f>
        <v>0</v>
      </c>
      <c r="K377" s="60">
        <f ca="1">SUMIFS(OFFSET('BPC Data'!$F:$F,0,Summary!K$2),'BPC Data'!$E:$E,Summary!$D377,'BPC Data'!$B:$B,Summary!$C377)</f>
        <v>0</v>
      </c>
      <c r="L377" s="53">
        <f ca="1">SUMIFS(OFFSET('BPC Data'!$F:$F,0,Summary!L$2),'BPC Data'!$E:$E,Summary!$D377,'BPC Data'!$B:$B,Summary!$C377)</f>
        <v>0</v>
      </c>
      <c r="M377" s="60">
        <f ca="1">SUMIFS(OFFSET('BPC Data'!$F:$F,0,Summary!M$2),'BPC Data'!$E:$E,Summary!$D377,'BPC Data'!$B:$B,Summary!$C377)</f>
        <v>0</v>
      </c>
      <c r="N377" s="53">
        <f ca="1">SUMIFS(OFFSET('BPC Data'!$F:$F,0,Summary!N$2),'BPC Data'!$E:$E,Summary!$D377,'BPC Data'!$B:$B,Summary!$C377)</f>
        <v>0</v>
      </c>
      <c r="O377" s="18">
        <f t="shared" ca="1" si="62"/>
        <v>0</v>
      </c>
    </row>
    <row r="378" spans="1:15" s="11" customFormat="1" hidden="1" outlineLevel="1" x14ac:dyDescent="0.55000000000000004">
      <c r="A378" s="11">
        <f t="shared" si="68"/>
        <v>34</v>
      </c>
      <c r="B378"/>
      <c r="C378">
        <f>$F372</f>
        <v>0</v>
      </c>
      <c r="D378" s="2" t="str">
        <f t="shared" si="65"/>
        <v>T_EBITDARM - EBITDARM</v>
      </c>
      <c r="E378"/>
      <c r="F378" s="14" t="str">
        <f>_xll.EVDES(D378)</f>
        <v>EBITDARM</v>
      </c>
      <c r="G378" s="60">
        <f ca="1">SUMIFS(OFFSET('BPC Data'!$F:$F,0,Summary!G$2),'BPC Data'!$E:$E,Summary!$D378,'BPC Data'!$B:$B,Summary!$C378)</f>
        <v>0</v>
      </c>
      <c r="H378" s="53">
        <f ca="1">SUMIFS(OFFSET('BPC Data'!$F:$F,0,Summary!H$2),'BPC Data'!$E:$E,Summary!$D378,'BPC Data'!$B:$B,Summary!$C378)</f>
        <v>0</v>
      </c>
      <c r="I378" s="60">
        <f ca="1">SUMIFS(OFFSET('BPC Data'!$F:$F,0,Summary!I$2),'BPC Data'!$E:$E,Summary!$D378,'BPC Data'!$B:$B,Summary!$C378)</f>
        <v>0</v>
      </c>
      <c r="J378" s="53">
        <f ca="1">SUMIFS(OFFSET('BPC Data'!$F:$F,0,Summary!J$2),'BPC Data'!$E:$E,Summary!$D378,'BPC Data'!$B:$B,Summary!$C378)</f>
        <v>0</v>
      </c>
      <c r="K378" s="60">
        <f ca="1">SUMIFS(OFFSET('BPC Data'!$F:$F,0,Summary!K$2),'BPC Data'!$E:$E,Summary!$D378,'BPC Data'!$B:$B,Summary!$C378)</f>
        <v>0</v>
      </c>
      <c r="L378" s="53">
        <f ca="1">SUMIFS(OFFSET('BPC Data'!$F:$F,0,Summary!L$2),'BPC Data'!$E:$E,Summary!$D378,'BPC Data'!$B:$B,Summary!$C378)</f>
        <v>0</v>
      </c>
      <c r="M378" s="60">
        <f ca="1">SUMIFS(OFFSET('BPC Data'!$F:$F,0,Summary!M$2),'BPC Data'!$E:$E,Summary!$D378,'BPC Data'!$B:$B,Summary!$C378)</f>
        <v>0</v>
      </c>
      <c r="N378" s="53">
        <f ca="1">SUMIFS(OFFSET('BPC Data'!$F:$F,0,Summary!N$2),'BPC Data'!$E:$E,Summary!$D378,'BPC Data'!$B:$B,Summary!$C378)</f>
        <v>0</v>
      </c>
      <c r="O378" s="18">
        <f t="shared" ca="1" si="62"/>
        <v>0</v>
      </c>
    </row>
    <row r="379" spans="1:15" s="11" customFormat="1" hidden="1" outlineLevel="1" x14ac:dyDescent="0.55000000000000004">
      <c r="A379" s="11">
        <f t="shared" si="68"/>
        <v>34</v>
      </c>
      <c r="B379"/>
      <c r="C379">
        <f>$F372</f>
        <v>0</v>
      </c>
      <c r="D379" s="2" t="str">
        <f t="shared" si="65"/>
        <v>T_MGMT_FEE - Tenant Management Fee - Actual</v>
      </c>
      <c r="E379"/>
      <c r="F379" s="14" t="str">
        <f>_xll.EVDES(D379)</f>
        <v>Tenant Management Fee - Actual</v>
      </c>
      <c r="G379" s="60">
        <f ca="1">SUMIFS(OFFSET('BPC Data'!$F:$F,0,Summary!G$2),'BPC Data'!$E:$E,Summary!$D379,'BPC Data'!$B:$B,Summary!$C379)</f>
        <v>0</v>
      </c>
      <c r="H379" s="53">
        <f ca="1">SUMIFS(OFFSET('BPC Data'!$F:$F,0,Summary!H$2),'BPC Data'!$E:$E,Summary!$D379,'BPC Data'!$B:$B,Summary!$C379)</f>
        <v>0</v>
      </c>
      <c r="I379" s="60">
        <f ca="1">SUMIFS(OFFSET('BPC Data'!$F:$F,0,Summary!I$2),'BPC Data'!$E:$E,Summary!$D379,'BPC Data'!$B:$B,Summary!$C379)</f>
        <v>0</v>
      </c>
      <c r="J379" s="53">
        <f ca="1">SUMIFS(OFFSET('BPC Data'!$F:$F,0,Summary!J$2),'BPC Data'!$E:$E,Summary!$D379,'BPC Data'!$B:$B,Summary!$C379)</f>
        <v>0</v>
      </c>
      <c r="K379" s="60">
        <f ca="1">SUMIFS(OFFSET('BPC Data'!$F:$F,0,Summary!K$2),'BPC Data'!$E:$E,Summary!$D379,'BPC Data'!$B:$B,Summary!$C379)</f>
        <v>0</v>
      </c>
      <c r="L379" s="53">
        <f ca="1">SUMIFS(OFFSET('BPC Data'!$F:$F,0,Summary!L$2),'BPC Data'!$E:$E,Summary!$D379,'BPC Data'!$B:$B,Summary!$C379)</f>
        <v>0</v>
      </c>
      <c r="M379" s="60">
        <f ca="1">SUMIFS(OFFSET('BPC Data'!$F:$F,0,Summary!M$2),'BPC Data'!$E:$E,Summary!$D379,'BPC Data'!$B:$B,Summary!$C379)</f>
        <v>0</v>
      </c>
      <c r="N379" s="53">
        <f ca="1">SUMIFS(OFFSET('BPC Data'!$F:$F,0,Summary!N$2),'BPC Data'!$E:$E,Summary!$D379,'BPC Data'!$B:$B,Summary!$C379)</f>
        <v>0</v>
      </c>
      <c r="O379" s="18">
        <f t="shared" ca="1" si="62"/>
        <v>0</v>
      </c>
    </row>
    <row r="380" spans="1:15" s="11" customFormat="1" hidden="1" outlineLevel="1" x14ac:dyDescent="0.55000000000000004">
      <c r="A380" s="11">
        <f t="shared" si="68"/>
        <v>34</v>
      </c>
      <c r="B380"/>
      <c r="C380">
        <f>$F372</f>
        <v>0</v>
      </c>
      <c r="D380" s="1" t="str">
        <f t="shared" si="65"/>
        <v>T_EBITDAR - EBITDAR</v>
      </c>
      <c r="E380"/>
      <c r="F380" s="14" t="str">
        <f>_xll.EVDES(D380)</f>
        <v>EBITDAR</v>
      </c>
      <c r="G380" s="60">
        <f ca="1">SUMIFS(OFFSET('BPC Data'!$F:$F,0,Summary!G$2),'BPC Data'!$E:$E,Summary!$D380,'BPC Data'!$B:$B,Summary!$C380)</f>
        <v>0</v>
      </c>
      <c r="H380" s="53">
        <f ca="1">SUMIFS(OFFSET('BPC Data'!$F:$F,0,Summary!H$2),'BPC Data'!$E:$E,Summary!$D380,'BPC Data'!$B:$B,Summary!$C380)</f>
        <v>0</v>
      </c>
      <c r="I380" s="60">
        <f ca="1">SUMIFS(OFFSET('BPC Data'!$F:$F,0,Summary!I$2),'BPC Data'!$E:$E,Summary!$D380,'BPC Data'!$B:$B,Summary!$C380)</f>
        <v>0</v>
      </c>
      <c r="J380" s="53">
        <f ca="1">SUMIFS(OFFSET('BPC Data'!$F:$F,0,Summary!J$2),'BPC Data'!$E:$E,Summary!$D380,'BPC Data'!$B:$B,Summary!$C380)</f>
        <v>0</v>
      </c>
      <c r="K380" s="60">
        <f ca="1">SUMIFS(OFFSET('BPC Data'!$F:$F,0,Summary!K$2),'BPC Data'!$E:$E,Summary!$D380,'BPC Data'!$B:$B,Summary!$C380)</f>
        <v>0</v>
      </c>
      <c r="L380" s="53">
        <f ca="1">SUMIFS(OFFSET('BPC Data'!$F:$F,0,Summary!L$2),'BPC Data'!$E:$E,Summary!$D380,'BPC Data'!$B:$B,Summary!$C380)</f>
        <v>0</v>
      </c>
      <c r="M380" s="60">
        <f ca="1">SUMIFS(OFFSET('BPC Data'!$F:$F,0,Summary!M$2),'BPC Data'!$E:$E,Summary!$D380,'BPC Data'!$B:$B,Summary!$C380)</f>
        <v>0</v>
      </c>
      <c r="N380" s="53">
        <f ca="1">SUMIFS(OFFSET('BPC Data'!$F:$F,0,Summary!N$2),'BPC Data'!$E:$E,Summary!$D380,'BPC Data'!$B:$B,Summary!$C380)</f>
        <v>0</v>
      </c>
      <c r="O380" s="18">
        <f t="shared" ca="1" si="62"/>
        <v>0</v>
      </c>
    </row>
    <row r="381" spans="1:15" s="11" customFormat="1" hidden="1" outlineLevel="1" x14ac:dyDescent="0.55000000000000004">
      <c r="A381" s="11">
        <f t="shared" si="68"/>
        <v>34</v>
      </c>
      <c r="B381"/>
      <c r="C381">
        <f>$F372</f>
        <v>0</v>
      </c>
      <c r="D381" s="1" t="str">
        <f t="shared" si="65"/>
        <v>T_RENT_EXP - Tenant Rent Expense</v>
      </c>
      <c r="E381"/>
      <c r="F381" s="14" t="str">
        <f>_xll.EVDES(D381)</f>
        <v>Tenant Rent Expense</v>
      </c>
      <c r="G381" s="60">
        <f ca="1">SUMIFS(OFFSET('BPC Data'!$F:$F,0,Summary!G$2),'BPC Data'!$E:$E,Summary!$D381,'BPC Data'!$B:$B,Summary!$C381)</f>
        <v>0</v>
      </c>
      <c r="H381" s="53">
        <f ca="1">SUMIFS(OFFSET('BPC Data'!$F:$F,0,Summary!H$2),'BPC Data'!$E:$E,Summary!$D381,'BPC Data'!$B:$B,Summary!$C381)</f>
        <v>0</v>
      </c>
      <c r="I381" s="60">
        <f ca="1">SUMIFS(OFFSET('BPC Data'!$F:$F,0,Summary!I$2),'BPC Data'!$E:$E,Summary!$D381,'BPC Data'!$B:$B,Summary!$C381)</f>
        <v>0</v>
      </c>
      <c r="J381" s="53">
        <f ca="1">SUMIFS(OFFSET('BPC Data'!$F:$F,0,Summary!J$2),'BPC Data'!$E:$E,Summary!$D381,'BPC Data'!$B:$B,Summary!$C381)</f>
        <v>0</v>
      </c>
      <c r="K381" s="60">
        <f ca="1">SUMIFS(OFFSET('BPC Data'!$F:$F,0,Summary!K$2),'BPC Data'!$E:$E,Summary!$D381,'BPC Data'!$B:$B,Summary!$C381)</f>
        <v>0</v>
      </c>
      <c r="L381" s="53">
        <f ca="1">SUMIFS(OFFSET('BPC Data'!$F:$F,0,Summary!L$2),'BPC Data'!$E:$E,Summary!$D381,'BPC Data'!$B:$B,Summary!$C381)</f>
        <v>0</v>
      </c>
      <c r="M381" s="60">
        <f ca="1">SUMIFS(OFFSET('BPC Data'!$F:$F,0,Summary!M$2),'BPC Data'!$E:$E,Summary!$D381,'BPC Data'!$B:$B,Summary!$C381)</f>
        <v>0</v>
      </c>
      <c r="N381" s="53">
        <f ca="1">SUMIFS(OFFSET('BPC Data'!$F:$F,0,Summary!N$2),'BPC Data'!$E:$E,Summary!$D381,'BPC Data'!$B:$B,Summary!$C381)</f>
        <v>0</v>
      </c>
      <c r="O381" s="18">
        <f t="shared" ca="1" si="62"/>
        <v>0</v>
      </c>
    </row>
    <row r="382" spans="1:15" s="11" customFormat="1" hidden="1" outlineLevel="1" x14ac:dyDescent="0.55000000000000004">
      <c r="A382" s="11">
        <f t="shared" si="68"/>
        <v>34</v>
      </c>
      <c r="B382"/>
      <c r="C382"/>
      <c r="D382" s="1" t="str">
        <f t="shared" si="65"/>
        <v>x</v>
      </c>
      <c r="E382"/>
      <c r="F382" s="14" t="s">
        <v>0</v>
      </c>
      <c r="G382" s="61">
        <f ca="1">SUMIFS(OFFSET('BPC Data'!$F:$F,0,Summary!G$2),'BPC Data'!$E:$E,Summary!$D382,'BPC Data'!$B:$B,Summary!$C382)</f>
        <v>0</v>
      </c>
      <c r="H382" s="54">
        <f ca="1">SUMIFS(OFFSET('BPC Data'!$F:$F,0,Summary!H$2),'BPC Data'!$E:$E,Summary!$D382,'BPC Data'!$B:$B,Summary!$C382)</f>
        <v>0</v>
      </c>
      <c r="I382" s="61">
        <f ca="1">SUMIFS(OFFSET('BPC Data'!$F:$F,0,Summary!I$2),'BPC Data'!$E:$E,Summary!$D382,'BPC Data'!$B:$B,Summary!$C382)</f>
        <v>0</v>
      </c>
      <c r="J382" s="54">
        <f ca="1">SUMIFS(OFFSET('BPC Data'!$F:$F,0,Summary!J$2),'BPC Data'!$E:$E,Summary!$D382,'BPC Data'!$B:$B,Summary!$C382)</f>
        <v>0</v>
      </c>
      <c r="K382" s="61">
        <f ca="1">SUMIFS(OFFSET('BPC Data'!$F:$F,0,Summary!K$2),'BPC Data'!$E:$E,Summary!$D382,'BPC Data'!$B:$B,Summary!$C382)</f>
        <v>0</v>
      </c>
      <c r="L382" s="54">
        <f ca="1">SUMIFS(OFFSET('BPC Data'!$F:$F,0,Summary!L$2),'BPC Data'!$E:$E,Summary!$D382,'BPC Data'!$B:$B,Summary!$C382)</f>
        <v>0</v>
      </c>
      <c r="M382" s="61">
        <f ca="1">SUMIFS(OFFSET('BPC Data'!$F:$F,0,Summary!M$2),'BPC Data'!$E:$E,Summary!$D382,'BPC Data'!$B:$B,Summary!$C382)</f>
        <v>0</v>
      </c>
      <c r="N382" s="54">
        <f ca="1">SUMIFS(OFFSET('BPC Data'!$F:$F,0,Summary!N$2),'BPC Data'!$E:$E,Summary!$D382,'BPC Data'!$B:$B,Summary!$C382)</f>
        <v>0</v>
      </c>
      <c r="O382" s="18">
        <f t="shared" ca="1" si="62"/>
        <v>0</v>
      </c>
    </row>
    <row r="383" spans="1:15" s="11" customFormat="1" hidden="1" outlineLevel="1" x14ac:dyDescent="0.55000000000000004">
      <c r="A383" s="11">
        <f>IF(AND(D383&lt;&gt;"",C383=""),A382+1,A382)</f>
        <v>35</v>
      </c>
      <c r="B383" s="4"/>
      <c r="C383" s="4"/>
      <c r="D383" s="4" t="str">
        <f t="shared" si="65"/>
        <v>x</v>
      </c>
      <c r="E383" s="4"/>
      <c r="F383" s="13">
        <f>INDEX(PropertyList!$D:$D,MATCH(Summary!$A383,PropertyList!$C:$C,0))</f>
        <v>0</v>
      </c>
      <c r="G383" s="59">
        <f ca="1">SUMIFS(OFFSET('BPC Data'!$F:$F,0,Summary!G$2),'BPC Data'!$E:$E,Summary!$D383,'BPC Data'!$B:$B,Summary!$C383)</f>
        <v>0</v>
      </c>
      <c r="H383" s="52">
        <f ca="1">SUMIFS(OFFSET('BPC Data'!$F:$F,0,Summary!H$2),'BPC Data'!$E:$E,Summary!$D383,'BPC Data'!$B:$B,Summary!$C383)</f>
        <v>0</v>
      </c>
      <c r="I383" s="59">
        <f ca="1">SUMIFS(OFFSET('BPC Data'!$F:$F,0,Summary!I$2),'BPC Data'!$E:$E,Summary!$D383,'BPC Data'!$B:$B,Summary!$C383)</f>
        <v>0</v>
      </c>
      <c r="J383" s="52">
        <f ca="1">SUMIFS(OFFSET('BPC Data'!$F:$F,0,Summary!J$2),'BPC Data'!$E:$E,Summary!$D383,'BPC Data'!$B:$B,Summary!$C383)</f>
        <v>0</v>
      </c>
      <c r="K383" s="59">
        <f ca="1">SUMIFS(OFFSET('BPC Data'!$F:$F,0,Summary!K$2),'BPC Data'!$E:$E,Summary!$D383,'BPC Data'!$B:$B,Summary!$C383)</f>
        <v>0</v>
      </c>
      <c r="L383" s="52">
        <f ca="1">SUMIFS(OFFSET('BPC Data'!$F:$F,0,Summary!L$2),'BPC Data'!$E:$E,Summary!$D383,'BPC Data'!$B:$B,Summary!$C383)</f>
        <v>0</v>
      </c>
      <c r="M383" s="59">
        <f ca="1">SUMIFS(OFFSET('BPC Data'!$F:$F,0,Summary!M$2),'BPC Data'!$E:$E,Summary!$D383,'BPC Data'!$B:$B,Summary!$C383)</f>
        <v>0</v>
      </c>
      <c r="N383" s="52">
        <f ca="1">SUMIFS(OFFSET('BPC Data'!$F:$F,0,Summary!N$2),'BPC Data'!$E:$E,Summary!$D383,'BPC Data'!$B:$B,Summary!$C383)</f>
        <v>0</v>
      </c>
      <c r="O383" s="18">
        <f t="shared" ca="1" si="62"/>
        <v>0</v>
      </c>
    </row>
    <row r="384" spans="1:15" s="11" customFormat="1" hidden="1" outlineLevel="1" x14ac:dyDescent="0.55000000000000004">
      <c r="A384" s="11">
        <f>IF(AND(F384&lt;&gt;"",D384=""),A383+1,A383)</f>
        <v>35</v>
      </c>
      <c r="C384">
        <f>$F383</f>
        <v>0</v>
      </c>
      <c r="D384" s="3" t="str">
        <f t="shared" si="65"/>
        <v>PAY_PAT_DAYS - Total Payor Patient Days</v>
      </c>
      <c r="F384" s="14" t="str">
        <f>_xll.EVDES(D384)</f>
        <v>Total Payor Patient Days</v>
      </c>
      <c r="G384" s="60">
        <f ca="1">SUMIFS(OFFSET('BPC Data'!$F:$F,0,Summary!G$2),'BPC Data'!$E:$E,Summary!$D384,'BPC Data'!$B:$B,Summary!$C384)</f>
        <v>0</v>
      </c>
      <c r="H384" s="53">
        <f ca="1">SUMIFS(OFFSET('BPC Data'!$F:$F,0,Summary!H$2),'BPC Data'!$E:$E,Summary!$D384,'BPC Data'!$B:$B,Summary!$C384)</f>
        <v>0</v>
      </c>
      <c r="I384" s="60">
        <f ca="1">SUMIFS(OFFSET('BPC Data'!$F:$F,0,Summary!I$2),'BPC Data'!$E:$E,Summary!$D384,'BPC Data'!$B:$B,Summary!$C384)</f>
        <v>0</v>
      </c>
      <c r="J384" s="53">
        <f ca="1">SUMIFS(OFFSET('BPC Data'!$F:$F,0,Summary!J$2),'BPC Data'!$E:$E,Summary!$D384,'BPC Data'!$B:$B,Summary!$C384)</f>
        <v>0</v>
      </c>
      <c r="K384" s="60">
        <f ca="1">SUMIFS(OFFSET('BPC Data'!$F:$F,0,Summary!K$2),'BPC Data'!$E:$E,Summary!$D384,'BPC Data'!$B:$B,Summary!$C384)</f>
        <v>0</v>
      </c>
      <c r="L384" s="53">
        <f ca="1">SUMIFS(OFFSET('BPC Data'!$F:$F,0,Summary!L$2),'BPC Data'!$E:$E,Summary!$D384,'BPC Data'!$B:$B,Summary!$C384)</f>
        <v>0</v>
      </c>
      <c r="M384" s="60">
        <f ca="1">SUMIFS(OFFSET('BPC Data'!$F:$F,0,Summary!M$2),'BPC Data'!$E:$E,Summary!$D384,'BPC Data'!$B:$B,Summary!$C384)</f>
        <v>0</v>
      </c>
      <c r="N384" s="53">
        <f ca="1">SUMIFS(OFFSET('BPC Data'!$F:$F,0,Summary!N$2),'BPC Data'!$E:$E,Summary!$D384,'BPC Data'!$B:$B,Summary!$C384)</f>
        <v>0</v>
      </c>
      <c r="O384" s="18">
        <f t="shared" ca="1" si="62"/>
        <v>0</v>
      </c>
    </row>
    <row r="385" spans="1:15" s="11" customFormat="1" hidden="1" outlineLevel="1" x14ac:dyDescent="0.55000000000000004">
      <c r="A385" s="11">
        <f t="shared" ref="A385:A393" si="69">IF(AND(F385&lt;&gt;"",D385=""),A384+1,A384)</f>
        <v>35</v>
      </c>
      <c r="C385">
        <f>$F383</f>
        <v>0</v>
      </c>
      <c r="D385" s="3" t="str">
        <f t="shared" si="65"/>
        <v>A_BEDS_TOTAL - Total Available Beds</v>
      </c>
      <c r="F385" s="14" t="str">
        <f>_xll.EVDES(D385)</f>
        <v>Total Available Beds</v>
      </c>
      <c r="G385" s="60">
        <f ca="1">SUMIFS(OFFSET('BPC Data'!$F:$F,0,Summary!G$2),'BPC Data'!$E:$E,Summary!$D385,'BPC Data'!$B:$B,Summary!$C385)</f>
        <v>0</v>
      </c>
      <c r="H385" s="53">
        <f ca="1">SUMIFS(OFFSET('BPC Data'!$F:$F,0,Summary!H$2),'BPC Data'!$E:$E,Summary!$D385,'BPC Data'!$B:$B,Summary!$C385)</f>
        <v>0</v>
      </c>
      <c r="I385" s="60">
        <f ca="1">SUMIFS(OFFSET('BPC Data'!$F:$F,0,Summary!I$2),'BPC Data'!$E:$E,Summary!$D385,'BPC Data'!$B:$B,Summary!$C385)</f>
        <v>0</v>
      </c>
      <c r="J385" s="53">
        <f ca="1">SUMIFS(OFFSET('BPC Data'!$F:$F,0,Summary!J$2),'BPC Data'!$E:$E,Summary!$D385,'BPC Data'!$B:$B,Summary!$C385)</f>
        <v>0</v>
      </c>
      <c r="K385" s="60">
        <f ca="1">SUMIFS(OFFSET('BPC Data'!$F:$F,0,Summary!K$2),'BPC Data'!$E:$E,Summary!$D385,'BPC Data'!$B:$B,Summary!$C385)</f>
        <v>0</v>
      </c>
      <c r="L385" s="53">
        <f ca="1">SUMIFS(OFFSET('BPC Data'!$F:$F,0,Summary!L$2),'BPC Data'!$E:$E,Summary!$D385,'BPC Data'!$B:$B,Summary!$C385)</f>
        <v>0</v>
      </c>
      <c r="M385" s="60">
        <f ca="1">SUMIFS(OFFSET('BPC Data'!$F:$F,0,Summary!M$2),'BPC Data'!$E:$E,Summary!$D385,'BPC Data'!$B:$B,Summary!$C385)</f>
        <v>0</v>
      </c>
      <c r="N385" s="53">
        <f ca="1">SUMIFS(OFFSET('BPC Data'!$F:$F,0,Summary!N$2),'BPC Data'!$E:$E,Summary!$D385,'BPC Data'!$B:$B,Summary!$C385)</f>
        <v>0</v>
      </c>
      <c r="O385" s="18">
        <f t="shared" ca="1" si="62"/>
        <v>0</v>
      </c>
    </row>
    <row r="386" spans="1:15" s="11" customFormat="1" hidden="1" outlineLevel="1" x14ac:dyDescent="0.55000000000000004">
      <c r="A386" s="11">
        <f t="shared" si="69"/>
        <v>35</v>
      </c>
      <c r="B386"/>
      <c r="C386">
        <f>$F383</f>
        <v>0</v>
      </c>
      <c r="D386" s="3" t="str">
        <f t="shared" si="65"/>
        <v>T_REVENUES - Total Tenant Revenues</v>
      </c>
      <c r="E386"/>
      <c r="F386" s="14" t="str">
        <f>_xll.EVDES(D386)</f>
        <v>Total Tenant Revenues</v>
      </c>
      <c r="G386" s="60">
        <f ca="1">SUMIFS(OFFSET('BPC Data'!$F:$F,0,Summary!G$2),'BPC Data'!$E:$E,Summary!$D386,'BPC Data'!$B:$B,Summary!$C386)</f>
        <v>0</v>
      </c>
      <c r="H386" s="53">
        <f ca="1">SUMIFS(OFFSET('BPC Data'!$F:$F,0,Summary!H$2),'BPC Data'!$E:$E,Summary!$D386,'BPC Data'!$B:$B,Summary!$C386)</f>
        <v>0</v>
      </c>
      <c r="I386" s="60">
        <f ca="1">SUMIFS(OFFSET('BPC Data'!$F:$F,0,Summary!I$2),'BPC Data'!$E:$E,Summary!$D386,'BPC Data'!$B:$B,Summary!$C386)</f>
        <v>0</v>
      </c>
      <c r="J386" s="53">
        <f ca="1">SUMIFS(OFFSET('BPC Data'!$F:$F,0,Summary!J$2),'BPC Data'!$E:$E,Summary!$D386,'BPC Data'!$B:$B,Summary!$C386)</f>
        <v>0</v>
      </c>
      <c r="K386" s="60">
        <f ca="1">SUMIFS(OFFSET('BPC Data'!$F:$F,0,Summary!K$2),'BPC Data'!$E:$E,Summary!$D386,'BPC Data'!$B:$B,Summary!$C386)</f>
        <v>0</v>
      </c>
      <c r="L386" s="53">
        <f ca="1">SUMIFS(OFFSET('BPC Data'!$F:$F,0,Summary!L$2),'BPC Data'!$E:$E,Summary!$D386,'BPC Data'!$B:$B,Summary!$C386)</f>
        <v>0</v>
      </c>
      <c r="M386" s="60">
        <f ca="1">SUMIFS(OFFSET('BPC Data'!$F:$F,0,Summary!M$2),'BPC Data'!$E:$E,Summary!$D386,'BPC Data'!$B:$B,Summary!$C386)</f>
        <v>0</v>
      </c>
      <c r="N386" s="53">
        <f ca="1">SUMIFS(OFFSET('BPC Data'!$F:$F,0,Summary!N$2),'BPC Data'!$E:$E,Summary!$D386,'BPC Data'!$B:$B,Summary!$C386)</f>
        <v>0</v>
      </c>
      <c r="O386" s="18">
        <f t="shared" ca="1" si="62"/>
        <v>0</v>
      </c>
    </row>
    <row r="387" spans="1:15" s="11" customFormat="1" hidden="1" outlineLevel="1" x14ac:dyDescent="0.55000000000000004">
      <c r="A387" s="11">
        <f t="shared" si="69"/>
        <v>35</v>
      </c>
      <c r="B387"/>
      <c r="C387">
        <f>$F383</f>
        <v>0</v>
      </c>
      <c r="D387" s="3" t="str">
        <f t="shared" si="65"/>
        <v>T_OPEX - Tenant Operating Expenses</v>
      </c>
      <c r="E387"/>
      <c r="F387" s="14" t="str">
        <f>_xll.EVDES(D387)</f>
        <v>Tenant Operating Expenses</v>
      </c>
      <c r="G387" s="60">
        <f ca="1">SUMIFS(OFFSET('BPC Data'!$F:$F,0,Summary!G$2),'BPC Data'!$E:$E,Summary!$D387,'BPC Data'!$B:$B,Summary!$C387)</f>
        <v>0</v>
      </c>
      <c r="H387" s="53">
        <f ca="1">SUMIFS(OFFSET('BPC Data'!$F:$F,0,Summary!H$2),'BPC Data'!$E:$E,Summary!$D387,'BPC Data'!$B:$B,Summary!$C387)</f>
        <v>0</v>
      </c>
      <c r="I387" s="60">
        <f ca="1">SUMIFS(OFFSET('BPC Data'!$F:$F,0,Summary!I$2),'BPC Data'!$E:$E,Summary!$D387,'BPC Data'!$B:$B,Summary!$C387)</f>
        <v>0</v>
      </c>
      <c r="J387" s="53">
        <f ca="1">SUMIFS(OFFSET('BPC Data'!$F:$F,0,Summary!J$2),'BPC Data'!$E:$E,Summary!$D387,'BPC Data'!$B:$B,Summary!$C387)</f>
        <v>0</v>
      </c>
      <c r="K387" s="60">
        <f ca="1">SUMIFS(OFFSET('BPC Data'!$F:$F,0,Summary!K$2),'BPC Data'!$E:$E,Summary!$D387,'BPC Data'!$B:$B,Summary!$C387)</f>
        <v>0</v>
      </c>
      <c r="L387" s="53">
        <f ca="1">SUMIFS(OFFSET('BPC Data'!$F:$F,0,Summary!L$2),'BPC Data'!$E:$E,Summary!$D387,'BPC Data'!$B:$B,Summary!$C387)</f>
        <v>0</v>
      </c>
      <c r="M387" s="60">
        <f ca="1">SUMIFS(OFFSET('BPC Data'!$F:$F,0,Summary!M$2),'BPC Data'!$E:$E,Summary!$D387,'BPC Data'!$B:$B,Summary!$C387)</f>
        <v>0</v>
      </c>
      <c r="N387" s="53">
        <f ca="1">SUMIFS(OFFSET('BPC Data'!$F:$F,0,Summary!N$2),'BPC Data'!$E:$E,Summary!$D387,'BPC Data'!$B:$B,Summary!$C387)</f>
        <v>0</v>
      </c>
      <c r="O387" s="18">
        <f t="shared" ca="1" si="62"/>
        <v>0</v>
      </c>
    </row>
    <row r="388" spans="1:15" s="11" customFormat="1" hidden="1" outlineLevel="1" x14ac:dyDescent="0.55000000000000004">
      <c r="A388" s="11">
        <f t="shared" si="69"/>
        <v>35</v>
      </c>
      <c r="B388"/>
      <c r="C388">
        <f>$F383</f>
        <v>0</v>
      </c>
      <c r="D388" s="3" t="str">
        <f t="shared" si="65"/>
        <v>T_BAD_DEBT - Tenant Bad Debt Expense</v>
      </c>
      <c r="E388"/>
      <c r="F388" s="14" t="str">
        <f>_xll.EVDES(D388)</f>
        <v>Tenant Bad Debt Expense</v>
      </c>
      <c r="G388" s="60">
        <f ca="1">SUMIFS(OFFSET('BPC Data'!$F:$F,0,Summary!G$2),'BPC Data'!$E:$E,Summary!$D388,'BPC Data'!$B:$B,Summary!$C388)</f>
        <v>0</v>
      </c>
      <c r="H388" s="53">
        <f ca="1">SUMIFS(OFFSET('BPC Data'!$F:$F,0,Summary!H$2),'BPC Data'!$E:$E,Summary!$D388,'BPC Data'!$B:$B,Summary!$C388)</f>
        <v>0</v>
      </c>
      <c r="I388" s="60">
        <f ca="1">SUMIFS(OFFSET('BPC Data'!$F:$F,0,Summary!I$2),'BPC Data'!$E:$E,Summary!$D388,'BPC Data'!$B:$B,Summary!$C388)</f>
        <v>0</v>
      </c>
      <c r="J388" s="53">
        <f ca="1">SUMIFS(OFFSET('BPC Data'!$F:$F,0,Summary!J$2),'BPC Data'!$E:$E,Summary!$D388,'BPC Data'!$B:$B,Summary!$C388)</f>
        <v>0</v>
      </c>
      <c r="K388" s="60">
        <f ca="1">SUMIFS(OFFSET('BPC Data'!$F:$F,0,Summary!K$2),'BPC Data'!$E:$E,Summary!$D388,'BPC Data'!$B:$B,Summary!$C388)</f>
        <v>0</v>
      </c>
      <c r="L388" s="53">
        <f ca="1">SUMIFS(OFFSET('BPC Data'!$F:$F,0,Summary!L$2),'BPC Data'!$E:$E,Summary!$D388,'BPC Data'!$B:$B,Summary!$C388)</f>
        <v>0</v>
      </c>
      <c r="M388" s="60">
        <f ca="1">SUMIFS(OFFSET('BPC Data'!$F:$F,0,Summary!M$2),'BPC Data'!$E:$E,Summary!$D388,'BPC Data'!$B:$B,Summary!$C388)</f>
        <v>0</v>
      </c>
      <c r="N388" s="53">
        <f ca="1">SUMIFS(OFFSET('BPC Data'!$F:$F,0,Summary!N$2),'BPC Data'!$E:$E,Summary!$D388,'BPC Data'!$B:$B,Summary!$C388)</f>
        <v>0</v>
      </c>
      <c r="O388" s="18">
        <f t="shared" ca="1" si="62"/>
        <v>0</v>
      </c>
    </row>
    <row r="389" spans="1:15" s="11" customFormat="1" hidden="1" outlineLevel="1" x14ac:dyDescent="0.55000000000000004">
      <c r="A389" s="11">
        <f t="shared" si="69"/>
        <v>35</v>
      </c>
      <c r="B389"/>
      <c r="C389">
        <f>$F383</f>
        <v>0</v>
      </c>
      <c r="D389" s="2" t="str">
        <f t="shared" si="65"/>
        <v>T_EBITDARM - EBITDARM</v>
      </c>
      <c r="E389"/>
      <c r="F389" s="14" t="str">
        <f>_xll.EVDES(D389)</f>
        <v>EBITDARM</v>
      </c>
      <c r="G389" s="60">
        <f ca="1">SUMIFS(OFFSET('BPC Data'!$F:$F,0,Summary!G$2),'BPC Data'!$E:$E,Summary!$D389,'BPC Data'!$B:$B,Summary!$C389)</f>
        <v>0</v>
      </c>
      <c r="H389" s="53">
        <f ca="1">SUMIFS(OFFSET('BPC Data'!$F:$F,0,Summary!H$2),'BPC Data'!$E:$E,Summary!$D389,'BPC Data'!$B:$B,Summary!$C389)</f>
        <v>0</v>
      </c>
      <c r="I389" s="60">
        <f ca="1">SUMIFS(OFFSET('BPC Data'!$F:$F,0,Summary!I$2),'BPC Data'!$E:$E,Summary!$D389,'BPC Data'!$B:$B,Summary!$C389)</f>
        <v>0</v>
      </c>
      <c r="J389" s="53">
        <f ca="1">SUMIFS(OFFSET('BPC Data'!$F:$F,0,Summary!J$2),'BPC Data'!$E:$E,Summary!$D389,'BPC Data'!$B:$B,Summary!$C389)</f>
        <v>0</v>
      </c>
      <c r="K389" s="60">
        <f ca="1">SUMIFS(OFFSET('BPC Data'!$F:$F,0,Summary!K$2),'BPC Data'!$E:$E,Summary!$D389,'BPC Data'!$B:$B,Summary!$C389)</f>
        <v>0</v>
      </c>
      <c r="L389" s="53">
        <f ca="1">SUMIFS(OFFSET('BPC Data'!$F:$F,0,Summary!L$2),'BPC Data'!$E:$E,Summary!$D389,'BPC Data'!$B:$B,Summary!$C389)</f>
        <v>0</v>
      </c>
      <c r="M389" s="60">
        <f ca="1">SUMIFS(OFFSET('BPC Data'!$F:$F,0,Summary!M$2),'BPC Data'!$E:$E,Summary!$D389,'BPC Data'!$B:$B,Summary!$C389)</f>
        <v>0</v>
      </c>
      <c r="N389" s="53">
        <f ca="1">SUMIFS(OFFSET('BPC Data'!$F:$F,0,Summary!N$2),'BPC Data'!$E:$E,Summary!$D389,'BPC Data'!$B:$B,Summary!$C389)</f>
        <v>0</v>
      </c>
      <c r="O389" s="18">
        <f t="shared" ca="1" si="62"/>
        <v>0</v>
      </c>
    </row>
    <row r="390" spans="1:15" s="11" customFormat="1" hidden="1" outlineLevel="1" x14ac:dyDescent="0.55000000000000004">
      <c r="A390" s="11">
        <f t="shared" si="69"/>
        <v>35</v>
      </c>
      <c r="B390"/>
      <c r="C390">
        <f>$F383</f>
        <v>0</v>
      </c>
      <c r="D390" s="2" t="str">
        <f t="shared" si="65"/>
        <v>T_MGMT_FEE - Tenant Management Fee - Actual</v>
      </c>
      <c r="E390"/>
      <c r="F390" s="14" t="str">
        <f>_xll.EVDES(D390)</f>
        <v>Tenant Management Fee - Actual</v>
      </c>
      <c r="G390" s="60">
        <f ca="1">SUMIFS(OFFSET('BPC Data'!$F:$F,0,Summary!G$2),'BPC Data'!$E:$E,Summary!$D390,'BPC Data'!$B:$B,Summary!$C390)</f>
        <v>0</v>
      </c>
      <c r="H390" s="53">
        <f ca="1">SUMIFS(OFFSET('BPC Data'!$F:$F,0,Summary!H$2),'BPC Data'!$E:$E,Summary!$D390,'BPC Data'!$B:$B,Summary!$C390)</f>
        <v>0</v>
      </c>
      <c r="I390" s="60">
        <f ca="1">SUMIFS(OFFSET('BPC Data'!$F:$F,0,Summary!I$2),'BPC Data'!$E:$E,Summary!$D390,'BPC Data'!$B:$B,Summary!$C390)</f>
        <v>0</v>
      </c>
      <c r="J390" s="53">
        <f ca="1">SUMIFS(OFFSET('BPC Data'!$F:$F,0,Summary!J$2),'BPC Data'!$E:$E,Summary!$D390,'BPC Data'!$B:$B,Summary!$C390)</f>
        <v>0</v>
      </c>
      <c r="K390" s="60">
        <f ca="1">SUMIFS(OFFSET('BPC Data'!$F:$F,0,Summary!K$2),'BPC Data'!$E:$E,Summary!$D390,'BPC Data'!$B:$B,Summary!$C390)</f>
        <v>0</v>
      </c>
      <c r="L390" s="53">
        <f ca="1">SUMIFS(OFFSET('BPC Data'!$F:$F,0,Summary!L$2),'BPC Data'!$E:$E,Summary!$D390,'BPC Data'!$B:$B,Summary!$C390)</f>
        <v>0</v>
      </c>
      <c r="M390" s="60">
        <f ca="1">SUMIFS(OFFSET('BPC Data'!$F:$F,0,Summary!M$2),'BPC Data'!$E:$E,Summary!$D390,'BPC Data'!$B:$B,Summary!$C390)</f>
        <v>0</v>
      </c>
      <c r="N390" s="53">
        <f ca="1">SUMIFS(OFFSET('BPC Data'!$F:$F,0,Summary!N$2),'BPC Data'!$E:$E,Summary!$D390,'BPC Data'!$B:$B,Summary!$C390)</f>
        <v>0</v>
      </c>
      <c r="O390" s="18">
        <f t="shared" ca="1" si="62"/>
        <v>0</v>
      </c>
    </row>
    <row r="391" spans="1:15" s="11" customFormat="1" hidden="1" outlineLevel="1" x14ac:dyDescent="0.55000000000000004">
      <c r="A391" s="11">
        <f t="shared" si="69"/>
        <v>35</v>
      </c>
      <c r="B391"/>
      <c r="C391">
        <f>$F383</f>
        <v>0</v>
      </c>
      <c r="D391" s="1" t="str">
        <f t="shared" si="65"/>
        <v>T_EBITDAR - EBITDAR</v>
      </c>
      <c r="E391"/>
      <c r="F391" s="14" t="str">
        <f>_xll.EVDES(D391)</f>
        <v>EBITDAR</v>
      </c>
      <c r="G391" s="60">
        <f ca="1">SUMIFS(OFFSET('BPC Data'!$F:$F,0,Summary!G$2),'BPC Data'!$E:$E,Summary!$D391,'BPC Data'!$B:$B,Summary!$C391)</f>
        <v>0</v>
      </c>
      <c r="H391" s="53">
        <f ca="1">SUMIFS(OFFSET('BPC Data'!$F:$F,0,Summary!H$2),'BPC Data'!$E:$E,Summary!$D391,'BPC Data'!$B:$B,Summary!$C391)</f>
        <v>0</v>
      </c>
      <c r="I391" s="60">
        <f ca="1">SUMIFS(OFFSET('BPC Data'!$F:$F,0,Summary!I$2),'BPC Data'!$E:$E,Summary!$D391,'BPC Data'!$B:$B,Summary!$C391)</f>
        <v>0</v>
      </c>
      <c r="J391" s="53">
        <f ca="1">SUMIFS(OFFSET('BPC Data'!$F:$F,0,Summary!J$2),'BPC Data'!$E:$E,Summary!$D391,'BPC Data'!$B:$B,Summary!$C391)</f>
        <v>0</v>
      </c>
      <c r="K391" s="60">
        <f ca="1">SUMIFS(OFFSET('BPC Data'!$F:$F,0,Summary!K$2),'BPC Data'!$E:$E,Summary!$D391,'BPC Data'!$B:$B,Summary!$C391)</f>
        <v>0</v>
      </c>
      <c r="L391" s="53">
        <f ca="1">SUMIFS(OFFSET('BPC Data'!$F:$F,0,Summary!L$2),'BPC Data'!$E:$E,Summary!$D391,'BPC Data'!$B:$B,Summary!$C391)</f>
        <v>0</v>
      </c>
      <c r="M391" s="60">
        <f ca="1">SUMIFS(OFFSET('BPC Data'!$F:$F,0,Summary!M$2),'BPC Data'!$E:$E,Summary!$D391,'BPC Data'!$B:$B,Summary!$C391)</f>
        <v>0</v>
      </c>
      <c r="N391" s="53">
        <f ca="1">SUMIFS(OFFSET('BPC Data'!$F:$F,0,Summary!N$2),'BPC Data'!$E:$E,Summary!$D391,'BPC Data'!$B:$B,Summary!$C391)</f>
        <v>0</v>
      </c>
      <c r="O391" s="18">
        <f t="shared" ca="1" si="62"/>
        <v>0</v>
      </c>
    </row>
    <row r="392" spans="1:15" s="11" customFormat="1" hidden="1" outlineLevel="1" x14ac:dyDescent="0.55000000000000004">
      <c r="A392" s="11">
        <f t="shared" si="69"/>
        <v>35</v>
      </c>
      <c r="B392"/>
      <c r="C392">
        <f>$F383</f>
        <v>0</v>
      </c>
      <c r="D392" s="1" t="str">
        <f t="shared" si="65"/>
        <v>T_RENT_EXP - Tenant Rent Expense</v>
      </c>
      <c r="E392"/>
      <c r="F392" s="14" t="str">
        <f>_xll.EVDES(D392)</f>
        <v>Tenant Rent Expense</v>
      </c>
      <c r="G392" s="60">
        <f ca="1">SUMIFS(OFFSET('BPC Data'!$F:$F,0,Summary!G$2),'BPC Data'!$E:$E,Summary!$D392,'BPC Data'!$B:$B,Summary!$C392)</f>
        <v>0</v>
      </c>
      <c r="H392" s="53">
        <f ca="1">SUMIFS(OFFSET('BPC Data'!$F:$F,0,Summary!H$2),'BPC Data'!$E:$E,Summary!$D392,'BPC Data'!$B:$B,Summary!$C392)</f>
        <v>0</v>
      </c>
      <c r="I392" s="60">
        <f ca="1">SUMIFS(OFFSET('BPC Data'!$F:$F,0,Summary!I$2),'BPC Data'!$E:$E,Summary!$D392,'BPC Data'!$B:$B,Summary!$C392)</f>
        <v>0</v>
      </c>
      <c r="J392" s="53">
        <f ca="1">SUMIFS(OFFSET('BPC Data'!$F:$F,0,Summary!J$2),'BPC Data'!$E:$E,Summary!$D392,'BPC Data'!$B:$B,Summary!$C392)</f>
        <v>0</v>
      </c>
      <c r="K392" s="60">
        <f ca="1">SUMIFS(OFFSET('BPC Data'!$F:$F,0,Summary!K$2),'BPC Data'!$E:$E,Summary!$D392,'BPC Data'!$B:$B,Summary!$C392)</f>
        <v>0</v>
      </c>
      <c r="L392" s="53">
        <f ca="1">SUMIFS(OFFSET('BPC Data'!$F:$F,0,Summary!L$2),'BPC Data'!$E:$E,Summary!$D392,'BPC Data'!$B:$B,Summary!$C392)</f>
        <v>0</v>
      </c>
      <c r="M392" s="60">
        <f ca="1">SUMIFS(OFFSET('BPC Data'!$F:$F,0,Summary!M$2),'BPC Data'!$E:$E,Summary!$D392,'BPC Data'!$B:$B,Summary!$C392)</f>
        <v>0</v>
      </c>
      <c r="N392" s="53">
        <f ca="1">SUMIFS(OFFSET('BPC Data'!$F:$F,0,Summary!N$2),'BPC Data'!$E:$E,Summary!$D392,'BPC Data'!$B:$B,Summary!$C392)</f>
        <v>0</v>
      </c>
      <c r="O392" s="18">
        <f t="shared" ca="1" si="62"/>
        <v>0</v>
      </c>
    </row>
    <row r="393" spans="1:15" s="11" customFormat="1" hidden="1" outlineLevel="1" x14ac:dyDescent="0.55000000000000004">
      <c r="A393" s="11">
        <f t="shared" si="69"/>
        <v>35</v>
      </c>
      <c r="B393"/>
      <c r="C393"/>
      <c r="D393" s="1" t="str">
        <f t="shared" si="65"/>
        <v>x</v>
      </c>
      <c r="E393"/>
      <c r="F393" s="14" t="s">
        <v>0</v>
      </c>
      <c r="G393" s="61">
        <f ca="1">SUMIFS(OFFSET('BPC Data'!$F:$F,0,Summary!G$2),'BPC Data'!$E:$E,Summary!$D393,'BPC Data'!$B:$B,Summary!$C393)</f>
        <v>0</v>
      </c>
      <c r="H393" s="54">
        <f ca="1">SUMIFS(OFFSET('BPC Data'!$F:$F,0,Summary!H$2),'BPC Data'!$E:$E,Summary!$D393,'BPC Data'!$B:$B,Summary!$C393)</f>
        <v>0</v>
      </c>
      <c r="I393" s="61">
        <f ca="1">SUMIFS(OFFSET('BPC Data'!$F:$F,0,Summary!I$2),'BPC Data'!$E:$E,Summary!$D393,'BPC Data'!$B:$B,Summary!$C393)</f>
        <v>0</v>
      </c>
      <c r="J393" s="54">
        <f ca="1">SUMIFS(OFFSET('BPC Data'!$F:$F,0,Summary!J$2),'BPC Data'!$E:$E,Summary!$D393,'BPC Data'!$B:$B,Summary!$C393)</f>
        <v>0</v>
      </c>
      <c r="K393" s="61">
        <f ca="1">SUMIFS(OFFSET('BPC Data'!$F:$F,0,Summary!K$2),'BPC Data'!$E:$E,Summary!$D393,'BPC Data'!$B:$B,Summary!$C393)</f>
        <v>0</v>
      </c>
      <c r="L393" s="54">
        <f ca="1">SUMIFS(OFFSET('BPC Data'!$F:$F,0,Summary!L$2),'BPC Data'!$E:$E,Summary!$D393,'BPC Data'!$B:$B,Summary!$C393)</f>
        <v>0</v>
      </c>
      <c r="M393" s="61">
        <f ca="1">SUMIFS(OFFSET('BPC Data'!$F:$F,0,Summary!M$2),'BPC Data'!$E:$E,Summary!$D393,'BPC Data'!$B:$B,Summary!$C393)</f>
        <v>0</v>
      </c>
      <c r="N393" s="54">
        <f ca="1">SUMIFS(OFFSET('BPC Data'!$F:$F,0,Summary!N$2),'BPC Data'!$E:$E,Summary!$D393,'BPC Data'!$B:$B,Summary!$C393)</f>
        <v>0</v>
      </c>
      <c r="O393" s="18">
        <f t="shared" ref="O393:O456" ca="1" si="70">SUM(G393:N393)</f>
        <v>0</v>
      </c>
    </row>
    <row r="394" spans="1:15" s="11" customFormat="1" hidden="1" outlineLevel="1" x14ac:dyDescent="0.55000000000000004">
      <c r="A394" s="11">
        <f>IF(AND(D394&lt;&gt;"",C394=""),A393+1,A393)</f>
        <v>36</v>
      </c>
      <c r="B394" s="4"/>
      <c r="C394" s="4"/>
      <c r="D394" s="4" t="str">
        <f t="shared" si="65"/>
        <v>x</v>
      </c>
      <c r="E394" s="4"/>
      <c r="F394" s="13">
        <f>INDEX(PropertyList!$D:$D,MATCH(Summary!$A394,PropertyList!$C:$C,0))</f>
        <v>0</v>
      </c>
      <c r="G394" s="59">
        <f ca="1">SUMIFS(OFFSET('BPC Data'!$F:$F,0,Summary!G$2),'BPC Data'!$E:$E,Summary!$D394,'BPC Data'!$B:$B,Summary!$C394)</f>
        <v>0</v>
      </c>
      <c r="H394" s="52">
        <f ca="1">SUMIFS(OFFSET('BPC Data'!$F:$F,0,Summary!H$2),'BPC Data'!$E:$E,Summary!$D394,'BPC Data'!$B:$B,Summary!$C394)</f>
        <v>0</v>
      </c>
      <c r="I394" s="59">
        <f ca="1">SUMIFS(OFFSET('BPC Data'!$F:$F,0,Summary!I$2),'BPC Data'!$E:$E,Summary!$D394,'BPC Data'!$B:$B,Summary!$C394)</f>
        <v>0</v>
      </c>
      <c r="J394" s="52">
        <f ca="1">SUMIFS(OFFSET('BPC Data'!$F:$F,0,Summary!J$2),'BPC Data'!$E:$E,Summary!$D394,'BPC Data'!$B:$B,Summary!$C394)</f>
        <v>0</v>
      </c>
      <c r="K394" s="59">
        <f ca="1">SUMIFS(OFFSET('BPC Data'!$F:$F,0,Summary!K$2),'BPC Data'!$E:$E,Summary!$D394,'BPC Data'!$B:$B,Summary!$C394)</f>
        <v>0</v>
      </c>
      <c r="L394" s="52">
        <f ca="1">SUMIFS(OFFSET('BPC Data'!$F:$F,0,Summary!L$2),'BPC Data'!$E:$E,Summary!$D394,'BPC Data'!$B:$B,Summary!$C394)</f>
        <v>0</v>
      </c>
      <c r="M394" s="59">
        <f ca="1">SUMIFS(OFFSET('BPC Data'!$F:$F,0,Summary!M$2),'BPC Data'!$E:$E,Summary!$D394,'BPC Data'!$B:$B,Summary!$C394)</f>
        <v>0</v>
      </c>
      <c r="N394" s="52">
        <f ca="1">SUMIFS(OFFSET('BPC Data'!$F:$F,0,Summary!N$2),'BPC Data'!$E:$E,Summary!$D394,'BPC Data'!$B:$B,Summary!$C394)</f>
        <v>0</v>
      </c>
      <c r="O394" s="18">
        <f t="shared" ca="1" si="70"/>
        <v>0</v>
      </c>
    </row>
    <row r="395" spans="1:15" s="11" customFormat="1" hidden="1" outlineLevel="1" x14ac:dyDescent="0.55000000000000004">
      <c r="A395" s="11">
        <f>IF(AND(F395&lt;&gt;"",D395=""),A394+1,A394)</f>
        <v>36</v>
      </c>
      <c r="C395">
        <f>$F394</f>
        <v>0</v>
      </c>
      <c r="D395" s="3" t="str">
        <f t="shared" si="65"/>
        <v>PAY_PAT_DAYS - Total Payor Patient Days</v>
      </c>
      <c r="F395" s="14" t="str">
        <f>_xll.EVDES(D395)</f>
        <v>Total Payor Patient Days</v>
      </c>
      <c r="G395" s="60">
        <f ca="1">SUMIFS(OFFSET('BPC Data'!$F:$F,0,Summary!G$2),'BPC Data'!$E:$E,Summary!$D395,'BPC Data'!$B:$B,Summary!$C395)</f>
        <v>0</v>
      </c>
      <c r="H395" s="53">
        <f ca="1">SUMIFS(OFFSET('BPC Data'!$F:$F,0,Summary!H$2),'BPC Data'!$E:$E,Summary!$D395,'BPC Data'!$B:$B,Summary!$C395)</f>
        <v>0</v>
      </c>
      <c r="I395" s="60">
        <f ca="1">SUMIFS(OFFSET('BPC Data'!$F:$F,0,Summary!I$2),'BPC Data'!$E:$E,Summary!$D395,'BPC Data'!$B:$B,Summary!$C395)</f>
        <v>0</v>
      </c>
      <c r="J395" s="53">
        <f ca="1">SUMIFS(OFFSET('BPC Data'!$F:$F,0,Summary!J$2),'BPC Data'!$E:$E,Summary!$D395,'BPC Data'!$B:$B,Summary!$C395)</f>
        <v>0</v>
      </c>
      <c r="K395" s="60">
        <f ca="1">SUMIFS(OFFSET('BPC Data'!$F:$F,0,Summary!K$2),'BPC Data'!$E:$E,Summary!$D395,'BPC Data'!$B:$B,Summary!$C395)</f>
        <v>0</v>
      </c>
      <c r="L395" s="53">
        <f ca="1">SUMIFS(OFFSET('BPC Data'!$F:$F,0,Summary!L$2),'BPC Data'!$E:$E,Summary!$D395,'BPC Data'!$B:$B,Summary!$C395)</f>
        <v>0</v>
      </c>
      <c r="M395" s="60">
        <f ca="1">SUMIFS(OFFSET('BPC Data'!$F:$F,0,Summary!M$2),'BPC Data'!$E:$E,Summary!$D395,'BPC Data'!$B:$B,Summary!$C395)</f>
        <v>0</v>
      </c>
      <c r="N395" s="53">
        <f ca="1">SUMIFS(OFFSET('BPC Data'!$F:$F,0,Summary!N$2),'BPC Data'!$E:$E,Summary!$D395,'BPC Data'!$B:$B,Summary!$C395)</f>
        <v>0</v>
      </c>
      <c r="O395" s="18">
        <f t="shared" ca="1" si="70"/>
        <v>0</v>
      </c>
    </row>
    <row r="396" spans="1:15" s="11" customFormat="1" hidden="1" outlineLevel="1" x14ac:dyDescent="0.55000000000000004">
      <c r="A396" s="11">
        <f t="shared" ref="A396:A404" si="71">IF(AND(F396&lt;&gt;"",D396=""),A395+1,A395)</f>
        <v>36</v>
      </c>
      <c r="C396">
        <f>$F394</f>
        <v>0</v>
      </c>
      <c r="D396" s="3" t="str">
        <f t="shared" si="65"/>
        <v>A_BEDS_TOTAL - Total Available Beds</v>
      </c>
      <c r="F396" s="14" t="str">
        <f>_xll.EVDES(D396)</f>
        <v>Total Available Beds</v>
      </c>
      <c r="G396" s="60">
        <f ca="1">SUMIFS(OFFSET('BPC Data'!$F:$F,0,Summary!G$2),'BPC Data'!$E:$E,Summary!$D396,'BPC Data'!$B:$B,Summary!$C396)</f>
        <v>0</v>
      </c>
      <c r="H396" s="53">
        <f ca="1">SUMIFS(OFFSET('BPC Data'!$F:$F,0,Summary!H$2),'BPC Data'!$E:$E,Summary!$D396,'BPC Data'!$B:$B,Summary!$C396)</f>
        <v>0</v>
      </c>
      <c r="I396" s="60">
        <f ca="1">SUMIFS(OFFSET('BPC Data'!$F:$F,0,Summary!I$2),'BPC Data'!$E:$E,Summary!$D396,'BPC Data'!$B:$B,Summary!$C396)</f>
        <v>0</v>
      </c>
      <c r="J396" s="53">
        <f ca="1">SUMIFS(OFFSET('BPC Data'!$F:$F,0,Summary!J$2),'BPC Data'!$E:$E,Summary!$D396,'BPC Data'!$B:$B,Summary!$C396)</f>
        <v>0</v>
      </c>
      <c r="K396" s="60">
        <f ca="1">SUMIFS(OFFSET('BPC Data'!$F:$F,0,Summary!K$2),'BPC Data'!$E:$E,Summary!$D396,'BPC Data'!$B:$B,Summary!$C396)</f>
        <v>0</v>
      </c>
      <c r="L396" s="53">
        <f ca="1">SUMIFS(OFFSET('BPC Data'!$F:$F,0,Summary!L$2),'BPC Data'!$E:$E,Summary!$D396,'BPC Data'!$B:$B,Summary!$C396)</f>
        <v>0</v>
      </c>
      <c r="M396" s="60">
        <f ca="1">SUMIFS(OFFSET('BPC Data'!$F:$F,0,Summary!M$2),'BPC Data'!$E:$E,Summary!$D396,'BPC Data'!$B:$B,Summary!$C396)</f>
        <v>0</v>
      </c>
      <c r="N396" s="53">
        <f ca="1">SUMIFS(OFFSET('BPC Data'!$F:$F,0,Summary!N$2),'BPC Data'!$E:$E,Summary!$D396,'BPC Data'!$B:$B,Summary!$C396)</f>
        <v>0</v>
      </c>
      <c r="O396" s="18">
        <f t="shared" ca="1" si="70"/>
        <v>0</v>
      </c>
    </row>
    <row r="397" spans="1:15" s="11" customFormat="1" hidden="1" outlineLevel="1" x14ac:dyDescent="0.55000000000000004">
      <c r="A397" s="11">
        <f t="shared" si="71"/>
        <v>36</v>
      </c>
      <c r="B397"/>
      <c r="C397">
        <f>$F394</f>
        <v>0</v>
      </c>
      <c r="D397" s="3" t="str">
        <f t="shared" si="65"/>
        <v>T_REVENUES - Total Tenant Revenues</v>
      </c>
      <c r="E397"/>
      <c r="F397" s="14" t="str">
        <f>_xll.EVDES(D397)</f>
        <v>Total Tenant Revenues</v>
      </c>
      <c r="G397" s="60">
        <f ca="1">SUMIFS(OFFSET('BPC Data'!$F:$F,0,Summary!G$2),'BPC Data'!$E:$E,Summary!$D397,'BPC Data'!$B:$B,Summary!$C397)</f>
        <v>0</v>
      </c>
      <c r="H397" s="53">
        <f ca="1">SUMIFS(OFFSET('BPC Data'!$F:$F,0,Summary!H$2),'BPC Data'!$E:$E,Summary!$D397,'BPC Data'!$B:$B,Summary!$C397)</f>
        <v>0</v>
      </c>
      <c r="I397" s="60">
        <f ca="1">SUMIFS(OFFSET('BPC Data'!$F:$F,0,Summary!I$2),'BPC Data'!$E:$E,Summary!$D397,'BPC Data'!$B:$B,Summary!$C397)</f>
        <v>0</v>
      </c>
      <c r="J397" s="53">
        <f ca="1">SUMIFS(OFFSET('BPC Data'!$F:$F,0,Summary!J$2),'BPC Data'!$E:$E,Summary!$D397,'BPC Data'!$B:$B,Summary!$C397)</f>
        <v>0</v>
      </c>
      <c r="K397" s="60">
        <f ca="1">SUMIFS(OFFSET('BPC Data'!$F:$F,0,Summary!K$2),'BPC Data'!$E:$E,Summary!$D397,'BPC Data'!$B:$B,Summary!$C397)</f>
        <v>0</v>
      </c>
      <c r="L397" s="53">
        <f ca="1">SUMIFS(OFFSET('BPC Data'!$F:$F,0,Summary!L$2),'BPC Data'!$E:$E,Summary!$D397,'BPC Data'!$B:$B,Summary!$C397)</f>
        <v>0</v>
      </c>
      <c r="M397" s="60">
        <f ca="1">SUMIFS(OFFSET('BPC Data'!$F:$F,0,Summary!M$2),'BPC Data'!$E:$E,Summary!$D397,'BPC Data'!$B:$B,Summary!$C397)</f>
        <v>0</v>
      </c>
      <c r="N397" s="53">
        <f ca="1">SUMIFS(OFFSET('BPC Data'!$F:$F,0,Summary!N$2),'BPC Data'!$E:$E,Summary!$D397,'BPC Data'!$B:$B,Summary!$C397)</f>
        <v>0</v>
      </c>
      <c r="O397" s="18">
        <f t="shared" ca="1" si="70"/>
        <v>0</v>
      </c>
    </row>
    <row r="398" spans="1:15" s="11" customFormat="1" hidden="1" outlineLevel="1" x14ac:dyDescent="0.55000000000000004">
      <c r="A398" s="11">
        <f t="shared" si="71"/>
        <v>36</v>
      </c>
      <c r="B398"/>
      <c r="C398">
        <f>$F394</f>
        <v>0</v>
      </c>
      <c r="D398" s="3" t="str">
        <f t="shared" si="65"/>
        <v>T_OPEX - Tenant Operating Expenses</v>
      </c>
      <c r="E398"/>
      <c r="F398" s="14" t="str">
        <f>_xll.EVDES(D398)</f>
        <v>Tenant Operating Expenses</v>
      </c>
      <c r="G398" s="60">
        <f ca="1">SUMIFS(OFFSET('BPC Data'!$F:$F,0,Summary!G$2),'BPC Data'!$E:$E,Summary!$D398,'BPC Data'!$B:$B,Summary!$C398)</f>
        <v>0</v>
      </c>
      <c r="H398" s="53">
        <f ca="1">SUMIFS(OFFSET('BPC Data'!$F:$F,0,Summary!H$2),'BPC Data'!$E:$E,Summary!$D398,'BPC Data'!$B:$B,Summary!$C398)</f>
        <v>0</v>
      </c>
      <c r="I398" s="60">
        <f ca="1">SUMIFS(OFFSET('BPC Data'!$F:$F,0,Summary!I$2),'BPC Data'!$E:$E,Summary!$D398,'BPC Data'!$B:$B,Summary!$C398)</f>
        <v>0</v>
      </c>
      <c r="J398" s="53">
        <f ca="1">SUMIFS(OFFSET('BPC Data'!$F:$F,0,Summary!J$2),'BPC Data'!$E:$E,Summary!$D398,'BPC Data'!$B:$B,Summary!$C398)</f>
        <v>0</v>
      </c>
      <c r="K398" s="60">
        <f ca="1">SUMIFS(OFFSET('BPC Data'!$F:$F,0,Summary!K$2),'BPC Data'!$E:$E,Summary!$D398,'BPC Data'!$B:$B,Summary!$C398)</f>
        <v>0</v>
      </c>
      <c r="L398" s="53">
        <f ca="1">SUMIFS(OFFSET('BPC Data'!$F:$F,0,Summary!L$2),'BPC Data'!$E:$E,Summary!$D398,'BPC Data'!$B:$B,Summary!$C398)</f>
        <v>0</v>
      </c>
      <c r="M398" s="60">
        <f ca="1">SUMIFS(OFFSET('BPC Data'!$F:$F,0,Summary!M$2),'BPC Data'!$E:$E,Summary!$D398,'BPC Data'!$B:$B,Summary!$C398)</f>
        <v>0</v>
      </c>
      <c r="N398" s="53">
        <f ca="1">SUMIFS(OFFSET('BPC Data'!$F:$F,0,Summary!N$2),'BPC Data'!$E:$E,Summary!$D398,'BPC Data'!$B:$B,Summary!$C398)</f>
        <v>0</v>
      </c>
      <c r="O398" s="18">
        <f t="shared" ca="1" si="70"/>
        <v>0</v>
      </c>
    </row>
    <row r="399" spans="1:15" s="11" customFormat="1" hidden="1" outlineLevel="1" x14ac:dyDescent="0.55000000000000004">
      <c r="A399" s="11">
        <f t="shared" si="71"/>
        <v>36</v>
      </c>
      <c r="B399"/>
      <c r="C399">
        <f>$F394</f>
        <v>0</v>
      </c>
      <c r="D399" s="3" t="str">
        <f t="shared" si="65"/>
        <v>T_BAD_DEBT - Tenant Bad Debt Expense</v>
      </c>
      <c r="E399"/>
      <c r="F399" s="14" t="str">
        <f>_xll.EVDES(D399)</f>
        <v>Tenant Bad Debt Expense</v>
      </c>
      <c r="G399" s="60">
        <f ca="1">SUMIFS(OFFSET('BPC Data'!$F:$F,0,Summary!G$2),'BPC Data'!$E:$E,Summary!$D399,'BPC Data'!$B:$B,Summary!$C399)</f>
        <v>0</v>
      </c>
      <c r="H399" s="53">
        <f ca="1">SUMIFS(OFFSET('BPC Data'!$F:$F,0,Summary!H$2),'BPC Data'!$E:$E,Summary!$D399,'BPC Data'!$B:$B,Summary!$C399)</f>
        <v>0</v>
      </c>
      <c r="I399" s="60">
        <f ca="1">SUMIFS(OFFSET('BPC Data'!$F:$F,0,Summary!I$2),'BPC Data'!$E:$E,Summary!$D399,'BPC Data'!$B:$B,Summary!$C399)</f>
        <v>0</v>
      </c>
      <c r="J399" s="53">
        <f ca="1">SUMIFS(OFFSET('BPC Data'!$F:$F,0,Summary!J$2),'BPC Data'!$E:$E,Summary!$D399,'BPC Data'!$B:$B,Summary!$C399)</f>
        <v>0</v>
      </c>
      <c r="K399" s="60">
        <f ca="1">SUMIFS(OFFSET('BPC Data'!$F:$F,0,Summary!K$2),'BPC Data'!$E:$E,Summary!$D399,'BPC Data'!$B:$B,Summary!$C399)</f>
        <v>0</v>
      </c>
      <c r="L399" s="53">
        <f ca="1">SUMIFS(OFFSET('BPC Data'!$F:$F,0,Summary!L$2),'BPC Data'!$E:$E,Summary!$D399,'BPC Data'!$B:$B,Summary!$C399)</f>
        <v>0</v>
      </c>
      <c r="M399" s="60">
        <f ca="1">SUMIFS(OFFSET('BPC Data'!$F:$F,0,Summary!M$2),'BPC Data'!$E:$E,Summary!$D399,'BPC Data'!$B:$B,Summary!$C399)</f>
        <v>0</v>
      </c>
      <c r="N399" s="53">
        <f ca="1">SUMIFS(OFFSET('BPC Data'!$F:$F,0,Summary!N$2),'BPC Data'!$E:$E,Summary!$D399,'BPC Data'!$B:$B,Summary!$C399)</f>
        <v>0</v>
      </c>
      <c r="O399" s="18">
        <f t="shared" ca="1" si="70"/>
        <v>0</v>
      </c>
    </row>
    <row r="400" spans="1:15" s="11" customFormat="1" hidden="1" outlineLevel="1" x14ac:dyDescent="0.55000000000000004">
      <c r="A400" s="11">
        <f t="shared" si="71"/>
        <v>36</v>
      </c>
      <c r="B400"/>
      <c r="C400">
        <f>$F394</f>
        <v>0</v>
      </c>
      <c r="D400" s="2" t="str">
        <f t="shared" si="65"/>
        <v>T_EBITDARM - EBITDARM</v>
      </c>
      <c r="E400"/>
      <c r="F400" s="14" t="str">
        <f>_xll.EVDES(D400)</f>
        <v>EBITDARM</v>
      </c>
      <c r="G400" s="60">
        <f ca="1">SUMIFS(OFFSET('BPC Data'!$F:$F,0,Summary!G$2),'BPC Data'!$E:$E,Summary!$D400,'BPC Data'!$B:$B,Summary!$C400)</f>
        <v>0</v>
      </c>
      <c r="H400" s="53">
        <f ca="1">SUMIFS(OFFSET('BPC Data'!$F:$F,0,Summary!H$2),'BPC Data'!$E:$E,Summary!$D400,'BPC Data'!$B:$B,Summary!$C400)</f>
        <v>0</v>
      </c>
      <c r="I400" s="60">
        <f ca="1">SUMIFS(OFFSET('BPC Data'!$F:$F,0,Summary!I$2),'BPC Data'!$E:$E,Summary!$D400,'BPC Data'!$B:$B,Summary!$C400)</f>
        <v>0</v>
      </c>
      <c r="J400" s="53">
        <f ca="1">SUMIFS(OFFSET('BPC Data'!$F:$F,0,Summary!J$2),'BPC Data'!$E:$E,Summary!$D400,'BPC Data'!$B:$B,Summary!$C400)</f>
        <v>0</v>
      </c>
      <c r="K400" s="60">
        <f ca="1">SUMIFS(OFFSET('BPC Data'!$F:$F,0,Summary!K$2),'BPC Data'!$E:$E,Summary!$D400,'BPC Data'!$B:$B,Summary!$C400)</f>
        <v>0</v>
      </c>
      <c r="L400" s="53">
        <f ca="1">SUMIFS(OFFSET('BPC Data'!$F:$F,0,Summary!L$2),'BPC Data'!$E:$E,Summary!$D400,'BPC Data'!$B:$B,Summary!$C400)</f>
        <v>0</v>
      </c>
      <c r="M400" s="60">
        <f ca="1">SUMIFS(OFFSET('BPC Data'!$F:$F,0,Summary!M$2),'BPC Data'!$E:$E,Summary!$D400,'BPC Data'!$B:$B,Summary!$C400)</f>
        <v>0</v>
      </c>
      <c r="N400" s="53">
        <f ca="1">SUMIFS(OFFSET('BPC Data'!$F:$F,0,Summary!N$2),'BPC Data'!$E:$E,Summary!$D400,'BPC Data'!$B:$B,Summary!$C400)</f>
        <v>0</v>
      </c>
      <c r="O400" s="18">
        <f t="shared" ca="1" si="70"/>
        <v>0</v>
      </c>
    </row>
    <row r="401" spans="1:15" s="11" customFormat="1" hidden="1" outlineLevel="1" x14ac:dyDescent="0.55000000000000004">
      <c r="A401" s="11">
        <f t="shared" si="71"/>
        <v>36</v>
      </c>
      <c r="B401"/>
      <c r="C401">
        <f>$F394</f>
        <v>0</v>
      </c>
      <c r="D401" s="2" t="str">
        <f t="shared" si="65"/>
        <v>T_MGMT_FEE - Tenant Management Fee - Actual</v>
      </c>
      <c r="E401"/>
      <c r="F401" s="14" t="str">
        <f>_xll.EVDES(D401)</f>
        <v>Tenant Management Fee - Actual</v>
      </c>
      <c r="G401" s="60">
        <f ca="1">SUMIFS(OFFSET('BPC Data'!$F:$F,0,Summary!G$2),'BPC Data'!$E:$E,Summary!$D401,'BPC Data'!$B:$B,Summary!$C401)</f>
        <v>0</v>
      </c>
      <c r="H401" s="53">
        <f ca="1">SUMIFS(OFFSET('BPC Data'!$F:$F,0,Summary!H$2),'BPC Data'!$E:$E,Summary!$D401,'BPC Data'!$B:$B,Summary!$C401)</f>
        <v>0</v>
      </c>
      <c r="I401" s="60">
        <f ca="1">SUMIFS(OFFSET('BPC Data'!$F:$F,0,Summary!I$2),'BPC Data'!$E:$E,Summary!$D401,'BPC Data'!$B:$B,Summary!$C401)</f>
        <v>0</v>
      </c>
      <c r="J401" s="53">
        <f ca="1">SUMIFS(OFFSET('BPC Data'!$F:$F,0,Summary!J$2),'BPC Data'!$E:$E,Summary!$D401,'BPC Data'!$B:$B,Summary!$C401)</f>
        <v>0</v>
      </c>
      <c r="K401" s="60">
        <f ca="1">SUMIFS(OFFSET('BPC Data'!$F:$F,0,Summary!K$2),'BPC Data'!$E:$E,Summary!$D401,'BPC Data'!$B:$B,Summary!$C401)</f>
        <v>0</v>
      </c>
      <c r="L401" s="53">
        <f ca="1">SUMIFS(OFFSET('BPC Data'!$F:$F,0,Summary!L$2),'BPC Data'!$E:$E,Summary!$D401,'BPC Data'!$B:$B,Summary!$C401)</f>
        <v>0</v>
      </c>
      <c r="M401" s="60">
        <f ca="1">SUMIFS(OFFSET('BPC Data'!$F:$F,0,Summary!M$2),'BPC Data'!$E:$E,Summary!$D401,'BPC Data'!$B:$B,Summary!$C401)</f>
        <v>0</v>
      </c>
      <c r="N401" s="53">
        <f ca="1">SUMIFS(OFFSET('BPC Data'!$F:$F,0,Summary!N$2),'BPC Data'!$E:$E,Summary!$D401,'BPC Data'!$B:$B,Summary!$C401)</f>
        <v>0</v>
      </c>
      <c r="O401" s="18">
        <f t="shared" ca="1" si="70"/>
        <v>0</v>
      </c>
    </row>
    <row r="402" spans="1:15" s="11" customFormat="1" hidden="1" outlineLevel="1" x14ac:dyDescent="0.55000000000000004">
      <c r="A402" s="11">
        <f t="shared" si="71"/>
        <v>36</v>
      </c>
      <c r="B402"/>
      <c r="C402">
        <f>$F394</f>
        <v>0</v>
      </c>
      <c r="D402" s="1" t="str">
        <f t="shared" si="65"/>
        <v>T_EBITDAR - EBITDAR</v>
      </c>
      <c r="E402"/>
      <c r="F402" s="14" t="str">
        <f>_xll.EVDES(D402)</f>
        <v>EBITDAR</v>
      </c>
      <c r="G402" s="60">
        <f ca="1">SUMIFS(OFFSET('BPC Data'!$F:$F,0,Summary!G$2),'BPC Data'!$E:$E,Summary!$D402,'BPC Data'!$B:$B,Summary!$C402)</f>
        <v>0</v>
      </c>
      <c r="H402" s="53">
        <f ca="1">SUMIFS(OFFSET('BPC Data'!$F:$F,0,Summary!H$2),'BPC Data'!$E:$E,Summary!$D402,'BPC Data'!$B:$B,Summary!$C402)</f>
        <v>0</v>
      </c>
      <c r="I402" s="60">
        <f ca="1">SUMIFS(OFFSET('BPC Data'!$F:$F,0,Summary!I$2),'BPC Data'!$E:$E,Summary!$D402,'BPC Data'!$B:$B,Summary!$C402)</f>
        <v>0</v>
      </c>
      <c r="J402" s="53">
        <f ca="1">SUMIFS(OFFSET('BPC Data'!$F:$F,0,Summary!J$2),'BPC Data'!$E:$E,Summary!$D402,'BPC Data'!$B:$B,Summary!$C402)</f>
        <v>0</v>
      </c>
      <c r="K402" s="60">
        <f ca="1">SUMIFS(OFFSET('BPC Data'!$F:$F,0,Summary!K$2),'BPC Data'!$E:$E,Summary!$D402,'BPC Data'!$B:$B,Summary!$C402)</f>
        <v>0</v>
      </c>
      <c r="L402" s="53">
        <f ca="1">SUMIFS(OFFSET('BPC Data'!$F:$F,0,Summary!L$2),'BPC Data'!$E:$E,Summary!$D402,'BPC Data'!$B:$B,Summary!$C402)</f>
        <v>0</v>
      </c>
      <c r="M402" s="60">
        <f ca="1">SUMIFS(OFFSET('BPC Data'!$F:$F,0,Summary!M$2),'BPC Data'!$E:$E,Summary!$D402,'BPC Data'!$B:$B,Summary!$C402)</f>
        <v>0</v>
      </c>
      <c r="N402" s="53">
        <f ca="1">SUMIFS(OFFSET('BPC Data'!$F:$F,0,Summary!N$2),'BPC Data'!$E:$E,Summary!$D402,'BPC Data'!$B:$B,Summary!$C402)</f>
        <v>0</v>
      </c>
      <c r="O402" s="18">
        <f t="shared" ca="1" si="70"/>
        <v>0</v>
      </c>
    </row>
    <row r="403" spans="1:15" s="11" customFormat="1" hidden="1" outlineLevel="1" x14ac:dyDescent="0.55000000000000004">
      <c r="A403" s="11">
        <f t="shared" si="71"/>
        <v>36</v>
      </c>
      <c r="B403"/>
      <c r="C403">
        <f>$F394</f>
        <v>0</v>
      </c>
      <c r="D403" s="1" t="str">
        <f t="shared" si="65"/>
        <v>T_RENT_EXP - Tenant Rent Expense</v>
      </c>
      <c r="E403"/>
      <c r="F403" s="14" t="str">
        <f>_xll.EVDES(D403)</f>
        <v>Tenant Rent Expense</v>
      </c>
      <c r="G403" s="60">
        <f ca="1">SUMIFS(OFFSET('BPC Data'!$F:$F,0,Summary!G$2),'BPC Data'!$E:$E,Summary!$D403,'BPC Data'!$B:$B,Summary!$C403)</f>
        <v>0</v>
      </c>
      <c r="H403" s="53">
        <f ca="1">SUMIFS(OFFSET('BPC Data'!$F:$F,0,Summary!H$2),'BPC Data'!$E:$E,Summary!$D403,'BPC Data'!$B:$B,Summary!$C403)</f>
        <v>0</v>
      </c>
      <c r="I403" s="60">
        <f ca="1">SUMIFS(OFFSET('BPC Data'!$F:$F,0,Summary!I$2),'BPC Data'!$E:$E,Summary!$D403,'BPC Data'!$B:$B,Summary!$C403)</f>
        <v>0</v>
      </c>
      <c r="J403" s="53">
        <f ca="1">SUMIFS(OFFSET('BPC Data'!$F:$F,0,Summary!J$2),'BPC Data'!$E:$E,Summary!$D403,'BPC Data'!$B:$B,Summary!$C403)</f>
        <v>0</v>
      </c>
      <c r="K403" s="60">
        <f ca="1">SUMIFS(OFFSET('BPC Data'!$F:$F,0,Summary!K$2),'BPC Data'!$E:$E,Summary!$D403,'BPC Data'!$B:$B,Summary!$C403)</f>
        <v>0</v>
      </c>
      <c r="L403" s="53">
        <f ca="1">SUMIFS(OFFSET('BPC Data'!$F:$F,0,Summary!L$2),'BPC Data'!$E:$E,Summary!$D403,'BPC Data'!$B:$B,Summary!$C403)</f>
        <v>0</v>
      </c>
      <c r="M403" s="60">
        <f ca="1">SUMIFS(OFFSET('BPC Data'!$F:$F,0,Summary!M$2),'BPC Data'!$E:$E,Summary!$D403,'BPC Data'!$B:$B,Summary!$C403)</f>
        <v>0</v>
      </c>
      <c r="N403" s="53">
        <f ca="1">SUMIFS(OFFSET('BPC Data'!$F:$F,0,Summary!N$2),'BPC Data'!$E:$E,Summary!$D403,'BPC Data'!$B:$B,Summary!$C403)</f>
        <v>0</v>
      </c>
      <c r="O403" s="18">
        <f t="shared" ca="1" si="70"/>
        <v>0</v>
      </c>
    </row>
    <row r="404" spans="1:15" s="11" customFormat="1" hidden="1" outlineLevel="1" x14ac:dyDescent="0.55000000000000004">
      <c r="A404" s="11">
        <f t="shared" si="71"/>
        <v>36</v>
      </c>
      <c r="B404"/>
      <c r="C404"/>
      <c r="D404" s="1" t="str">
        <f t="shared" si="65"/>
        <v>x</v>
      </c>
      <c r="E404"/>
      <c r="F404" s="14" t="s">
        <v>0</v>
      </c>
      <c r="G404" s="61">
        <f ca="1">SUMIFS(OFFSET('BPC Data'!$F:$F,0,Summary!G$2),'BPC Data'!$E:$E,Summary!$D404,'BPC Data'!$B:$B,Summary!$C404)</f>
        <v>0</v>
      </c>
      <c r="H404" s="54">
        <f ca="1">SUMIFS(OFFSET('BPC Data'!$F:$F,0,Summary!H$2),'BPC Data'!$E:$E,Summary!$D404,'BPC Data'!$B:$B,Summary!$C404)</f>
        <v>0</v>
      </c>
      <c r="I404" s="61">
        <f ca="1">SUMIFS(OFFSET('BPC Data'!$F:$F,0,Summary!I$2),'BPC Data'!$E:$E,Summary!$D404,'BPC Data'!$B:$B,Summary!$C404)</f>
        <v>0</v>
      </c>
      <c r="J404" s="54">
        <f ca="1">SUMIFS(OFFSET('BPC Data'!$F:$F,0,Summary!J$2),'BPC Data'!$E:$E,Summary!$D404,'BPC Data'!$B:$B,Summary!$C404)</f>
        <v>0</v>
      </c>
      <c r="K404" s="61">
        <f ca="1">SUMIFS(OFFSET('BPC Data'!$F:$F,0,Summary!K$2),'BPC Data'!$E:$E,Summary!$D404,'BPC Data'!$B:$B,Summary!$C404)</f>
        <v>0</v>
      </c>
      <c r="L404" s="54">
        <f ca="1">SUMIFS(OFFSET('BPC Data'!$F:$F,0,Summary!L$2),'BPC Data'!$E:$E,Summary!$D404,'BPC Data'!$B:$B,Summary!$C404)</f>
        <v>0</v>
      </c>
      <c r="M404" s="61">
        <f ca="1">SUMIFS(OFFSET('BPC Data'!$F:$F,0,Summary!M$2),'BPC Data'!$E:$E,Summary!$D404,'BPC Data'!$B:$B,Summary!$C404)</f>
        <v>0</v>
      </c>
      <c r="N404" s="54">
        <f ca="1">SUMIFS(OFFSET('BPC Data'!$F:$F,0,Summary!N$2),'BPC Data'!$E:$E,Summary!$D404,'BPC Data'!$B:$B,Summary!$C404)</f>
        <v>0</v>
      </c>
      <c r="O404" s="18">
        <f t="shared" ca="1" si="70"/>
        <v>0</v>
      </c>
    </row>
    <row r="405" spans="1:15" s="11" customFormat="1" hidden="1" outlineLevel="1" x14ac:dyDescent="0.55000000000000004">
      <c r="A405" s="11">
        <f>IF(AND(D405&lt;&gt;"",C405=""),A404+1,A404)</f>
        <v>37</v>
      </c>
      <c r="B405" s="4"/>
      <c r="C405" s="4"/>
      <c r="D405" s="4" t="str">
        <f t="shared" si="65"/>
        <v>x</v>
      </c>
      <c r="E405" s="4"/>
      <c r="F405" s="13">
        <f>INDEX(PropertyList!$D:$D,MATCH(Summary!$A405,PropertyList!$C:$C,0))</f>
        <v>0</v>
      </c>
      <c r="G405" s="59">
        <f ca="1">SUMIFS(OFFSET('BPC Data'!$F:$F,0,Summary!G$2),'BPC Data'!$E:$E,Summary!$D405,'BPC Data'!$B:$B,Summary!$C405)</f>
        <v>0</v>
      </c>
      <c r="H405" s="52">
        <f ca="1">SUMIFS(OFFSET('BPC Data'!$F:$F,0,Summary!H$2),'BPC Data'!$E:$E,Summary!$D405,'BPC Data'!$B:$B,Summary!$C405)</f>
        <v>0</v>
      </c>
      <c r="I405" s="59">
        <f ca="1">SUMIFS(OFFSET('BPC Data'!$F:$F,0,Summary!I$2),'BPC Data'!$E:$E,Summary!$D405,'BPC Data'!$B:$B,Summary!$C405)</f>
        <v>0</v>
      </c>
      <c r="J405" s="52">
        <f ca="1">SUMIFS(OFFSET('BPC Data'!$F:$F,0,Summary!J$2),'BPC Data'!$E:$E,Summary!$D405,'BPC Data'!$B:$B,Summary!$C405)</f>
        <v>0</v>
      </c>
      <c r="K405" s="59">
        <f ca="1">SUMIFS(OFFSET('BPC Data'!$F:$F,0,Summary!K$2),'BPC Data'!$E:$E,Summary!$D405,'BPC Data'!$B:$B,Summary!$C405)</f>
        <v>0</v>
      </c>
      <c r="L405" s="52">
        <f ca="1">SUMIFS(OFFSET('BPC Data'!$F:$F,0,Summary!L$2),'BPC Data'!$E:$E,Summary!$D405,'BPC Data'!$B:$B,Summary!$C405)</f>
        <v>0</v>
      </c>
      <c r="M405" s="59">
        <f ca="1">SUMIFS(OFFSET('BPC Data'!$F:$F,0,Summary!M$2),'BPC Data'!$E:$E,Summary!$D405,'BPC Data'!$B:$B,Summary!$C405)</f>
        <v>0</v>
      </c>
      <c r="N405" s="52">
        <f ca="1">SUMIFS(OFFSET('BPC Data'!$F:$F,0,Summary!N$2),'BPC Data'!$E:$E,Summary!$D405,'BPC Data'!$B:$B,Summary!$C405)</f>
        <v>0</v>
      </c>
      <c r="O405" s="18">
        <f t="shared" ca="1" si="70"/>
        <v>0</v>
      </c>
    </row>
    <row r="406" spans="1:15" s="11" customFormat="1" hidden="1" outlineLevel="1" x14ac:dyDescent="0.55000000000000004">
      <c r="A406" s="11">
        <f>IF(AND(F406&lt;&gt;"",D406=""),A405+1,A405)</f>
        <v>37</v>
      </c>
      <c r="C406">
        <f>$F405</f>
        <v>0</v>
      </c>
      <c r="D406" s="3" t="str">
        <f t="shared" ref="D406:D469" si="72">$D395</f>
        <v>PAY_PAT_DAYS - Total Payor Patient Days</v>
      </c>
      <c r="F406" s="14" t="str">
        <f>_xll.EVDES(D406)</f>
        <v>Total Payor Patient Days</v>
      </c>
      <c r="G406" s="60">
        <f ca="1">SUMIFS(OFFSET('BPC Data'!$F:$F,0,Summary!G$2),'BPC Data'!$E:$E,Summary!$D406,'BPC Data'!$B:$B,Summary!$C406)</f>
        <v>0</v>
      </c>
      <c r="H406" s="53">
        <f ca="1">SUMIFS(OFFSET('BPC Data'!$F:$F,0,Summary!H$2),'BPC Data'!$E:$E,Summary!$D406,'BPC Data'!$B:$B,Summary!$C406)</f>
        <v>0</v>
      </c>
      <c r="I406" s="60">
        <f ca="1">SUMIFS(OFFSET('BPC Data'!$F:$F,0,Summary!I$2),'BPC Data'!$E:$E,Summary!$D406,'BPC Data'!$B:$B,Summary!$C406)</f>
        <v>0</v>
      </c>
      <c r="J406" s="53">
        <f ca="1">SUMIFS(OFFSET('BPC Data'!$F:$F,0,Summary!J$2),'BPC Data'!$E:$E,Summary!$D406,'BPC Data'!$B:$B,Summary!$C406)</f>
        <v>0</v>
      </c>
      <c r="K406" s="60">
        <f ca="1">SUMIFS(OFFSET('BPC Data'!$F:$F,0,Summary!K$2),'BPC Data'!$E:$E,Summary!$D406,'BPC Data'!$B:$B,Summary!$C406)</f>
        <v>0</v>
      </c>
      <c r="L406" s="53">
        <f ca="1">SUMIFS(OFFSET('BPC Data'!$F:$F,0,Summary!L$2),'BPC Data'!$E:$E,Summary!$D406,'BPC Data'!$B:$B,Summary!$C406)</f>
        <v>0</v>
      </c>
      <c r="M406" s="60">
        <f ca="1">SUMIFS(OFFSET('BPC Data'!$F:$F,0,Summary!M$2),'BPC Data'!$E:$E,Summary!$D406,'BPC Data'!$B:$B,Summary!$C406)</f>
        <v>0</v>
      </c>
      <c r="N406" s="53">
        <f ca="1">SUMIFS(OFFSET('BPC Data'!$F:$F,0,Summary!N$2),'BPC Data'!$E:$E,Summary!$D406,'BPC Data'!$B:$B,Summary!$C406)</f>
        <v>0</v>
      </c>
      <c r="O406" s="18">
        <f t="shared" ca="1" si="70"/>
        <v>0</v>
      </c>
    </row>
    <row r="407" spans="1:15" s="11" customFormat="1" hidden="1" outlineLevel="1" x14ac:dyDescent="0.55000000000000004">
      <c r="A407" s="11">
        <f t="shared" ref="A407:A415" si="73">IF(AND(F407&lt;&gt;"",D407=""),A406+1,A406)</f>
        <v>37</v>
      </c>
      <c r="C407">
        <f>$F405</f>
        <v>0</v>
      </c>
      <c r="D407" s="3" t="str">
        <f t="shared" si="72"/>
        <v>A_BEDS_TOTAL - Total Available Beds</v>
      </c>
      <c r="F407" s="14" t="str">
        <f>_xll.EVDES(D407)</f>
        <v>Total Available Beds</v>
      </c>
      <c r="G407" s="60">
        <f ca="1">SUMIFS(OFFSET('BPC Data'!$F:$F,0,Summary!G$2),'BPC Data'!$E:$E,Summary!$D407,'BPC Data'!$B:$B,Summary!$C407)</f>
        <v>0</v>
      </c>
      <c r="H407" s="53">
        <f ca="1">SUMIFS(OFFSET('BPC Data'!$F:$F,0,Summary!H$2),'BPC Data'!$E:$E,Summary!$D407,'BPC Data'!$B:$B,Summary!$C407)</f>
        <v>0</v>
      </c>
      <c r="I407" s="60">
        <f ca="1">SUMIFS(OFFSET('BPC Data'!$F:$F,0,Summary!I$2),'BPC Data'!$E:$E,Summary!$D407,'BPC Data'!$B:$B,Summary!$C407)</f>
        <v>0</v>
      </c>
      <c r="J407" s="53">
        <f ca="1">SUMIFS(OFFSET('BPC Data'!$F:$F,0,Summary!J$2),'BPC Data'!$E:$E,Summary!$D407,'BPC Data'!$B:$B,Summary!$C407)</f>
        <v>0</v>
      </c>
      <c r="K407" s="60">
        <f ca="1">SUMIFS(OFFSET('BPC Data'!$F:$F,0,Summary!K$2),'BPC Data'!$E:$E,Summary!$D407,'BPC Data'!$B:$B,Summary!$C407)</f>
        <v>0</v>
      </c>
      <c r="L407" s="53">
        <f ca="1">SUMIFS(OFFSET('BPC Data'!$F:$F,0,Summary!L$2),'BPC Data'!$E:$E,Summary!$D407,'BPC Data'!$B:$B,Summary!$C407)</f>
        <v>0</v>
      </c>
      <c r="M407" s="60">
        <f ca="1">SUMIFS(OFFSET('BPC Data'!$F:$F,0,Summary!M$2),'BPC Data'!$E:$E,Summary!$D407,'BPC Data'!$B:$B,Summary!$C407)</f>
        <v>0</v>
      </c>
      <c r="N407" s="53">
        <f ca="1">SUMIFS(OFFSET('BPC Data'!$F:$F,0,Summary!N$2),'BPC Data'!$E:$E,Summary!$D407,'BPC Data'!$B:$B,Summary!$C407)</f>
        <v>0</v>
      </c>
      <c r="O407" s="18">
        <f t="shared" ca="1" si="70"/>
        <v>0</v>
      </c>
    </row>
    <row r="408" spans="1:15" s="11" customFormat="1" hidden="1" outlineLevel="1" x14ac:dyDescent="0.55000000000000004">
      <c r="A408" s="11">
        <f t="shared" si="73"/>
        <v>37</v>
      </c>
      <c r="B408"/>
      <c r="C408">
        <f>$F405</f>
        <v>0</v>
      </c>
      <c r="D408" s="3" t="str">
        <f t="shared" si="72"/>
        <v>T_REVENUES - Total Tenant Revenues</v>
      </c>
      <c r="E408"/>
      <c r="F408" s="14" t="str">
        <f>_xll.EVDES(D408)</f>
        <v>Total Tenant Revenues</v>
      </c>
      <c r="G408" s="60">
        <f ca="1">SUMIFS(OFFSET('BPC Data'!$F:$F,0,Summary!G$2),'BPC Data'!$E:$E,Summary!$D408,'BPC Data'!$B:$B,Summary!$C408)</f>
        <v>0</v>
      </c>
      <c r="H408" s="53">
        <f ca="1">SUMIFS(OFFSET('BPC Data'!$F:$F,0,Summary!H$2),'BPC Data'!$E:$E,Summary!$D408,'BPC Data'!$B:$B,Summary!$C408)</f>
        <v>0</v>
      </c>
      <c r="I408" s="60">
        <f ca="1">SUMIFS(OFFSET('BPC Data'!$F:$F,0,Summary!I$2),'BPC Data'!$E:$E,Summary!$D408,'BPC Data'!$B:$B,Summary!$C408)</f>
        <v>0</v>
      </c>
      <c r="J408" s="53">
        <f ca="1">SUMIFS(OFFSET('BPC Data'!$F:$F,0,Summary!J$2),'BPC Data'!$E:$E,Summary!$D408,'BPC Data'!$B:$B,Summary!$C408)</f>
        <v>0</v>
      </c>
      <c r="K408" s="60">
        <f ca="1">SUMIFS(OFFSET('BPC Data'!$F:$F,0,Summary!K$2),'BPC Data'!$E:$E,Summary!$D408,'BPC Data'!$B:$B,Summary!$C408)</f>
        <v>0</v>
      </c>
      <c r="L408" s="53">
        <f ca="1">SUMIFS(OFFSET('BPC Data'!$F:$F,0,Summary!L$2),'BPC Data'!$E:$E,Summary!$D408,'BPC Data'!$B:$B,Summary!$C408)</f>
        <v>0</v>
      </c>
      <c r="M408" s="60">
        <f ca="1">SUMIFS(OFFSET('BPC Data'!$F:$F,0,Summary!M$2),'BPC Data'!$E:$E,Summary!$D408,'BPC Data'!$B:$B,Summary!$C408)</f>
        <v>0</v>
      </c>
      <c r="N408" s="53">
        <f ca="1">SUMIFS(OFFSET('BPC Data'!$F:$F,0,Summary!N$2),'BPC Data'!$E:$E,Summary!$D408,'BPC Data'!$B:$B,Summary!$C408)</f>
        <v>0</v>
      </c>
      <c r="O408" s="18">
        <f t="shared" ca="1" si="70"/>
        <v>0</v>
      </c>
    </row>
    <row r="409" spans="1:15" s="11" customFormat="1" hidden="1" outlineLevel="1" x14ac:dyDescent="0.55000000000000004">
      <c r="A409" s="11">
        <f t="shared" si="73"/>
        <v>37</v>
      </c>
      <c r="B409"/>
      <c r="C409">
        <f>$F405</f>
        <v>0</v>
      </c>
      <c r="D409" s="3" t="str">
        <f t="shared" si="72"/>
        <v>T_OPEX - Tenant Operating Expenses</v>
      </c>
      <c r="E409"/>
      <c r="F409" s="14" t="str">
        <f>_xll.EVDES(D409)</f>
        <v>Tenant Operating Expenses</v>
      </c>
      <c r="G409" s="60">
        <f ca="1">SUMIFS(OFFSET('BPC Data'!$F:$F,0,Summary!G$2),'BPC Data'!$E:$E,Summary!$D409,'BPC Data'!$B:$B,Summary!$C409)</f>
        <v>0</v>
      </c>
      <c r="H409" s="53">
        <f ca="1">SUMIFS(OFFSET('BPC Data'!$F:$F,0,Summary!H$2),'BPC Data'!$E:$E,Summary!$D409,'BPC Data'!$B:$B,Summary!$C409)</f>
        <v>0</v>
      </c>
      <c r="I409" s="60">
        <f ca="1">SUMIFS(OFFSET('BPC Data'!$F:$F,0,Summary!I$2),'BPC Data'!$E:$E,Summary!$D409,'BPC Data'!$B:$B,Summary!$C409)</f>
        <v>0</v>
      </c>
      <c r="J409" s="53">
        <f ca="1">SUMIFS(OFFSET('BPC Data'!$F:$F,0,Summary!J$2),'BPC Data'!$E:$E,Summary!$D409,'BPC Data'!$B:$B,Summary!$C409)</f>
        <v>0</v>
      </c>
      <c r="K409" s="60">
        <f ca="1">SUMIFS(OFFSET('BPC Data'!$F:$F,0,Summary!K$2),'BPC Data'!$E:$E,Summary!$D409,'BPC Data'!$B:$B,Summary!$C409)</f>
        <v>0</v>
      </c>
      <c r="L409" s="53">
        <f ca="1">SUMIFS(OFFSET('BPC Data'!$F:$F,0,Summary!L$2),'BPC Data'!$E:$E,Summary!$D409,'BPC Data'!$B:$B,Summary!$C409)</f>
        <v>0</v>
      </c>
      <c r="M409" s="60">
        <f ca="1">SUMIFS(OFFSET('BPC Data'!$F:$F,0,Summary!M$2),'BPC Data'!$E:$E,Summary!$D409,'BPC Data'!$B:$B,Summary!$C409)</f>
        <v>0</v>
      </c>
      <c r="N409" s="53">
        <f ca="1">SUMIFS(OFFSET('BPC Data'!$F:$F,0,Summary!N$2),'BPC Data'!$E:$E,Summary!$D409,'BPC Data'!$B:$B,Summary!$C409)</f>
        <v>0</v>
      </c>
      <c r="O409" s="18">
        <f t="shared" ca="1" si="70"/>
        <v>0</v>
      </c>
    </row>
    <row r="410" spans="1:15" s="11" customFormat="1" hidden="1" outlineLevel="1" x14ac:dyDescent="0.55000000000000004">
      <c r="A410" s="11">
        <f t="shared" si="73"/>
        <v>37</v>
      </c>
      <c r="B410"/>
      <c r="C410">
        <f>$F405</f>
        <v>0</v>
      </c>
      <c r="D410" s="3" t="str">
        <f t="shared" si="72"/>
        <v>T_BAD_DEBT - Tenant Bad Debt Expense</v>
      </c>
      <c r="E410"/>
      <c r="F410" s="14" t="str">
        <f>_xll.EVDES(D410)</f>
        <v>Tenant Bad Debt Expense</v>
      </c>
      <c r="G410" s="60">
        <f ca="1">SUMIFS(OFFSET('BPC Data'!$F:$F,0,Summary!G$2),'BPC Data'!$E:$E,Summary!$D410,'BPC Data'!$B:$B,Summary!$C410)</f>
        <v>0</v>
      </c>
      <c r="H410" s="53">
        <f ca="1">SUMIFS(OFFSET('BPC Data'!$F:$F,0,Summary!H$2),'BPC Data'!$E:$E,Summary!$D410,'BPC Data'!$B:$B,Summary!$C410)</f>
        <v>0</v>
      </c>
      <c r="I410" s="60">
        <f ca="1">SUMIFS(OFFSET('BPC Data'!$F:$F,0,Summary!I$2),'BPC Data'!$E:$E,Summary!$D410,'BPC Data'!$B:$B,Summary!$C410)</f>
        <v>0</v>
      </c>
      <c r="J410" s="53">
        <f ca="1">SUMIFS(OFFSET('BPC Data'!$F:$F,0,Summary!J$2),'BPC Data'!$E:$E,Summary!$D410,'BPC Data'!$B:$B,Summary!$C410)</f>
        <v>0</v>
      </c>
      <c r="K410" s="60">
        <f ca="1">SUMIFS(OFFSET('BPC Data'!$F:$F,0,Summary!K$2),'BPC Data'!$E:$E,Summary!$D410,'BPC Data'!$B:$B,Summary!$C410)</f>
        <v>0</v>
      </c>
      <c r="L410" s="53">
        <f ca="1">SUMIFS(OFFSET('BPC Data'!$F:$F,0,Summary!L$2),'BPC Data'!$E:$E,Summary!$D410,'BPC Data'!$B:$B,Summary!$C410)</f>
        <v>0</v>
      </c>
      <c r="M410" s="60">
        <f ca="1">SUMIFS(OFFSET('BPC Data'!$F:$F,0,Summary!M$2),'BPC Data'!$E:$E,Summary!$D410,'BPC Data'!$B:$B,Summary!$C410)</f>
        <v>0</v>
      </c>
      <c r="N410" s="53">
        <f ca="1">SUMIFS(OFFSET('BPC Data'!$F:$F,0,Summary!N$2),'BPC Data'!$E:$E,Summary!$D410,'BPC Data'!$B:$B,Summary!$C410)</f>
        <v>0</v>
      </c>
      <c r="O410" s="18">
        <f t="shared" ca="1" si="70"/>
        <v>0</v>
      </c>
    </row>
    <row r="411" spans="1:15" s="11" customFormat="1" hidden="1" outlineLevel="1" x14ac:dyDescent="0.55000000000000004">
      <c r="A411" s="11">
        <f t="shared" si="73"/>
        <v>37</v>
      </c>
      <c r="B411"/>
      <c r="C411">
        <f>$F405</f>
        <v>0</v>
      </c>
      <c r="D411" s="2" t="str">
        <f t="shared" si="72"/>
        <v>T_EBITDARM - EBITDARM</v>
      </c>
      <c r="E411"/>
      <c r="F411" s="14" t="str">
        <f>_xll.EVDES(D411)</f>
        <v>EBITDARM</v>
      </c>
      <c r="G411" s="60">
        <f ca="1">SUMIFS(OFFSET('BPC Data'!$F:$F,0,Summary!G$2),'BPC Data'!$E:$E,Summary!$D411,'BPC Data'!$B:$B,Summary!$C411)</f>
        <v>0</v>
      </c>
      <c r="H411" s="53">
        <f ca="1">SUMIFS(OFFSET('BPC Data'!$F:$F,0,Summary!H$2),'BPC Data'!$E:$E,Summary!$D411,'BPC Data'!$B:$B,Summary!$C411)</f>
        <v>0</v>
      </c>
      <c r="I411" s="60">
        <f ca="1">SUMIFS(OFFSET('BPC Data'!$F:$F,0,Summary!I$2),'BPC Data'!$E:$E,Summary!$D411,'BPC Data'!$B:$B,Summary!$C411)</f>
        <v>0</v>
      </c>
      <c r="J411" s="53">
        <f ca="1">SUMIFS(OFFSET('BPC Data'!$F:$F,0,Summary!J$2),'BPC Data'!$E:$E,Summary!$D411,'BPC Data'!$B:$B,Summary!$C411)</f>
        <v>0</v>
      </c>
      <c r="K411" s="60">
        <f ca="1">SUMIFS(OFFSET('BPC Data'!$F:$F,0,Summary!K$2),'BPC Data'!$E:$E,Summary!$D411,'BPC Data'!$B:$B,Summary!$C411)</f>
        <v>0</v>
      </c>
      <c r="L411" s="53">
        <f ca="1">SUMIFS(OFFSET('BPC Data'!$F:$F,0,Summary!L$2),'BPC Data'!$E:$E,Summary!$D411,'BPC Data'!$B:$B,Summary!$C411)</f>
        <v>0</v>
      </c>
      <c r="M411" s="60">
        <f ca="1">SUMIFS(OFFSET('BPC Data'!$F:$F,0,Summary!M$2),'BPC Data'!$E:$E,Summary!$D411,'BPC Data'!$B:$B,Summary!$C411)</f>
        <v>0</v>
      </c>
      <c r="N411" s="53">
        <f ca="1">SUMIFS(OFFSET('BPC Data'!$F:$F,0,Summary!N$2),'BPC Data'!$E:$E,Summary!$D411,'BPC Data'!$B:$B,Summary!$C411)</f>
        <v>0</v>
      </c>
      <c r="O411" s="18">
        <f t="shared" ca="1" si="70"/>
        <v>0</v>
      </c>
    </row>
    <row r="412" spans="1:15" s="11" customFormat="1" hidden="1" outlineLevel="1" x14ac:dyDescent="0.55000000000000004">
      <c r="A412" s="11">
        <f t="shared" si="73"/>
        <v>37</v>
      </c>
      <c r="B412"/>
      <c r="C412">
        <f>$F405</f>
        <v>0</v>
      </c>
      <c r="D412" s="2" t="str">
        <f t="shared" si="72"/>
        <v>T_MGMT_FEE - Tenant Management Fee - Actual</v>
      </c>
      <c r="E412"/>
      <c r="F412" s="14" t="str">
        <f>_xll.EVDES(D412)</f>
        <v>Tenant Management Fee - Actual</v>
      </c>
      <c r="G412" s="60">
        <f ca="1">SUMIFS(OFFSET('BPC Data'!$F:$F,0,Summary!G$2),'BPC Data'!$E:$E,Summary!$D412,'BPC Data'!$B:$B,Summary!$C412)</f>
        <v>0</v>
      </c>
      <c r="H412" s="53">
        <f ca="1">SUMIFS(OFFSET('BPC Data'!$F:$F,0,Summary!H$2),'BPC Data'!$E:$E,Summary!$D412,'BPC Data'!$B:$B,Summary!$C412)</f>
        <v>0</v>
      </c>
      <c r="I412" s="60">
        <f ca="1">SUMIFS(OFFSET('BPC Data'!$F:$F,0,Summary!I$2),'BPC Data'!$E:$E,Summary!$D412,'BPC Data'!$B:$B,Summary!$C412)</f>
        <v>0</v>
      </c>
      <c r="J412" s="53">
        <f ca="1">SUMIFS(OFFSET('BPC Data'!$F:$F,0,Summary!J$2),'BPC Data'!$E:$E,Summary!$D412,'BPC Data'!$B:$B,Summary!$C412)</f>
        <v>0</v>
      </c>
      <c r="K412" s="60">
        <f ca="1">SUMIFS(OFFSET('BPC Data'!$F:$F,0,Summary!K$2),'BPC Data'!$E:$E,Summary!$D412,'BPC Data'!$B:$B,Summary!$C412)</f>
        <v>0</v>
      </c>
      <c r="L412" s="53">
        <f ca="1">SUMIFS(OFFSET('BPC Data'!$F:$F,0,Summary!L$2),'BPC Data'!$E:$E,Summary!$D412,'BPC Data'!$B:$B,Summary!$C412)</f>
        <v>0</v>
      </c>
      <c r="M412" s="60">
        <f ca="1">SUMIFS(OFFSET('BPC Data'!$F:$F,0,Summary!M$2),'BPC Data'!$E:$E,Summary!$D412,'BPC Data'!$B:$B,Summary!$C412)</f>
        <v>0</v>
      </c>
      <c r="N412" s="53">
        <f ca="1">SUMIFS(OFFSET('BPC Data'!$F:$F,0,Summary!N$2),'BPC Data'!$E:$E,Summary!$D412,'BPC Data'!$B:$B,Summary!$C412)</f>
        <v>0</v>
      </c>
      <c r="O412" s="18">
        <f t="shared" ca="1" si="70"/>
        <v>0</v>
      </c>
    </row>
    <row r="413" spans="1:15" s="11" customFormat="1" hidden="1" outlineLevel="1" x14ac:dyDescent="0.55000000000000004">
      <c r="A413" s="11">
        <f t="shared" si="73"/>
        <v>37</v>
      </c>
      <c r="B413"/>
      <c r="C413">
        <f>$F405</f>
        <v>0</v>
      </c>
      <c r="D413" s="1" t="str">
        <f t="shared" si="72"/>
        <v>T_EBITDAR - EBITDAR</v>
      </c>
      <c r="E413"/>
      <c r="F413" s="14" t="str">
        <f>_xll.EVDES(D413)</f>
        <v>EBITDAR</v>
      </c>
      <c r="G413" s="60">
        <f ca="1">SUMIFS(OFFSET('BPC Data'!$F:$F,0,Summary!G$2),'BPC Data'!$E:$E,Summary!$D413,'BPC Data'!$B:$B,Summary!$C413)</f>
        <v>0</v>
      </c>
      <c r="H413" s="53">
        <f ca="1">SUMIFS(OFFSET('BPC Data'!$F:$F,0,Summary!H$2),'BPC Data'!$E:$E,Summary!$D413,'BPC Data'!$B:$B,Summary!$C413)</f>
        <v>0</v>
      </c>
      <c r="I413" s="60">
        <f ca="1">SUMIFS(OFFSET('BPC Data'!$F:$F,0,Summary!I$2),'BPC Data'!$E:$E,Summary!$D413,'BPC Data'!$B:$B,Summary!$C413)</f>
        <v>0</v>
      </c>
      <c r="J413" s="53">
        <f ca="1">SUMIFS(OFFSET('BPC Data'!$F:$F,0,Summary!J$2),'BPC Data'!$E:$E,Summary!$D413,'BPC Data'!$B:$B,Summary!$C413)</f>
        <v>0</v>
      </c>
      <c r="K413" s="60">
        <f ca="1">SUMIFS(OFFSET('BPC Data'!$F:$F,0,Summary!K$2),'BPC Data'!$E:$E,Summary!$D413,'BPC Data'!$B:$B,Summary!$C413)</f>
        <v>0</v>
      </c>
      <c r="L413" s="53">
        <f ca="1">SUMIFS(OFFSET('BPC Data'!$F:$F,0,Summary!L$2),'BPC Data'!$E:$E,Summary!$D413,'BPC Data'!$B:$B,Summary!$C413)</f>
        <v>0</v>
      </c>
      <c r="M413" s="60">
        <f ca="1">SUMIFS(OFFSET('BPC Data'!$F:$F,0,Summary!M$2),'BPC Data'!$E:$E,Summary!$D413,'BPC Data'!$B:$B,Summary!$C413)</f>
        <v>0</v>
      </c>
      <c r="N413" s="53">
        <f ca="1">SUMIFS(OFFSET('BPC Data'!$F:$F,0,Summary!N$2),'BPC Data'!$E:$E,Summary!$D413,'BPC Data'!$B:$B,Summary!$C413)</f>
        <v>0</v>
      </c>
      <c r="O413" s="18">
        <f t="shared" ca="1" si="70"/>
        <v>0</v>
      </c>
    </row>
    <row r="414" spans="1:15" s="11" customFormat="1" hidden="1" outlineLevel="1" x14ac:dyDescent="0.55000000000000004">
      <c r="A414" s="11">
        <f t="shared" si="73"/>
        <v>37</v>
      </c>
      <c r="B414"/>
      <c r="C414">
        <f>$F405</f>
        <v>0</v>
      </c>
      <c r="D414" s="1" t="str">
        <f t="shared" si="72"/>
        <v>T_RENT_EXP - Tenant Rent Expense</v>
      </c>
      <c r="E414"/>
      <c r="F414" s="14" t="str">
        <f>_xll.EVDES(D414)</f>
        <v>Tenant Rent Expense</v>
      </c>
      <c r="G414" s="60">
        <f ca="1">SUMIFS(OFFSET('BPC Data'!$F:$F,0,Summary!G$2),'BPC Data'!$E:$E,Summary!$D414,'BPC Data'!$B:$B,Summary!$C414)</f>
        <v>0</v>
      </c>
      <c r="H414" s="53">
        <f ca="1">SUMIFS(OFFSET('BPC Data'!$F:$F,0,Summary!H$2),'BPC Data'!$E:$E,Summary!$D414,'BPC Data'!$B:$B,Summary!$C414)</f>
        <v>0</v>
      </c>
      <c r="I414" s="60">
        <f ca="1">SUMIFS(OFFSET('BPC Data'!$F:$F,0,Summary!I$2),'BPC Data'!$E:$E,Summary!$D414,'BPC Data'!$B:$B,Summary!$C414)</f>
        <v>0</v>
      </c>
      <c r="J414" s="53">
        <f ca="1">SUMIFS(OFFSET('BPC Data'!$F:$F,0,Summary!J$2),'BPC Data'!$E:$E,Summary!$D414,'BPC Data'!$B:$B,Summary!$C414)</f>
        <v>0</v>
      </c>
      <c r="K414" s="60">
        <f ca="1">SUMIFS(OFFSET('BPC Data'!$F:$F,0,Summary!K$2),'BPC Data'!$E:$E,Summary!$D414,'BPC Data'!$B:$B,Summary!$C414)</f>
        <v>0</v>
      </c>
      <c r="L414" s="53">
        <f ca="1">SUMIFS(OFFSET('BPC Data'!$F:$F,0,Summary!L$2),'BPC Data'!$E:$E,Summary!$D414,'BPC Data'!$B:$B,Summary!$C414)</f>
        <v>0</v>
      </c>
      <c r="M414" s="60">
        <f ca="1">SUMIFS(OFFSET('BPC Data'!$F:$F,0,Summary!M$2),'BPC Data'!$E:$E,Summary!$D414,'BPC Data'!$B:$B,Summary!$C414)</f>
        <v>0</v>
      </c>
      <c r="N414" s="53">
        <f ca="1">SUMIFS(OFFSET('BPC Data'!$F:$F,0,Summary!N$2),'BPC Data'!$E:$E,Summary!$D414,'BPC Data'!$B:$B,Summary!$C414)</f>
        <v>0</v>
      </c>
      <c r="O414" s="18">
        <f t="shared" ca="1" si="70"/>
        <v>0</v>
      </c>
    </row>
    <row r="415" spans="1:15" s="11" customFormat="1" hidden="1" outlineLevel="1" x14ac:dyDescent="0.55000000000000004">
      <c r="A415" s="11">
        <f t="shared" si="73"/>
        <v>37</v>
      </c>
      <c r="B415"/>
      <c r="C415"/>
      <c r="D415" s="1" t="str">
        <f t="shared" si="72"/>
        <v>x</v>
      </c>
      <c r="E415"/>
      <c r="F415" s="14" t="s">
        <v>0</v>
      </c>
      <c r="G415" s="61">
        <f ca="1">SUMIFS(OFFSET('BPC Data'!$F:$F,0,Summary!G$2),'BPC Data'!$E:$E,Summary!$D415,'BPC Data'!$B:$B,Summary!$C415)</f>
        <v>0</v>
      </c>
      <c r="H415" s="54">
        <f ca="1">SUMIFS(OFFSET('BPC Data'!$F:$F,0,Summary!H$2),'BPC Data'!$E:$E,Summary!$D415,'BPC Data'!$B:$B,Summary!$C415)</f>
        <v>0</v>
      </c>
      <c r="I415" s="61">
        <f ca="1">SUMIFS(OFFSET('BPC Data'!$F:$F,0,Summary!I$2),'BPC Data'!$E:$E,Summary!$D415,'BPC Data'!$B:$B,Summary!$C415)</f>
        <v>0</v>
      </c>
      <c r="J415" s="54">
        <f ca="1">SUMIFS(OFFSET('BPC Data'!$F:$F,0,Summary!J$2),'BPC Data'!$E:$E,Summary!$D415,'BPC Data'!$B:$B,Summary!$C415)</f>
        <v>0</v>
      </c>
      <c r="K415" s="61">
        <f ca="1">SUMIFS(OFFSET('BPC Data'!$F:$F,0,Summary!K$2),'BPC Data'!$E:$E,Summary!$D415,'BPC Data'!$B:$B,Summary!$C415)</f>
        <v>0</v>
      </c>
      <c r="L415" s="54">
        <f ca="1">SUMIFS(OFFSET('BPC Data'!$F:$F,0,Summary!L$2),'BPC Data'!$E:$E,Summary!$D415,'BPC Data'!$B:$B,Summary!$C415)</f>
        <v>0</v>
      </c>
      <c r="M415" s="61">
        <f ca="1">SUMIFS(OFFSET('BPC Data'!$F:$F,0,Summary!M$2),'BPC Data'!$E:$E,Summary!$D415,'BPC Data'!$B:$B,Summary!$C415)</f>
        <v>0</v>
      </c>
      <c r="N415" s="54">
        <f ca="1">SUMIFS(OFFSET('BPC Data'!$F:$F,0,Summary!N$2),'BPC Data'!$E:$E,Summary!$D415,'BPC Data'!$B:$B,Summary!$C415)</f>
        <v>0</v>
      </c>
      <c r="O415" s="18">
        <f t="shared" ca="1" si="70"/>
        <v>0</v>
      </c>
    </row>
    <row r="416" spans="1:15" s="11" customFormat="1" hidden="1" outlineLevel="1" x14ac:dyDescent="0.55000000000000004">
      <c r="A416" s="11">
        <f>IF(AND(D416&lt;&gt;"",C416=""),A415+1,A415)</f>
        <v>38</v>
      </c>
      <c r="B416" s="4"/>
      <c r="C416" s="4"/>
      <c r="D416" s="4" t="str">
        <f t="shared" si="72"/>
        <v>x</v>
      </c>
      <c r="E416" s="4"/>
      <c r="F416" s="13">
        <f>INDEX(PropertyList!$D:$D,MATCH(Summary!$A416,PropertyList!$C:$C,0))</f>
        <v>0</v>
      </c>
      <c r="G416" s="59">
        <f ca="1">SUMIFS(OFFSET('BPC Data'!$F:$F,0,Summary!G$2),'BPC Data'!$E:$E,Summary!$D416,'BPC Data'!$B:$B,Summary!$C416)</f>
        <v>0</v>
      </c>
      <c r="H416" s="52">
        <f ca="1">SUMIFS(OFFSET('BPC Data'!$F:$F,0,Summary!H$2),'BPC Data'!$E:$E,Summary!$D416,'BPC Data'!$B:$B,Summary!$C416)</f>
        <v>0</v>
      </c>
      <c r="I416" s="59">
        <f ca="1">SUMIFS(OFFSET('BPC Data'!$F:$F,0,Summary!I$2),'BPC Data'!$E:$E,Summary!$D416,'BPC Data'!$B:$B,Summary!$C416)</f>
        <v>0</v>
      </c>
      <c r="J416" s="52">
        <f ca="1">SUMIFS(OFFSET('BPC Data'!$F:$F,0,Summary!J$2),'BPC Data'!$E:$E,Summary!$D416,'BPC Data'!$B:$B,Summary!$C416)</f>
        <v>0</v>
      </c>
      <c r="K416" s="59">
        <f ca="1">SUMIFS(OFFSET('BPC Data'!$F:$F,0,Summary!K$2),'BPC Data'!$E:$E,Summary!$D416,'BPC Data'!$B:$B,Summary!$C416)</f>
        <v>0</v>
      </c>
      <c r="L416" s="52">
        <f ca="1">SUMIFS(OFFSET('BPC Data'!$F:$F,0,Summary!L$2),'BPC Data'!$E:$E,Summary!$D416,'BPC Data'!$B:$B,Summary!$C416)</f>
        <v>0</v>
      </c>
      <c r="M416" s="59">
        <f ca="1">SUMIFS(OFFSET('BPC Data'!$F:$F,0,Summary!M$2),'BPC Data'!$E:$E,Summary!$D416,'BPC Data'!$B:$B,Summary!$C416)</f>
        <v>0</v>
      </c>
      <c r="N416" s="52">
        <f ca="1">SUMIFS(OFFSET('BPC Data'!$F:$F,0,Summary!N$2),'BPC Data'!$E:$E,Summary!$D416,'BPC Data'!$B:$B,Summary!$C416)</f>
        <v>0</v>
      </c>
      <c r="O416" s="18">
        <f t="shared" ca="1" si="70"/>
        <v>0</v>
      </c>
    </row>
    <row r="417" spans="1:15" s="11" customFormat="1" hidden="1" outlineLevel="1" x14ac:dyDescent="0.55000000000000004">
      <c r="A417" s="11">
        <f>IF(AND(F417&lt;&gt;"",D417=""),A416+1,A416)</f>
        <v>38</v>
      </c>
      <c r="C417">
        <f>$F416</f>
        <v>0</v>
      </c>
      <c r="D417" s="3" t="str">
        <f t="shared" si="72"/>
        <v>PAY_PAT_DAYS - Total Payor Patient Days</v>
      </c>
      <c r="F417" s="14" t="str">
        <f>_xll.EVDES(D417)</f>
        <v>Total Payor Patient Days</v>
      </c>
      <c r="G417" s="60">
        <f ca="1">SUMIFS(OFFSET('BPC Data'!$F:$F,0,Summary!G$2),'BPC Data'!$E:$E,Summary!$D417,'BPC Data'!$B:$B,Summary!$C417)</f>
        <v>0</v>
      </c>
      <c r="H417" s="53">
        <f ca="1">SUMIFS(OFFSET('BPC Data'!$F:$F,0,Summary!H$2),'BPC Data'!$E:$E,Summary!$D417,'BPC Data'!$B:$B,Summary!$C417)</f>
        <v>0</v>
      </c>
      <c r="I417" s="60">
        <f ca="1">SUMIFS(OFFSET('BPC Data'!$F:$F,0,Summary!I$2),'BPC Data'!$E:$E,Summary!$D417,'BPC Data'!$B:$B,Summary!$C417)</f>
        <v>0</v>
      </c>
      <c r="J417" s="53">
        <f ca="1">SUMIFS(OFFSET('BPC Data'!$F:$F,0,Summary!J$2),'BPC Data'!$E:$E,Summary!$D417,'BPC Data'!$B:$B,Summary!$C417)</f>
        <v>0</v>
      </c>
      <c r="K417" s="60">
        <f ca="1">SUMIFS(OFFSET('BPC Data'!$F:$F,0,Summary!K$2),'BPC Data'!$E:$E,Summary!$D417,'BPC Data'!$B:$B,Summary!$C417)</f>
        <v>0</v>
      </c>
      <c r="L417" s="53">
        <f ca="1">SUMIFS(OFFSET('BPC Data'!$F:$F,0,Summary!L$2),'BPC Data'!$E:$E,Summary!$D417,'BPC Data'!$B:$B,Summary!$C417)</f>
        <v>0</v>
      </c>
      <c r="M417" s="60">
        <f ca="1">SUMIFS(OFFSET('BPC Data'!$F:$F,0,Summary!M$2),'BPC Data'!$E:$E,Summary!$D417,'BPC Data'!$B:$B,Summary!$C417)</f>
        <v>0</v>
      </c>
      <c r="N417" s="53">
        <f ca="1">SUMIFS(OFFSET('BPC Data'!$F:$F,0,Summary!N$2),'BPC Data'!$E:$E,Summary!$D417,'BPC Data'!$B:$B,Summary!$C417)</f>
        <v>0</v>
      </c>
      <c r="O417" s="18">
        <f t="shared" ca="1" si="70"/>
        <v>0</v>
      </c>
    </row>
    <row r="418" spans="1:15" s="11" customFormat="1" hidden="1" outlineLevel="1" x14ac:dyDescent="0.55000000000000004">
      <c r="A418" s="11">
        <f t="shared" ref="A418:A426" si="74">IF(AND(F418&lt;&gt;"",D418=""),A417+1,A417)</f>
        <v>38</v>
      </c>
      <c r="C418">
        <f>$F416</f>
        <v>0</v>
      </c>
      <c r="D418" s="3" t="str">
        <f t="shared" si="72"/>
        <v>A_BEDS_TOTAL - Total Available Beds</v>
      </c>
      <c r="F418" s="14" t="str">
        <f>_xll.EVDES(D418)</f>
        <v>Total Available Beds</v>
      </c>
      <c r="G418" s="60">
        <f ca="1">SUMIFS(OFFSET('BPC Data'!$F:$F,0,Summary!G$2),'BPC Data'!$E:$E,Summary!$D418,'BPC Data'!$B:$B,Summary!$C418)</f>
        <v>0</v>
      </c>
      <c r="H418" s="53">
        <f ca="1">SUMIFS(OFFSET('BPC Data'!$F:$F,0,Summary!H$2),'BPC Data'!$E:$E,Summary!$D418,'BPC Data'!$B:$B,Summary!$C418)</f>
        <v>0</v>
      </c>
      <c r="I418" s="60">
        <f ca="1">SUMIFS(OFFSET('BPC Data'!$F:$F,0,Summary!I$2),'BPC Data'!$E:$E,Summary!$D418,'BPC Data'!$B:$B,Summary!$C418)</f>
        <v>0</v>
      </c>
      <c r="J418" s="53">
        <f ca="1">SUMIFS(OFFSET('BPC Data'!$F:$F,0,Summary!J$2),'BPC Data'!$E:$E,Summary!$D418,'BPC Data'!$B:$B,Summary!$C418)</f>
        <v>0</v>
      </c>
      <c r="K418" s="60">
        <f ca="1">SUMIFS(OFFSET('BPC Data'!$F:$F,0,Summary!K$2),'BPC Data'!$E:$E,Summary!$D418,'BPC Data'!$B:$B,Summary!$C418)</f>
        <v>0</v>
      </c>
      <c r="L418" s="53">
        <f ca="1">SUMIFS(OFFSET('BPC Data'!$F:$F,0,Summary!L$2),'BPC Data'!$E:$E,Summary!$D418,'BPC Data'!$B:$B,Summary!$C418)</f>
        <v>0</v>
      </c>
      <c r="M418" s="60">
        <f ca="1">SUMIFS(OFFSET('BPC Data'!$F:$F,0,Summary!M$2),'BPC Data'!$E:$E,Summary!$D418,'BPC Data'!$B:$B,Summary!$C418)</f>
        <v>0</v>
      </c>
      <c r="N418" s="53">
        <f ca="1">SUMIFS(OFFSET('BPC Data'!$F:$F,0,Summary!N$2),'BPC Data'!$E:$E,Summary!$D418,'BPC Data'!$B:$B,Summary!$C418)</f>
        <v>0</v>
      </c>
      <c r="O418" s="18">
        <f t="shared" ca="1" si="70"/>
        <v>0</v>
      </c>
    </row>
    <row r="419" spans="1:15" s="11" customFormat="1" hidden="1" outlineLevel="1" x14ac:dyDescent="0.55000000000000004">
      <c r="A419" s="11">
        <f t="shared" si="74"/>
        <v>38</v>
      </c>
      <c r="B419"/>
      <c r="C419">
        <f>$F416</f>
        <v>0</v>
      </c>
      <c r="D419" s="3" t="str">
        <f t="shared" si="72"/>
        <v>T_REVENUES - Total Tenant Revenues</v>
      </c>
      <c r="E419"/>
      <c r="F419" s="14" t="str">
        <f>_xll.EVDES(D419)</f>
        <v>Total Tenant Revenues</v>
      </c>
      <c r="G419" s="60">
        <f ca="1">SUMIFS(OFFSET('BPC Data'!$F:$F,0,Summary!G$2),'BPC Data'!$E:$E,Summary!$D419,'BPC Data'!$B:$B,Summary!$C419)</f>
        <v>0</v>
      </c>
      <c r="H419" s="53">
        <f ca="1">SUMIFS(OFFSET('BPC Data'!$F:$F,0,Summary!H$2),'BPC Data'!$E:$E,Summary!$D419,'BPC Data'!$B:$B,Summary!$C419)</f>
        <v>0</v>
      </c>
      <c r="I419" s="60">
        <f ca="1">SUMIFS(OFFSET('BPC Data'!$F:$F,0,Summary!I$2),'BPC Data'!$E:$E,Summary!$D419,'BPC Data'!$B:$B,Summary!$C419)</f>
        <v>0</v>
      </c>
      <c r="J419" s="53">
        <f ca="1">SUMIFS(OFFSET('BPC Data'!$F:$F,0,Summary!J$2),'BPC Data'!$E:$E,Summary!$D419,'BPC Data'!$B:$B,Summary!$C419)</f>
        <v>0</v>
      </c>
      <c r="K419" s="60">
        <f ca="1">SUMIFS(OFFSET('BPC Data'!$F:$F,0,Summary!K$2),'BPC Data'!$E:$E,Summary!$D419,'BPC Data'!$B:$B,Summary!$C419)</f>
        <v>0</v>
      </c>
      <c r="L419" s="53">
        <f ca="1">SUMIFS(OFFSET('BPC Data'!$F:$F,0,Summary!L$2),'BPC Data'!$E:$E,Summary!$D419,'BPC Data'!$B:$B,Summary!$C419)</f>
        <v>0</v>
      </c>
      <c r="M419" s="60">
        <f ca="1">SUMIFS(OFFSET('BPC Data'!$F:$F,0,Summary!M$2),'BPC Data'!$E:$E,Summary!$D419,'BPC Data'!$B:$B,Summary!$C419)</f>
        <v>0</v>
      </c>
      <c r="N419" s="53">
        <f ca="1">SUMIFS(OFFSET('BPC Data'!$F:$F,0,Summary!N$2),'BPC Data'!$E:$E,Summary!$D419,'BPC Data'!$B:$B,Summary!$C419)</f>
        <v>0</v>
      </c>
      <c r="O419" s="18">
        <f t="shared" ca="1" si="70"/>
        <v>0</v>
      </c>
    </row>
    <row r="420" spans="1:15" s="11" customFormat="1" hidden="1" outlineLevel="1" x14ac:dyDescent="0.55000000000000004">
      <c r="A420" s="11">
        <f t="shared" si="74"/>
        <v>38</v>
      </c>
      <c r="B420"/>
      <c r="C420">
        <f>$F416</f>
        <v>0</v>
      </c>
      <c r="D420" s="3" t="str">
        <f t="shared" si="72"/>
        <v>T_OPEX - Tenant Operating Expenses</v>
      </c>
      <c r="E420"/>
      <c r="F420" s="14" t="str">
        <f>_xll.EVDES(D420)</f>
        <v>Tenant Operating Expenses</v>
      </c>
      <c r="G420" s="60">
        <f ca="1">SUMIFS(OFFSET('BPC Data'!$F:$F,0,Summary!G$2),'BPC Data'!$E:$E,Summary!$D420,'BPC Data'!$B:$B,Summary!$C420)</f>
        <v>0</v>
      </c>
      <c r="H420" s="53">
        <f ca="1">SUMIFS(OFFSET('BPC Data'!$F:$F,0,Summary!H$2),'BPC Data'!$E:$E,Summary!$D420,'BPC Data'!$B:$B,Summary!$C420)</f>
        <v>0</v>
      </c>
      <c r="I420" s="60">
        <f ca="1">SUMIFS(OFFSET('BPC Data'!$F:$F,0,Summary!I$2),'BPC Data'!$E:$E,Summary!$D420,'BPC Data'!$B:$B,Summary!$C420)</f>
        <v>0</v>
      </c>
      <c r="J420" s="53">
        <f ca="1">SUMIFS(OFFSET('BPC Data'!$F:$F,0,Summary!J$2),'BPC Data'!$E:$E,Summary!$D420,'BPC Data'!$B:$B,Summary!$C420)</f>
        <v>0</v>
      </c>
      <c r="K420" s="60">
        <f ca="1">SUMIFS(OFFSET('BPC Data'!$F:$F,0,Summary!K$2),'BPC Data'!$E:$E,Summary!$D420,'BPC Data'!$B:$B,Summary!$C420)</f>
        <v>0</v>
      </c>
      <c r="L420" s="53">
        <f ca="1">SUMIFS(OFFSET('BPC Data'!$F:$F,0,Summary!L$2),'BPC Data'!$E:$E,Summary!$D420,'BPC Data'!$B:$B,Summary!$C420)</f>
        <v>0</v>
      </c>
      <c r="M420" s="60">
        <f ca="1">SUMIFS(OFFSET('BPC Data'!$F:$F,0,Summary!M$2),'BPC Data'!$E:$E,Summary!$D420,'BPC Data'!$B:$B,Summary!$C420)</f>
        <v>0</v>
      </c>
      <c r="N420" s="53">
        <f ca="1">SUMIFS(OFFSET('BPC Data'!$F:$F,0,Summary!N$2),'BPC Data'!$E:$E,Summary!$D420,'BPC Data'!$B:$B,Summary!$C420)</f>
        <v>0</v>
      </c>
      <c r="O420" s="18">
        <f t="shared" ca="1" si="70"/>
        <v>0</v>
      </c>
    </row>
    <row r="421" spans="1:15" s="11" customFormat="1" hidden="1" outlineLevel="1" x14ac:dyDescent="0.55000000000000004">
      <c r="A421" s="11">
        <f t="shared" si="74"/>
        <v>38</v>
      </c>
      <c r="B421"/>
      <c r="C421">
        <f>$F416</f>
        <v>0</v>
      </c>
      <c r="D421" s="3" t="str">
        <f t="shared" si="72"/>
        <v>T_BAD_DEBT - Tenant Bad Debt Expense</v>
      </c>
      <c r="E421"/>
      <c r="F421" s="14" t="str">
        <f>_xll.EVDES(D421)</f>
        <v>Tenant Bad Debt Expense</v>
      </c>
      <c r="G421" s="60">
        <f ca="1">SUMIFS(OFFSET('BPC Data'!$F:$F,0,Summary!G$2),'BPC Data'!$E:$E,Summary!$D421,'BPC Data'!$B:$B,Summary!$C421)</f>
        <v>0</v>
      </c>
      <c r="H421" s="53">
        <f ca="1">SUMIFS(OFFSET('BPC Data'!$F:$F,0,Summary!H$2),'BPC Data'!$E:$E,Summary!$D421,'BPC Data'!$B:$B,Summary!$C421)</f>
        <v>0</v>
      </c>
      <c r="I421" s="60">
        <f ca="1">SUMIFS(OFFSET('BPC Data'!$F:$F,0,Summary!I$2),'BPC Data'!$E:$E,Summary!$D421,'BPC Data'!$B:$B,Summary!$C421)</f>
        <v>0</v>
      </c>
      <c r="J421" s="53">
        <f ca="1">SUMIFS(OFFSET('BPC Data'!$F:$F,0,Summary!J$2),'BPC Data'!$E:$E,Summary!$D421,'BPC Data'!$B:$B,Summary!$C421)</f>
        <v>0</v>
      </c>
      <c r="K421" s="60">
        <f ca="1">SUMIFS(OFFSET('BPC Data'!$F:$F,0,Summary!K$2),'BPC Data'!$E:$E,Summary!$D421,'BPC Data'!$B:$B,Summary!$C421)</f>
        <v>0</v>
      </c>
      <c r="L421" s="53">
        <f ca="1">SUMIFS(OFFSET('BPC Data'!$F:$F,0,Summary!L$2),'BPC Data'!$E:$E,Summary!$D421,'BPC Data'!$B:$B,Summary!$C421)</f>
        <v>0</v>
      </c>
      <c r="M421" s="60">
        <f ca="1">SUMIFS(OFFSET('BPC Data'!$F:$F,0,Summary!M$2),'BPC Data'!$E:$E,Summary!$D421,'BPC Data'!$B:$B,Summary!$C421)</f>
        <v>0</v>
      </c>
      <c r="N421" s="53">
        <f ca="1">SUMIFS(OFFSET('BPC Data'!$F:$F,0,Summary!N$2),'BPC Data'!$E:$E,Summary!$D421,'BPC Data'!$B:$B,Summary!$C421)</f>
        <v>0</v>
      </c>
      <c r="O421" s="18">
        <f t="shared" ca="1" si="70"/>
        <v>0</v>
      </c>
    </row>
    <row r="422" spans="1:15" s="11" customFormat="1" hidden="1" outlineLevel="1" x14ac:dyDescent="0.55000000000000004">
      <c r="A422" s="11">
        <f t="shared" si="74"/>
        <v>38</v>
      </c>
      <c r="B422"/>
      <c r="C422">
        <f>$F416</f>
        <v>0</v>
      </c>
      <c r="D422" s="2" t="str">
        <f t="shared" si="72"/>
        <v>T_EBITDARM - EBITDARM</v>
      </c>
      <c r="E422"/>
      <c r="F422" s="14" t="str">
        <f>_xll.EVDES(D422)</f>
        <v>EBITDARM</v>
      </c>
      <c r="G422" s="60">
        <f ca="1">SUMIFS(OFFSET('BPC Data'!$F:$F,0,Summary!G$2),'BPC Data'!$E:$E,Summary!$D422,'BPC Data'!$B:$B,Summary!$C422)</f>
        <v>0</v>
      </c>
      <c r="H422" s="53">
        <f ca="1">SUMIFS(OFFSET('BPC Data'!$F:$F,0,Summary!H$2),'BPC Data'!$E:$E,Summary!$D422,'BPC Data'!$B:$B,Summary!$C422)</f>
        <v>0</v>
      </c>
      <c r="I422" s="60">
        <f ca="1">SUMIFS(OFFSET('BPC Data'!$F:$F,0,Summary!I$2),'BPC Data'!$E:$E,Summary!$D422,'BPC Data'!$B:$B,Summary!$C422)</f>
        <v>0</v>
      </c>
      <c r="J422" s="53">
        <f ca="1">SUMIFS(OFFSET('BPC Data'!$F:$F,0,Summary!J$2),'BPC Data'!$E:$E,Summary!$D422,'BPC Data'!$B:$B,Summary!$C422)</f>
        <v>0</v>
      </c>
      <c r="K422" s="60">
        <f ca="1">SUMIFS(OFFSET('BPC Data'!$F:$F,0,Summary!K$2),'BPC Data'!$E:$E,Summary!$D422,'BPC Data'!$B:$B,Summary!$C422)</f>
        <v>0</v>
      </c>
      <c r="L422" s="53">
        <f ca="1">SUMIFS(OFFSET('BPC Data'!$F:$F,0,Summary!L$2),'BPC Data'!$E:$E,Summary!$D422,'BPC Data'!$B:$B,Summary!$C422)</f>
        <v>0</v>
      </c>
      <c r="M422" s="60">
        <f ca="1">SUMIFS(OFFSET('BPC Data'!$F:$F,0,Summary!M$2),'BPC Data'!$E:$E,Summary!$D422,'BPC Data'!$B:$B,Summary!$C422)</f>
        <v>0</v>
      </c>
      <c r="N422" s="53">
        <f ca="1">SUMIFS(OFFSET('BPC Data'!$F:$F,0,Summary!N$2),'BPC Data'!$E:$E,Summary!$D422,'BPC Data'!$B:$B,Summary!$C422)</f>
        <v>0</v>
      </c>
      <c r="O422" s="18">
        <f t="shared" ca="1" si="70"/>
        <v>0</v>
      </c>
    </row>
    <row r="423" spans="1:15" s="11" customFormat="1" hidden="1" outlineLevel="1" x14ac:dyDescent="0.55000000000000004">
      <c r="A423" s="11">
        <f t="shared" si="74"/>
        <v>38</v>
      </c>
      <c r="B423"/>
      <c r="C423">
        <f>$F416</f>
        <v>0</v>
      </c>
      <c r="D423" s="2" t="str">
        <f t="shared" si="72"/>
        <v>T_MGMT_FEE - Tenant Management Fee - Actual</v>
      </c>
      <c r="E423"/>
      <c r="F423" s="14" t="str">
        <f>_xll.EVDES(D423)</f>
        <v>Tenant Management Fee - Actual</v>
      </c>
      <c r="G423" s="60">
        <f ca="1">SUMIFS(OFFSET('BPC Data'!$F:$F,0,Summary!G$2),'BPC Data'!$E:$E,Summary!$D423,'BPC Data'!$B:$B,Summary!$C423)</f>
        <v>0</v>
      </c>
      <c r="H423" s="53">
        <f ca="1">SUMIFS(OFFSET('BPC Data'!$F:$F,0,Summary!H$2),'BPC Data'!$E:$E,Summary!$D423,'BPC Data'!$B:$B,Summary!$C423)</f>
        <v>0</v>
      </c>
      <c r="I423" s="60">
        <f ca="1">SUMIFS(OFFSET('BPC Data'!$F:$F,0,Summary!I$2),'BPC Data'!$E:$E,Summary!$D423,'BPC Data'!$B:$B,Summary!$C423)</f>
        <v>0</v>
      </c>
      <c r="J423" s="53">
        <f ca="1">SUMIFS(OFFSET('BPC Data'!$F:$F,0,Summary!J$2),'BPC Data'!$E:$E,Summary!$D423,'BPC Data'!$B:$B,Summary!$C423)</f>
        <v>0</v>
      </c>
      <c r="K423" s="60">
        <f ca="1">SUMIFS(OFFSET('BPC Data'!$F:$F,0,Summary!K$2),'BPC Data'!$E:$E,Summary!$D423,'BPC Data'!$B:$B,Summary!$C423)</f>
        <v>0</v>
      </c>
      <c r="L423" s="53">
        <f ca="1">SUMIFS(OFFSET('BPC Data'!$F:$F,0,Summary!L$2),'BPC Data'!$E:$E,Summary!$D423,'BPC Data'!$B:$B,Summary!$C423)</f>
        <v>0</v>
      </c>
      <c r="M423" s="60">
        <f ca="1">SUMIFS(OFFSET('BPC Data'!$F:$F,0,Summary!M$2),'BPC Data'!$E:$E,Summary!$D423,'BPC Data'!$B:$B,Summary!$C423)</f>
        <v>0</v>
      </c>
      <c r="N423" s="53">
        <f ca="1">SUMIFS(OFFSET('BPC Data'!$F:$F,0,Summary!N$2),'BPC Data'!$E:$E,Summary!$D423,'BPC Data'!$B:$B,Summary!$C423)</f>
        <v>0</v>
      </c>
      <c r="O423" s="18">
        <f t="shared" ca="1" si="70"/>
        <v>0</v>
      </c>
    </row>
    <row r="424" spans="1:15" s="11" customFormat="1" hidden="1" outlineLevel="1" x14ac:dyDescent="0.55000000000000004">
      <c r="A424" s="11">
        <f t="shared" si="74"/>
        <v>38</v>
      </c>
      <c r="B424"/>
      <c r="C424">
        <f>$F416</f>
        <v>0</v>
      </c>
      <c r="D424" s="1" t="str">
        <f t="shared" si="72"/>
        <v>T_EBITDAR - EBITDAR</v>
      </c>
      <c r="E424"/>
      <c r="F424" s="14" t="str">
        <f>_xll.EVDES(D424)</f>
        <v>EBITDAR</v>
      </c>
      <c r="G424" s="60">
        <f ca="1">SUMIFS(OFFSET('BPC Data'!$F:$F,0,Summary!G$2),'BPC Data'!$E:$E,Summary!$D424,'BPC Data'!$B:$B,Summary!$C424)</f>
        <v>0</v>
      </c>
      <c r="H424" s="53">
        <f ca="1">SUMIFS(OFFSET('BPC Data'!$F:$F,0,Summary!H$2),'BPC Data'!$E:$E,Summary!$D424,'BPC Data'!$B:$B,Summary!$C424)</f>
        <v>0</v>
      </c>
      <c r="I424" s="60">
        <f ca="1">SUMIFS(OFFSET('BPC Data'!$F:$F,0,Summary!I$2),'BPC Data'!$E:$E,Summary!$D424,'BPC Data'!$B:$B,Summary!$C424)</f>
        <v>0</v>
      </c>
      <c r="J424" s="53">
        <f ca="1">SUMIFS(OFFSET('BPC Data'!$F:$F,0,Summary!J$2),'BPC Data'!$E:$E,Summary!$D424,'BPC Data'!$B:$B,Summary!$C424)</f>
        <v>0</v>
      </c>
      <c r="K424" s="60">
        <f ca="1">SUMIFS(OFFSET('BPC Data'!$F:$F,0,Summary!K$2),'BPC Data'!$E:$E,Summary!$D424,'BPC Data'!$B:$B,Summary!$C424)</f>
        <v>0</v>
      </c>
      <c r="L424" s="53">
        <f ca="1">SUMIFS(OFFSET('BPC Data'!$F:$F,0,Summary!L$2),'BPC Data'!$E:$E,Summary!$D424,'BPC Data'!$B:$B,Summary!$C424)</f>
        <v>0</v>
      </c>
      <c r="M424" s="60">
        <f ca="1">SUMIFS(OFFSET('BPC Data'!$F:$F,0,Summary!M$2),'BPC Data'!$E:$E,Summary!$D424,'BPC Data'!$B:$B,Summary!$C424)</f>
        <v>0</v>
      </c>
      <c r="N424" s="53">
        <f ca="1">SUMIFS(OFFSET('BPC Data'!$F:$F,0,Summary!N$2),'BPC Data'!$E:$E,Summary!$D424,'BPC Data'!$B:$B,Summary!$C424)</f>
        <v>0</v>
      </c>
      <c r="O424" s="18">
        <f t="shared" ca="1" si="70"/>
        <v>0</v>
      </c>
    </row>
    <row r="425" spans="1:15" s="11" customFormat="1" hidden="1" outlineLevel="1" x14ac:dyDescent="0.55000000000000004">
      <c r="A425" s="11">
        <f t="shared" si="74"/>
        <v>38</v>
      </c>
      <c r="B425"/>
      <c r="C425">
        <f>$F416</f>
        <v>0</v>
      </c>
      <c r="D425" s="1" t="str">
        <f t="shared" si="72"/>
        <v>T_RENT_EXP - Tenant Rent Expense</v>
      </c>
      <c r="E425"/>
      <c r="F425" s="14" t="str">
        <f>_xll.EVDES(D425)</f>
        <v>Tenant Rent Expense</v>
      </c>
      <c r="G425" s="60">
        <f ca="1">SUMIFS(OFFSET('BPC Data'!$F:$F,0,Summary!G$2),'BPC Data'!$E:$E,Summary!$D425,'BPC Data'!$B:$B,Summary!$C425)</f>
        <v>0</v>
      </c>
      <c r="H425" s="53">
        <f ca="1">SUMIFS(OFFSET('BPC Data'!$F:$F,0,Summary!H$2),'BPC Data'!$E:$E,Summary!$D425,'BPC Data'!$B:$B,Summary!$C425)</f>
        <v>0</v>
      </c>
      <c r="I425" s="60">
        <f ca="1">SUMIFS(OFFSET('BPC Data'!$F:$F,0,Summary!I$2),'BPC Data'!$E:$E,Summary!$D425,'BPC Data'!$B:$B,Summary!$C425)</f>
        <v>0</v>
      </c>
      <c r="J425" s="53">
        <f ca="1">SUMIFS(OFFSET('BPC Data'!$F:$F,0,Summary!J$2),'BPC Data'!$E:$E,Summary!$D425,'BPC Data'!$B:$B,Summary!$C425)</f>
        <v>0</v>
      </c>
      <c r="K425" s="60">
        <f ca="1">SUMIFS(OFFSET('BPC Data'!$F:$F,0,Summary!K$2),'BPC Data'!$E:$E,Summary!$D425,'BPC Data'!$B:$B,Summary!$C425)</f>
        <v>0</v>
      </c>
      <c r="L425" s="53">
        <f ca="1">SUMIFS(OFFSET('BPC Data'!$F:$F,0,Summary!L$2),'BPC Data'!$E:$E,Summary!$D425,'BPC Data'!$B:$B,Summary!$C425)</f>
        <v>0</v>
      </c>
      <c r="M425" s="60">
        <f ca="1">SUMIFS(OFFSET('BPC Data'!$F:$F,0,Summary!M$2),'BPC Data'!$E:$E,Summary!$D425,'BPC Data'!$B:$B,Summary!$C425)</f>
        <v>0</v>
      </c>
      <c r="N425" s="53">
        <f ca="1">SUMIFS(OFFSET('BPC Data'!$F:$F,0,Summary!N$2),'BPC Data'!$E:$E,Summary!$D425,'BPC Data'!$B:$B,Summary!$C425)</f>
        <v>0</v>
      </c>
      <c r="O425" s="18">
        <f t="shared" ca="1" si="70"/>
        <v>0</v>
      </c>
    </row>
    <row r="426" spans="1:15" s="11" customFormat="1" hidden="1" outlineLevel="1" x14ac:dyDescent="0.55000000000000004">
      <c r="A426" s="11">
        <f t="shared" si="74"/>
        <v>38</v>
      </c>
      <c r="B426"/>
      <c r="C426"/>
      <c r="D426" s="1" t="str">
        <f t="shared" si="72"/>
        <v>x</v>
      </c>
      <c r="E426"/>
      <c r="F426" s="14" t="s">
        <v>0</v>
      </c>
      <c r="G426" s="61">
        <f ca="1">SUMIFS(OFFSET('BPC Data'!$F:$F,0,Summary!G$2),'BPC Data'!$E:$E,Summary!$D426,'BPC Data'!$B:$B,Summary!$C426)</f>
        <v>0</v>
      </c>
      <c r="H426" s="54">
        <f ca="1">SUMIFS(OFFSET('BPC Data'!$F:$F,0,Summary!H$2),'BPC Data'!$E:$E,Summary!$D426,'BPC Data'!$B:$B,Summary!$C426)</f>
        <v>0</v>
      </c>
      <c r="I426" s="61">
        <f ca="1">SUMIFS(OFFSET('BPC Data'!$F:$F,0,Summary!I$2),'BPC Data'!$E:$E,Summary!$D426,'BPC Data'!$B:$B,Summary!$C426)</f>
        <v>0</v>
      </c>
      <c r="J426" s="54">
        <f ca="1">SUMIFS(OFFSET('BPC Data'!$F:$F,0,Summary!J$2),'BPC Data'!$E:$E,Summary!$D426,'BPC Data'!$B:$B,Summary!$C426)</f>
        <v>0</v>
      </c>
      <c r="K426" s="61">
        <f ca="1">SUMIFS(OFFSET('BPC Data'!$F:$F,0,Summary!K$2),'BPC Data'!$E:$E,Summary!$D426,'BPC Data'!$B:$B,Summary!$C426)</f>
        <v>0</v>
      </c>
      <c r="L426" s="54">
        <f ca="1">SUMIFS(OFFSET('BPC Data'!$F:$F,0,Summary!L$2),'BPC Data'!$E:$E,Summary!$D426,'BPC Data'!$B:$B,Summary!$C426)</f>
        <v>0</v>
      </c>
      <c r="M426" s="61">
        <f ca="1">SUMIFS(OFFSET('BPC Data'!$F:$F,0,Summary!M$2),'BPC Data'!$E:$E,Summary!$D426,'BPC Data'!$B:$B,Summary!$C426)</f>
        <v>0</v>
      </c>
      <c r="N426" s="54">
        <f ca="1">SUMIFS(OFFSET('BPC Data'!$F:$F,0,Summary!N$2),'BPC Data'!$E:$E,Summary!$D426,'BPC Data'!$B:$B,Summary!$C426)</f>
        <v>0</v>
      </c>
      <c r="O426" s="18">
        <f t="shared" ca="1" si="70"/>
        <v>0</v>
      </c>
    </row>
    <row r="427" spans="1:15" s="11" customFormat="1" hidden="1" outlineLevel="1" x14ac:dyDescent="0.55000000000000004">
      <c r="A427" s="11">
        <f>IF(AND(D427&lt;&gt;"",C427=""),A426+1,A426)</f>
        <v>39</v>
      </c>
      <c r="B427" s="4"/>
      <c r="C427" s="4"/>
      <c r="D427" s="4" t="str">
        <f t="shared" si="72"/>
        <v>x</v>
      </c>
      <c r="E427" s="4"/>
      <c r="F427" s="13">
        <f>INDEX(PropertyList!$D:$D,MATCH(Summary!$A427,PropertyList!$C:$C,0))</f>
        <v>0</v>
      </c>
      <c r="G427" s="59">
        <f ca="1">SUMIFS(OFFSET('BPC Data'!$F:$F,0,Summary!G$2),'BPC Data'!$E:$E,Summary!$D427,'BPC Data'!$B:$B,Summary!$C427)</f>
        <v>0</v>
      </c>
      <c r="H427" s="52">
        <f ca="1">SUMIFS(OFFSET('BPC Data'!$F:$F,0,Summary!H$2),'BPC Data'!$E:$E,Summary!$D427,'BPC Data'!$B:$B,Summary!$C427)</f>
        <v>0</v>
      </c>
      <c r="I427" s="59">
        <f ca="1">SUMIFS(OFFSET('BPC Data'!$F:$F,0,Summary!I$2),'BPC Data'!$E:$E,Summary!$D427,'BPC Data'!$B:$B,Summary!$C427)</f>
        <v>0</v>
      </c>
      <c r="J427" s="52">
        <f ca="1">SUMIFS(OFFSET('BPC Data'!$F:$F,0,Summary!J$2),'BPC Data'!$E:$E,Summary!$D427,'BPC Data'!$B:$B,Summary!$C427)</f>
        <v>0</v>
      </c>
      <c r="K427" s="59">
        <f ca="1">SUMIFS(OFFSET('BPC Data'!$F:$F,0,Summary!K$2),'BPC Data'!$E:$E,Summary!$D427,'BPC Data'!$B:$B,Summary!$C427)</f>
        <v>0</v>
      </c>
      <c r="L427" s="52">
        <f ca="1">SUMIFS(OFFSET('BPC Data'!$F:$F,0,Summary!L$2),'BPC Data'!$E:$E,Summary!$D427,'BPC Data'!$B:$B,Summary!$C427)</f>
        <v>0</v>
      </c>
      <c r="M427" s="59">
        <f ca="1">SUMIFS(OFFSET('BPC Data'!$F:$F,0,Summary!M$2),'BPC Data'!$E:$E,Summary!$D427,'BPC Data'!$B:$B,Summary!$C427)</f>
        <v>0</v>
      </c>
      <c r="N427" s="52">
        <f ca="1">SUMIFS(OFFSET('BPC Data'!$F:$F,0,Summary!N$2),'BPC Data'!$E:$E,Summary!$D427,'BPC Data'!$B:$B,Summary!$C427)</f>
        <v>0</v>
      </c>
      <c r="O427" s="18">
        <f t="shared" ca="1" si="70"/>
        <v>0</v>
      </c>
    </row>
    <row r="428" spans="1:15" s="11" customFormat="1" hidden="1" outlineLevel="1" x14ac:dyDescent="0.55000000000000004">
      <c r="A428" s="11">
        <f>IF(AND(F428&lt;&gt;"",D428=""),A427+1,A427)</f>
        <v>39</v>
      </c>
      <c r="C428">
        <f>$F427</f>
        <v>0</v>
      </c>
      <c r="D428" s="3" t="str">
        <f t="shared" si="72"/>
        <v>PAY_PAT_DAYS - Total Payor Patient Days</v>
      </c>
      <c r="F428" s="14" t="str">
        <f>_xll.EVDES(D428)</f>
        <v>Total Payor Patient Days</v>
      </c>
      <c r="G428" s="60">
        <f ca="1">SUMIFS(OFFSET('BPC Data'!$F:$F,0,Summary!G$2),'BPC Data'!$E:$E,Summary!$D428,'BPC Data'!$B:$B,Summary!$C428)</f>
        <v>0</v>
      </c>
      <c r="H428" s="53">
        <f ca="1">SUMIFS(OFFSET('BPC Data'!$F:$F,0,Summary!H$2),'BPC Data'!$E:$E,Summary!$D428,'BPC Data'!$B:$B,Summary!$C428)</f>
        <v>0</v>
      </c>
      <c r="I428" s="60">
        <f ca="1">SUMIFS(OFFSET('BPC Data'!$F:$F,0,Summary!I$2),'BPC Data'!$E:$E,Summary!$D428,'BPC Data'!$B:$B,Summary!$C428)</f>
        <v>0</v>
      </c>
      <c r="J428" s="53">
        <f ca="1">SUMIFS(OFFSET('BPC Data'!$F:$F,0,Summary!J$2),'BPC Data'!$E:$E,Summary!$D428,'BPC Data'!$B:$B,Summary!$C428)</f>
        <v>0</v>
      </c>
      <c r="K428" s="60">
        <f ca="1">SUMIFS(OFFSET('BPC Data'!$F:$F,0,Summary!K$2),'BPC Data'!$E:$E,Summary!$D428,'BPC Data'!$B:$B,Summary!$C428)</f>
        <v>0</v>
      </c>
      <c r="L428" s="53">
        <f ca="1">SUMIFS(OFFSET('BPC Data'!$F:$F,0,Summary!L$2),'BPC Data'!$E:$E,Summary!$D428,'BPC Data'!$B:$B,Summary!$C428)</f>
        <v>0</v>
      </c>
      <c r="M428" s="60">
        <f ca="1">SUMIFS(OFFSET('BPC Data'!$F:$F,0,Summary!M$2),'BPC Data'!$E:$E,Summary!$D428,'BPC Data'!$B:$B,Summary!$C428)</f>
        <v>0</v>
      </c>
      <c r="N428" s="53">
        <f ca="1">SUMIFS(OFFSET('BPC Data'!$F:$F,0,Summary!N$2),'BPC Data'!$E:$E,Summary!$D428,'BPC Data'!$B:$B,Summary!$C428)</f>
        <v>0</v>
      </c>
      <c r="O428" s="18">
        <f t="shared" ca="1" si="70"/>
        <v>0</v>
      </c>
    </row>
    <row r="429" spans="1:15" s="11" customFormat="1" hidden="1" outlineLevel="1" x14ac:dyDescent="0.55000000000000004">
      <c r="A429" s="11">
        <f t="shared" ref="A429:A437" si="75">IF(AND(F429&lt;&gt;"",D429=""),A428+1,A428)</f>
        <v>39</v>
      </c>
      <c r="C429">
        <f>$F427</f>
        <v>0</v>
      </c>
      <c r="D429" s="3" t="str">
        <f t="shared" si="72"/>
        <v>A_BEDS_TOTAL - Total Available Beds</v>
      </c>
      <c r="F429" s="14" t="str">
        <f>_xll.EVDES(D429)</f>
        <v>Total Available Beds</v>
      </c>
      <c r="G429" s="60">
        <f ca="1">SUMIFS(OFFSET('BPC Data'!$F:$F,0,Summary!G$2),'BPC Data'!$E:$E,Summary!$D429,'BPC Data'!$B:$B,Summary!$C429)</f>
        <v>0</v>
      </c>
      <c r="H429" s="53">
        <f ca="1">SUMIFS(OFFSET('BPC Data'!$F:$F,0,Summary!H$2),'BPC Data'!$E:$E,Summary!$D429,'BPC Data'!$B:$B,Summary!$C429)</f>
        <v>0</v>
      </c>
      <c r="I429" s="60">
        <f ca="1">SUMIFS(OFFSET('BPC Data'!$F:$F,0,Summary!I$2),'BPC Data'!$E:$E,Summary!$D429,'BPC Data'!$B:$B,Summary!$C429)</f>
        <v>0</v>
      </c>
      <c r="J429" s="53">
        <f ca="1">SUMIFS(OFFSET('BPC Data'!$F:$F,0,Summary!J$2),'BPC Data'!$E:$E,Summary!$D429,'BPC Data'!$B:$B,Summary!$C429)</f>
        <v>0</v>
      </c>
      <c r="K429" s="60">
        <f ca="1">SUMIFS(OFFSET('BPC Data'!$F:$F,0,Summary!K$2),'BPC Data'!$E:$E,Summary!$D429,'BPC Data'!$B:$B,Summary!$C429)</f>
        <v>0</v>
      </c>
      <c r="L429" s="53">
        <f ca="1">SUMIFS(OFFSET('BPC Data'!$F:$F,0,Summary!L$2),'BPC Data'!$E:$E,Summary!$D429,'BPC Data'!$B:$B,Summary!$C429)</f>
        <v>0</v>
      </c>
      <c r="M429" s="60">
        <f ca="1">SUMIFS(OFFSET('BPC Data'!$F:$F,0,Summary!M$2),'BPC Data'!$E:$E,Summary!$D429,'BPC Data'!$B:$B,Summary!$C429)</f>
        <v>0</v>
      </c>
      <c r="N429" s="53">
        <f ca="1">SUMIFS(OFFSET('BPC Data'!$F:$F,0,Summary!N$2),'BPC Data'!$E:$E,Summary!$D429,'BPC Data'!$B:$B,Summary!$C429)</f>
        <v>0</v>
      </c>
      <c r="O429" s="18">
        <f t="shared" ca="1" si="70"/>
        <v>0</v>
      </c>
    </row>
    <row r="430" spans="1:15" s="11" customFormat="1" hidden="1" outlineLevel="1" x14ac:dyDescent="0.55000000000000004">
      <c r="A430" s="11">
        <f t="shared" si="75"/>
        <v>39</v>
      </c>
      <c r="B430"/>
      <c r="C430">
        <f>$F427</f>
        <v>0</v>
      </c>
      <c r="D430" s="3" t="str">
        <f t="shared" si="72"/>
        <v>T_REVENUES - Total Tenant Revenues</v>
      </c>
      <c r="E430"/>
      <c r="F430" s="14" t="str">
        <f>_xll.EVDES(D430)</f>
        <v>Total Tenant Revenues</v>
      </c>
      <c r="G430" s="60">
        <f ca="1">SUMIFS(OFFSET('BPC Data'!$F:$F,0,Summary!G$2),'BPC Data'!$E:$E,Summary!$D430,'BPC Data'!$B:$B,Summary!$C430)</f>
        <v>0</v>
      </c>
      <c r="H430" s="53">
        <f ca="1">SUMIFS(OFFSET('BPC Data'!$F:$F,0,Summary!H$2),'BPC Data'!$E:$E,Summary!$D430,'BPC Data'!$B:$B,Summary!$C430)</f>
        <v>0</v>
      </c>
      <c r="I430" s="60">
        <f ca="1">SUMIFS(OFFSET('BPC Data'!$F:$F,0,Summary!I$2),'BPC Data'!$E:$E,Summary!$D430,'BPC Data'!$B:$B,Summary!$C430)</f>
        <v>0</v>
      </c>
      <c r="J430" s="53">
        <f ca="1">SUMIFS(OFFSET('BPC Data'!$F:$F,0,Summary!J$2),'BPC Data'!$E:$E,Summary!$D430,'BPC Data'!$B:$B,Summary!$C430)</f>
        <v>0</v>
      </c>
      <c r="K430" s="60">
        <f ca="1">SUMIFS(OFFSET('BPC Data'!$F:$F,0,Summary!K$2),'BPC Data'!$E:$E,Summary!$D430,'BPC Data'!$B:$B,Summary!$C430)</f>
        <v>0</v>
      </c>
      <c r="L430" s="53">
        <f ca="1">SUMIFS(OFFSET('BPC Data'!$F:$F,0,Summary!L$2),'BPC Data'!$E:$E,Summary!$D430,'BPC Data'!$B:$B,Summary!$C430)</f>
        <v>0</v>
      </c>
      <c r="M430" s="60">
        <f ca="1">SUMIFS(OFFSET('BPC Data'!$F:$F,0,Summary!M$2),'BPC Data'!$E:$E,Summary!$D430,'BPC Data'!$B:$B,Summary!$C430)</f>
        <v>0</v>
      </c>
      <c r="N430" s="53">
        <f ca="1">SUMIFS(OFFSET('BPC Data'!$F:$F,0,Summary!N$2),'BPC Data'!$E:$E,Summary!$D430,'BPC Data'!$B:$B,Summary!$C430)</f>
        <v>0</v>
      </c>
      <c r="O430" s="18">
        <f t="shared" ca="1" si="70"/>
        <v>0</v>
      </c>
    </row>
    <row r="431" spans="1:15" s="11" customFormat="1" hidden="1" outlineLevel="1" x14ac:dyDescent="0.55000000000000004">
      <c r="A431" s="11">
        <f t="shared" si="75"/>
        <v>39</v>
      </c>
      <c r="B431"/>
      <c r="C431">
        <f>$F427</f>
        <v>0</v>
      </c>
      <c r="D431" s="3" t="str">
        <f t="shared" si="72"/>
        <v>T_OPEX - Tenant Operating Expenses</v>
      </c>
      <c r="E431"/>
      <c r="F431" s="14" t="str">
        <f>_xll.EVDES(D431)</f>
        <v>Tenant Operating Expenses</v>
      </c>
      <c r="G431" s="60">
        <f ca="1">SUMIFS(OFFSET('BPC Data'!$F:$F,0,Summary!G$2),'BPC Data'!$E:$E,Summary!$D431,'BPC Data'!$B:$B,Summary!$C431)</f>
        <v>0</v>
      </c>
      <c r="H431" s="53">
        <f ca="1">SUMIFS(OFFSET('BPC Data'!$F:$F,0,Summary!H$2),'BPC Data'!$E:$E,Summary!$D431,'BPC Data'!$B:$B,Summary!$C431)</f>
        <v>0</v>
      </c>
      <c r="I431" s="60">
        <f ca="1">SUMIFS(OFFSET('BPC Data'!$F:$F,0,Summary!I$2),'BPC Data'!$E:$E,Summary!$D431,'BPC Data'!$B:$B,Summary!$C431)</f>
        <v>0</v>
      </c>
      <c r="J431" s="53">
        <f ca="1">SUMIFS(OFFSET('BPC Data'!$F:$F,0,Summary!J$2),'BPC Data'!$E:$E,Summary!$D431,'BPC Data'!$B:$B,Summary!$C431)</f>
        <v>0</v>
      </c>
      <c r="K431" s="60">
        <f ca="1">SUMIFS(OFFSET('BPC Data'!$F:$F,0,Summary!K$2),'BPC Data'!$E:$E,Summary!$D431,'BPC Data'!$B:$B,Summary!$C431)</f>
        <v>0</v>
      </c>
      <c r="L431" s="53">
        <f ca="1">SUMIFS(OFFSET('BPC Data'!$F:$F,0,Summary!L$2),'BPC Data'!$E:$E,Summary!$D431,'BPC Data'!$B:$B,Summary!$C431)</f>
        <v>0</v>
      </c>
      <c r="M431" s="60">
        <f ca="1">SUMIFS(OFFSET('BPC Data'!$F:$F,0,Summary!M$2),'BPC Data'!$E:$E,Summary!$D431,'BPC Data'!$B:$B,Summary!$C431)</f>
        <v>0</v>
      </c>
      <c r="N431" s="53">
        <f ca="1">SUMIFS(OFFSET('BPC Data'!$F:$F,0,Summary!N$2),'BPC Data'!$E:$E,Summary!$D431,'BPC Data'!$B:$B,Summary!$C431)</f>
        <v>0</v>
      </c>
      <c r="O431" s="18">
        <f t="shared" ca="1" si="70"/>
        <v>0</v>
      </c>
    </row>
    <row r="432" spans="1:15" s="11" customFormat="1" hidden="1" outlineLevel="1" x14ac:dyDescent="0.55000000000000004">
      <c r="A432" s="11">
        <f t="shared" si="75"/>
        <v>39</v>
      </c>
      <c r="B432"/>
      <c r="C432">
        <f>$F427</f>
        <v>0</v>
      </c>
      <c r="D432" s="3" t="str">
        <f t="shared" si="72"/>
        <v>T_BAD_DEBT - Tenant Bad Debt Expense</v>
      </c>
      <c r="E432"/>
      <c r="F432" s="14" t="str">
        <f>_xll.EVDES(D432)</f>
        <v>Tenant Bad Debt Expense</v>
      </c>
      <c r="G432" s="60">
        <f ca="1">SUMIFS(OFFSET('BPC Data'!$F:$F,0,Summary!G$2),'BPC Data'!$E:$E,Summary!$D432,'BPC Data'!$B:$B,Summary!$C432)</f>
        <v>0</v>
      </c>
      <c r="H432" s="53">
        <f ca="1">SUMIFS(OFFSET('BPC Data'!$F:$F,0,Summary!H$2),'BPC Data'!$E:$E,Summary!$D432,'BPC Data'!$B:$B,Summary!$C432)</f>
        <v>0</v>
      </c>
      <c r="I432" s="60">
        <f ca="1">SUMIFS(OFFSET('BPC Data'!$F:$F,0,Summary!I$2),'BPC Data'!$E:$E,Summary!$D432,'BPC Data'!$B:$B,Summary!$C432)</f>
        <v>0</v>
      </c>
      <c r="J432" s="53">
        <f ca="1">SUMIFS(OFFSET('BPC Data'!$F:$F,0,Summary!J$2),'BPC Data'!$E:$E,Summary!$D432,'BPC Data'!$B:$B,Summary!$C432)</f>
        <v>0</v>
      </c>
      <c r="K432" s="60">
        <f ca="1">SUMIFS(OFFSET('BPC Data'!$F:$F,0,Summary!K$2),'BPC Data'!$E:$E,Summary!$D432,'BPC Data'!$B:$B,Summary!$C432)</f>
        <v>0</v>
      </c>
      <c r="L432" s="53">
        <f ca="1">SUMIFS(OFFSET('BPC Data'!$F:$F,0,Summary!L$2),'BPC Data'!$E:$E,Summary!$D432,'BPC Data'!$B:$B,Summary!$C432)</f>
        <v>0</v>
      </c>
      <c r="M432" s="60">
        <f ca="1">SUMIFS(OFFSET('BPC Data'!$F:$F,0,Summary!M$2),'BPC Data'!$E:$E,Summary!$D432,'BPC Data'!$B:$B,Summary!$C432)</f>
        <v>0</v>
      </c>
      <c r="N432" s="53">
        <f ca="1">SUMIFS(OFFSET('BPC Data'!$F:$F,0,Summary!N$2),'BPC Data'!$E:$E,Summary!$D432,'BPC Data'!$B:$B,Summary!$C432)</f>
        <v>0</v>
      </c>
      <c r="O432" s="18">
        <f t="shared" ca="1" si="70"/>
        <v>0</v>
      </c>
    </row>
    <row r="433" spans="1:15" s="11" customFormat="1" hidden="1" outlineLevel="1" x14ac:dyDescent="0.55000000000000004">
      <c r="A433" s="11">
        <f t="shared" si="75"/>
        <v>39</v>
      </c>
      <c r="B433"/>
      <c r="C433">
        <f>$F427</f>
        <v>0</v>
      </c>
      <c r="D433" s="2" t="str">
        <f t="shared" si="72"/>
        <v>T_EBITDARM - EBITDARM</v>
      </c>
      <c r="E433"/>
      <c r="F433" s="14" t="str">
        <f>_xll.EVDES(D433)</f>
        <v>EBITDARM</v>
      </c>
      <c r="G433" s="60">
        <f ca="1">SUMIFS(OFFSET('BPC Data'!$F:$F,0,Summary!G$2),'BPC Data'!$E:$E,Summary!$D433,'BPC Data'!$B:$B,Summary!$C433)</f>
        <v>0</v>
      </c>
      <c r="H433" s="53">
        <f ca="1">SUMIFS(OFFSET('BPC Data'!$F:$F,0,Summary!H$2),'BPC Data'!$E:$E,Summary!$D433,'BPC Data'!$B:$B,Summary!$C433)</f>
        <v>0</v>
      </c>
      <c r="I433" s="60">
        <f ca="1">SUMIFS(OFFSET('BPC Data'!$F:$F,0,Summary!I$2),'BPC Data'!$E:$E,Summary!$D433,'BPC Data'!$B:$B,Summary!$C433)</f>
        <v>0</v>
      </c>
      <c r="J433" s="53">
        <f ca="1">SUMIFS(OFFSET('BPC Data'!$F:$F,0,Summary!J$2),'BPC Data'!$E:$E,Summary!$D433,'BPC Data'!$B:$B,Summary!$C433)</f>
        <v>0</v>
      </c>
      <c r="K433" s="60">
        <f ca="1">SUMIFS(OFFSET('BPC Data'!$F:$F,0,Summary!K$2),'BPC Data'!$E:$E,Summary!$D433,'BPC Data'!$B:$B,Summary!$C433)</f>
        <v>0</v>
      </c>
      <c r="L433" s="53">
        <f ca="1">SUMIFS(OFFSET('BPC Data'!$F:$F,0,Summary!L$2),'BPC Data'!$E:$E,Summary!$D433,'BPC Data'!$B:$B,Summary!$C433)</f>
        <v>0</v>
      </c>
      <c r="M433" s="60">
        <f ca="1">SUMIFS(OFFSET('BPC Data'!$F:$F,0,Summary!M$2),'BPC Data'!$E:$E,Summary!$D433,'BPC Data'!$B:$B,Summary!$C433)</f>
        <v>0</v>
      </c>
      <c r="N433" s="53">
        <f ca="1">SUMIFS(OFFSET('BPC Data'!$F:$F,0,Summary!N$2),'BPC Data'!$E:$E,Summary!$D433,'BPC Data'!$B:$B,Summary!$C433)</f>
        <v>0</v>
      </c>
      <c r="O433" s="18">
        <f t="shared" ca="1" si="70"/>
        <v>0</v>
      </c>
    </row>
    <row r="434" spans="1:15" s="11" customFormat="1" hidden="1" outlineLevel="1" x14ac:dyDescent="0.55000000000000004">
      <c r="A434" s="11">
        <f t="shared" si="75"/>
        <v>39</v>
      </c>
      <c r="B434"/>
      <c r="C434">
        <f>$F427</f>
        <v>0</v>
      </c>
      <c r="D434" s="2" t="str">
        <f t="shared" si="72"/>
        <v>T_MGMT_FEE - Tenant Management Fee - Actual</v>
      </c>
      <c r="E434"/>
      <c r="F434" s="14" t="str">
        <f>_xll.EVDES(D434)</f>
        <v>Tenant Management Fee - Actual</v>
      </c>
      <c r="G434" s="60">
        <f ca="1">SUMIFS(OFFSET('BPC Data'!$F:$F,0,Summary!G$2),'BPC Data'!$E:$E,Summary!$D434,'BPC Data'!$B:$B,Summary!$C434)</f>
        <v>0</v>
      </c>
      <c r="H434" s="53">
        <f ca="1">SUMIFS(OFFSET('BPC Data'!$F:$F,0,Summary!H$2),'BPC Data'!$E:$E,Summary!$D434,'BPC Data'!$B:$B,Summary!$C434)</f>
        <v>0</v>
      </c>
      <c r="I434" s="60">
        <f ca="1">SUMIFS(OFFSET('BPC Data'!$F:$F,0,Summary!I$2),'BPC Data'!$E:$E,Summary!$D434,'BPC Data'!$B:$B,Summary!$C434)</f>
        <v>0</v>
      </c>
      <c r="J434" s="53">
        <f ca="1">SUMIFS(OFFSET('BPC Data'!$F:$F,0,Summary!J$2),'BPC Data'!$E:$E,Summary!$D434,'BPC Data'!$B:$B,Summary!$C434)</f>
        <v>0</v>
      </c>
      <c r="K434" s="60">
        <f ca="1">SUMIFS(OFFSET('BPC Data'!$F:$F,0,Summary!K$2),'BPC Data'!$E:$E,Summary!$D434,'BPC Data'!$B:$B,Summary!$C434)</f>
        <v>0</v>
      </c>
      <c r="L434" s="53">
        <f ca="1">SUMIFS(OFFSET('BPC Data'!$F:$F,0,Summary!L$2),'BPC Data'!$E:$E,Summary!$D434,'BPC Data'!$B:$B,Summary!$C434)</f>
        <v>0</v>
      </c>
      <c r="M434" s="60">
        <f ca="1">SUMIFS(OFFSET('BPC Data'!$F:$F,0,Summary!M$2),'BPC Data'!$E:$E,Summary!$D434,'BPC Data'!$B:$B,Summary!$C434)</f>
        <v>0</v>
      </c>
      <c r="N434" s="53">
        <f ca="1">SUMIFS(OFFSET('BPC Data'!$F:$F,0,Summary!N$2),'BPC Data'!$E:$E,Summary!$D434,'BPC Data'!$B:$B,Summary!$C434)</f>
        <v>0</v>
      </c>
      <c r="O434" s="18">
        <f t="shared" ca="1" si="70"/>
        <v>0</v>
      </c>
    </row>
    <row r="435" spans="1:15" s="11" customFormat="1" hidden="1" outlineLevel="1" x14ac:dyDescent="0.55000000000000004">
      <c r="A435" s="11">
        <f t="shared" si="75"/>
        <v>39</v>
      </c>
      <c r="B435"/>
      <c r="C435">
        <f>$F427</f>
        <v>0</v>
      </c>
      <c r="D435" s="1" t="str">
        <f t="shared" si="72"/>
        <v>T_EBITDAR - EBITDAR</v>
      </c>
      <c r="E435"/>
      <c r="F435" s="14" t="str">
        <f>_xll.EVDES(D435)</f>
        <v>EBITDAR</v>
      </c>
      <c r="G435" s="60">
        <f ca="1">SUMIFS(OFFSET('BPC Data'!$F:$F,0,Summary!G$2),'BPC Data'!$E:$E,Summary!$D435,'BPC Data'!$B:$B,Summary!$C435)</f>
        <v>0</v>
      </c>
      <c r="H435" s="53">
        <f ca="1">SUMIFS(OFFSET('BPC Data'!$F:$F,0,Summary!H$2),'BPC Data'!$E:$E,Summary!$D435,'BPC Data'!$B:$B,Summary!$C435)</f>
        <v>0</v>
      </c>
      <c r="I435" s="60">
        <f ca="1">SUMIFS(OFFSET('BPC Data'!$F:$F,0,Summary!I$2),'BPC Data'!$E:$E,Summary!$D435,'BPC Data'!$B:$B,Summary!$C435)</f>
        <v>0</v>
      </c>
      <c r="J435" s="53">
        <f ca="1">SUMIFS(OFFSET('BPC Data'!$F:$F,0,Summary!J$2),'BPC Data'!$E:$E,Summary!$D435,'BPC Data'!$B:$B,Summary!$C435)</f>
        <v>0</v>
      </c>
      <c r="K435" s="60">
        <f ca="1">SUMIFS(OFFSET('BPC Data'!$F:$F,0,Summary!K$2),'BPC Data'!$E:$E,Summary!$D435,'BPC Data'!$B:$B,Summary!$C435)</f>
        <v>0</v>
      </c>
      <c r="L435" s="53">
        <f ca="1">SUMIFS(OFFSET('BPC Data'!$F:$F,0,Summary!L$2),'BPC Data'!$E:$E,Summary!$D435,'BPC Data'!$B:$B,Summary!$C435)</f>
        <v>0</v>
      </c>
      <c r="M435" s="60">
        <f ca="1">SUMIFS(OFFSET('BPC Data'!$F:$F,0,Summary!M$2),'BPC Data'!$E:$E,Summary!$D435,'BPC Data'!$B:$B,Summary!$C435)</f>
        <v>0</v>
      </c>
      <c r="N435" s="53">
        <f ca="1">SUMIFS(OFFSET('BPC Data'!$F:$F,0,Summary!N$2),'BPC Data'!$E:$E,Summary!$D435,'BPC Data'!$B:$B,Summary!$C435)</f>
        <v>0</v>
      </c>
      <c r="O435" s="18">
        <f t="shared" ca="1" si="70"/>
        <v>0</v>
      </c>
    </row>
    <row r="436" spans="1:15" s="11" customFormat="1" hidden="1" outlineLevel="1" x14ac:dyDescent="0.55000000000000004">
      <c r="A436" s="11">
        <f t="shared" si="75"/>
        <v>39</v>
      </c>
      <c r="B436"/>
      <c r="C436">
        <f>$F427</f>
        <v>0</v>
      </c>
      <c r="D436" s="1" t="str">
        <f t="shared" si="72"/>
        <v>T_RENT_EXP - Tenant Rent Expense</v>
      </c>
      <c r="E436"/>
      <c r="F436" s="14" t="str">
        <f>_xll.EVDES(D436)</f>
        <v>Tenant Rent Expense</v>
      </c>
      <c r="G436" s="60">
        <f ca="1">SUMIFS(OFFSET('BPC Data'!$F:$F,0,Summary!G$2),'BPC Data'!$E:$E,Summary!$D436,'BPC Data'!$B:$B,Summary!$C436)</f>
        <v>0</v>
      </c>
      <c r="H436" s="53">
        <f ca="1">SUMIFS(OFFSET('BPC Data'!$F:$F,0,Summary!H$2),'BPC Data'!$E:$E,Summary!$D436,'BPC Data'!$B:$B,Summary!$C436)</f>
        <v>0</v>
      </c>
      <c r="I436" s="60">
        <f ca="1">SUMIFS(OFFSET('BPC Data'!$F:$F,0,Summary!I$2),'BPC Data'!$E:$E,Summary!$D436,'BPC Data'!$B:$B,Summary!$C436)</f>
        <v>0</v>
      </c>
      <c r="J436" s="53">
        <f ca="1">SUMIFS(OFFSET('BPC Data'!$F:$F,0,Summary!J$2),'BPC Data'!$E:$E,Summary!$D436,'BPC Data'!$B:$B,Summary!$C436)</f>
        <v>0</v>
      </c>
      <c r="K436" s="60">
        <f ca="1">SUMIFS(OFFSET('BPC Data'!$F:$F,0,Summary!K$2),'BPC Data'!$E:$E,Summary!$D436,'BPC Data'!$B:$B,Summary!$C436)</f>
        <v>0</v>
      </c>
      <c r="L436" s="53">
        <f ca="1">SUMIFS(OFFSET('BPC Data'!$F:$F,0,Summary!L$2),'BPC Data'!$E:$E,Summary!$D436,'BPC Data'!$B:$B,Summary!$C436)</f>
        <v>0</v>
      </c>
      <c r="M436" s="60">
        <f ca="1">SUMIFS(OFFSET('BPC Data'!$F:$F,0,Summary!M$2),'BPC Data'!$E:$E,Summary!$D436,'BPC Data'!$B:$B,Summary!$C436)</f>
        <v>0</v>
      </c>
      <c r="N436" s="53">
        <f ca="1">SUMIFS(OFFSET('BPC Data'!$F:$F,0,Summary!N$2),'BPC Data'!$E:$E,Summary!$D436,'BPC Data'!$B:$B,Summary!$C436)</f>
        <v>0</v>
      </c>
      <c r="O436" s="18">
        <f t="shared" ca="1" si="70"/>
        <v>0</v>
      </c>
    </row>
    <row r="437" spans="1:15" s="11" customFormat="1" hidden="1" outlineLevel="1" x14ac:dyDescent="0.55000000000000004">
      <c r="A437" s="11">
        <f t="shared" si="75"/>
        <v>39</v>
      </c>
      <c r="B437"/>
      <c r="C437"/>
      <c r="D437" s="1" t="str">
        <f t="shared" si="72"/>
        <v>x</v>
      </c>
      <c r="E437"/>
      <c r="F437" s="14" t="s">
        <v>0</v>
      </c>
      <c r="G437" s="61">
        <f ca="1">SUMIFS(OFFSET('BPC Data'!$F:$F,0,Summary!G$2),'BPC Data'!$E:$E,Summary!$D437,'BPC Data'!$B:$B,Summary!$C437)</f>
        <v>0</v>
      </c>
      <c r="H437" s="54">
        <f ca="1">SUMIFS(OFFSET('BPC Data'!$F:$F,0,Summary!H$2),'BPC Data'!$E:$E,Summary!$D437,'BPC Data'!$B:$B,Summary!$C437)</f>
        <v>0</v>
      </c>
      <c r="I437" s="61">
        <f ca="1">SUMIFS(OFFSET('BPC Data'!$F:$F,0,Summary!I$2),'BPC Data'!$E:$E,Summary!$D437,'BPC Data'!$B:$B,Summary!$C437)</f>
        <v>0</v>
      </c>
      <c r="J437" s="54">
        <f ca="1">SUMIFS(OFFSET('BPC Data'!$F:$F,0,Summary!J$2),'BPC Data'!$E:$E,Summary!$D437,'BPC Data'!$B:$B,Summary!$C437)</f>
        <v>0</v>
      </c>
      <c r="K437" s="61">
        <f ca="1">SUMIFS(OFFSET('BPC Data'!$F:$F,0,Summary!K$2),'BPC Data'!$E:$E,Summary!$D437,'BPC Data'!$B:$B,Summary!$C437)</f>
        <v>0</v>
      </c>
      <c r="L437" s="54">
        <f ca="1">SUMIFS(OFFSET('BPC Data'!$F:$F,0,Summary!L$2),'BPC Data'!$E:$E,Summary!$D437,'BPC Data'!$B:$B,Summary!$C437)</f>
        <v>0</v>
      </c>
      <c r="M437" s="61">
        <f ca="1">SUMIFS(OFFSET('BPC Data'!$F:$F,0,Summary!M$2),'BPC Data'!$E:$E,Summary!$D437,'BPC Data'!$B:$B,Summary!$C437)</f>
        <v>0</v>
      </c>
      <c r="N437" s="54">
        <f ca="1">SUMIFS(OFFSET('BPC Data'!$F:$F,0,Summary!N$2),'BPC Data'!$E:$E,Summary!$D437,'BPC Data'!$B:$B,Summary!$C437)</f>
        <v>0</v>
      </c>
      <c r="O437" s="18">
        <f t="shared" ca="1" si="70"/>
        <v>0</v>
      </c>
    </row>
    <row r="438" spans="1:15" s="11" customFormat="1" hidden="1" outlineLevel="1" x14ac:dyDescent="0.55000000000000004">
      <c r="A438" s="11">
        <f>IF(AND(D438&lt;&gt;"",C438=""),A437+1,A437)</f>
        <v>40</v>
      </c>
      <c r="B438" s="4"/>
      <c r="C438" s="4"/>
      <c r="D438" s="4" t="str">
        <f t="shared" si="72"/>
        <v>x</v>
      </c>
      <c r="E438" s="4"/>
      <c r="F438" s="13">
        <f>INDEX(PropertyList!$D:$D,MATCH(Summary!$A438,PropertyList!$C:$C,0))</f>
        <v>0</v>
      </c>
      <c r="G438" s="59">
        <f ca="1">SUMIFS(OFFSET('BPC Data'!$F:$F,0,Summary!G$2),'BPC Data'!$E:$E,Summary!$D438,'BPC Data'!$B:$B,Summary!$C438)</f>
        <v>0</v>
      </c>
      <c r="H438" s="52">
        <f ca="1">SUMIFS(OFFSET('BPC Data'!$F:$F,0,Summary!H$2),'BPC Data'!$E:$E,Summary!$D438,'BPC Data'!$B:$B,Summary!$C438)</f>
        <v>0</v>
      </c>
      <c r="I438" s="59">
        <f ca="1">SUMIFS(OFFSET('BPC Data'!$F:$F,0,Summary!I$2),'BPC Data'!$E:$E,Summary!$D438,'BPC Data'!$B:$B,Summary!$C438)</f>
        <v>0</v>
      </c>
      <c r="J438" s="52">
        <f ca="1">SUMIFS(OFFSET('BPC Data'!$F:$F,0,Summary!J$2),'BPC Data'!$E:$E,Summary!$D438,'BPC Data'!$B:$B,Summary!$C438)</f>
        <v>0</v>
      </c>
      <c r="K438" s="59">
        <f ca="1">SUMIFS(OFFSET('BPC Data'!$F:$F,0,Summary!K$2),'BPC Data'!$E:$E,Summary!$D438,'BPC Data'!$B:$B,Summary!$C438)</f>
        <v>0</v>
      </c>
      <c r="L438" s="52">
        <f ca="1">SUMIFS(OFFSET('BPC Data'!$F:$F,0,Summary!L$2),'BPC Data'!$E:$E,Summary!$D438,'BPC Data'!$B:$B,Summary!$C438)</f>
        <v>0</v>
      </c>
      <c r="M438" s="59">
        <f ca="1">SUMIFS(OFFSET('BPC Data'!$F:$F,0,Summary!M$2),'BPC Data'!$E:$E,Summary!$D438,'BPC Data'!$B:$B,Summary!$C438)</f>
        <v>0</v>
      </c>
      <c r="N438" s="52">
        <f ca="1">SUMIFS(OFFSET('BPC Data'!$F:$F,0,Summary!N$2),'BPC Data'!$E:$E,Summary!$D438,'BPC Data'!$B:$B,Summary!$C438)</f>
        <v>0</v>
      </c>
      <c r="O438" s="18">
        <f t="shared" ca="1" si="70"/>
        <v>0</v>
      </c>
    </row>
    <row r="439" spans="1:15" s="11" customFormat="1" hidden="1" outlineLevel="1" x14ac:dyDescent="0.55000000000000004">
      <c r="A439" s="11">
        <f>IF(AND(F439&lt;&gt;"",D439=""),A438+1,A438)</f>
        <v>40</v>
      </c>
      <c r="C439">
        <f>$F438</f>
        <v>0</v>
      </c>
      <c r="D439" s="3" t="str">
        <f t="shared" si="72"/>
        <v>PAY_PAT_DAYS - Total Payor Patient Days</v>
      </c>
      <c r="F439" s="14" t="str">
        <f>_xll.EVDES(D439)</f>
        <v>Total Payor Patient Days</v>
      </c>
      <c r="G439" s="60">
        <f ca="1">SUMIFS(OFFSET('BPC Data'!$F:$F,0,Summary!G$2),'BPC Data'!$E:$E,Summary!$D439,'BPC Data'!$B:$B,Summary!$C439)</f>
        <v>0</v>
      </c>
      <c r="H439" s="53">
        <f ca="1">SUMIFS(OFFSET('BPC Data'!$F:$F,0,Summary!H$2),'BPC Data'!$E:$E,Summary!$D439,'BPC Data'!$B:$B,Summary!$C439)</f>
        <v>0</v>
      </c>
      <c r="I439" s="60">
        <f ca="1">SUMIFS(OFFSET('BPC Data'!$F:$F,0,Summary!I$2),'BPC Data'!$E:$E,Summary!$D439,'BPC Data'!$B:$B,Summary!$C439)</f>
        <v>0</v>
      </c>
      <c r="J439" s="53">
        <f ca="1">SUMIFS(OFFSET('BPC Data'!$F:$F,0,Summary!J$2),'BPC Data'!$E:$E,Summary!$D439,'BPC Data'!$B:$B,Summary!$C439)</f>
        <v>0</v>
      </c>
      <c r="K439" s="60">
        <f ca="1">SUMIFS(OFFSET('BPC Data'!$F:$F,0,Summary!K$2),'BPC Data'!$E:$E,Summary!$D439,'BPC Data'!$B:$B,Summary!$C439)</f>
        <v>0</v>
      </c>
      <c r="L439" s="53">
        <f ca="1">SUMIFS(OFFSET('BPC Data'!$F:$F,0,Summary!L$2),'BPC Data'!$E:$E,Summary!$D439,'BPC Data'!$B:$B,Summary!$C439)</f>
        <v>0</v>
      </c>
      <c r="M439" s="60">
        <f ca="1">SUMIFS(OFFSET('BPC Data'!$F:$F,0,Summary!M$2),'BPC Data'!$E:$E,Summary!$D439,'BPC Data'!$B:$B,Summary!$C439)</f>
        <v>0</v>
      </c>
      <c r="N439" s="53">
        <f ca="1">SUMIFS(OFFSET('BPC Data'!$F:$F,0,Summary!N$2),'BPC Data'!$E:$E,Summary!$D439,'BPC Data'!$B:$B,Summary!$C439)</f>
        <v>0</v>
      </c>
      <c r="O439" s="18">
        <f t="shared" ca="1" si="70"/>
        <v>0</v>
      </c>
    </row>
    <row r="440" spans="1:15" s="11" customFormat="1" hidden="1" outlineLevel="1" x14ac:dyDescent="0.55000000000000004">
      <c r="A440" s="11">
        <f t="shared" ref="A440:A448" si="76">IF(AND(F440&lt;&gt;"",D440=""),A439+1,A439)</f>
        <v>40</v>
      </c>
      <c r="C440">
        <f>$F438</f>
        <v>0</v>
      </c>
      <c r="D440" s="3" t="str">
        <f t="shared" si="72"/>
        <v>A_BEDS_TOTAL - Total Available Beds</v>
      </c>
      <c r="F440" s="14" t="str">
        <f>_xll.EVDES(D440)</f>
        <v>Total Available Beds</v>
      </c>
      <c r="G440" s="60">
        <f ca="1">SUMIFS(OFFSET('BPC Data'!$F:$F,0,Summary!G$2),'BPC Data'!$E:$E,Summary!$D440,'BPC Data'!$B:$B,Summary!$C440)</f>
        <v>0</v>
      </c>
      <c r="H440" s="53">
        <f ca="1">SUMIFS(OFFSET('BPC Data'!$F:$F,0,Summary!H$2),'BPC Data'!$E:$E,Summary!$D440,'BPC Data'!$B:$B,Summary!$C440)</f>
        <v>0</v>
      </c>
      <c r="I440" s="60">
        <f ca="1">SUMIFS(OFFSET('BPC Data'!$F:$F,0,Summary!I$2),'BPC Data'!$E:$E,Summary!$D440,'BPC Data'!$B:$B,Summary!$C440)</f>
        <v>0</v>
      </c>
      <c r="J440" s="53">
        <f ca="1">SUMIFS(OFFSET('BPC Data'!$F:$F,0,Summary!J$2),'BPC Data'!$E:$E,Summary!$D440,'BPC Data'!$B:$B,Summary!$C440)</f>
        <v>0</v>
      </c>
      <c r="K440" s="60">
        <f ca="1">SUMIFS(OFFSET('BPC Data'!$F:$F,0,Summary!K$2),'BPC Data'!$E:$E,Summary!$D440,'BPC Data'!$B:$B,Summary!$C440)</f>
        <v>0</v>
      </c>
      <c r="L440" s="53">
        <f ca="1">SUMIFS(OFFSET('BPC Data'!$F:$F,0,Summary!L$2),'BPC Data'!$E:$E,Summary!$D440,'BPC Data'!$B:$B,Summary!$C440)</f>
        <v>0</v>
      </c>
      <c r="M440" s="60">
        <f ca="1">SUMIFS(OFFSET('BPC Data'!$F:$F,0,Summary!M$2),'BPC Data'!$E:$E,Summary!$D440,'BPC Data'!$B:$B,Summary!$C440)</f>
        <v>0</v>
      </c>
      <c r="N440" s="53">
        <f ca="1">SUMIFS(OFFSET('BPC Data'!$F:$F,0,Summary!N$2),'BPC Data'!$E:$E,Summary!$D440,'BPC Data'!$B:$B,Summary!$C440)</f>
        <v>0</v>
      </c>
      <c r="O440" s="18">
        <f t="shared" ca="1" si="70"/>
        <v>0</v>
      </c>
    </row>
    <row r="441" spans="1:15" s="11" customFormat="1" hidden="1" outlineLevel="1" x14ac:dyDescent="0.55000000000000004">
      <c r="A441" s="11">
        <f t="shared" si="76"/>
        <v>40</v>
      </c>
      <c r="B441"/>
      <c r="C441">
        <f>$F438</f>
        <v>0</v>
      </c>
      <c r="D441" s="3" t="str">
        <f t="shared" si="72"/>
        <v>T_REVENUES - Total Tenant Revenues</v>
      </c>
      <c r="E441"/>
      <c r="F441" s="14" t="str">
        <f>_xll.EVDES(D441)</f>
        <v>Total Tenant Revenues</v>
      </c>
      <c r="G441" s="60">
        <f ca="1">SUMIFS(OFFSET('BPC Data'!$F:$F,0,Summary!G$2),'BPC Data'!$E:$E,Summary!$D441,'BPC Data'!$B:$B,Summary!$C441)</f>
        <v>0</v>
      </c>
      <c r="H441" s="53">
        <f ca="1">SUMIFS(OFFSET('BPC Data'!$F:$F,0,Summary!H$2),'BPC Data'!$E:$E,Summary!$D441,'BPC Data'!$B:$B,Summary!$C441)</f>
        <v>0</v>
      </c>
      <c r="I441" s="60">
        <f ca="1">SUMIFS(OFFSET('BPC Data'!$F:$F,0,Summary!I$2),'BPC Data'!$E:$E,Summary!$D441,'BPC Data'!$B:$B,Summary!$C441)</f>
        <v>0</v>
      </c>
      <c r="J441" s="53">
        <f ca="1">SUMIFS(OFFSET('BPC Data'!$F:$F,0,Summary!J$2),'BPC Data'!$E:$E,Summary!$D441,'BPC Data'!$B:$B,Summary!$C441)</f>
        <v>0</v>
      </c>
      <c r="K441" s="60">
        <f ca="1">SUMIFS(OFFSET('BPC Data'!$F:$F,0,Summary!K$2),'BPC Data'!$E:$E,Summary!$D441,'BPC Data'!$B:$B,Summary!$C441)</f>
        <v>0</v>
      </c>
      <c r="L441" s="53">
        <f ca="1">SUMIFS(OFFSET('BPC Data'!$F:$F,0,Summary!L$2),'BPC Data'!$E:$E,Summary!$D441,'BPC Data'!$B:$B,Summary!$C441)</f>
        <v>0</v>
      </c>
      <c r="M441" s="60">
        <f ca="1">SUMIFS(OFFSET('BPC Data'!$F:$F,0,Summary!M$2),'BPC Data'!$E:$E,Summary!$D441,'BPC Data'!$B:$B,Summary!$C441)</f>
        <v>0</v>
      </c>
      <c r="N441" s="53">
        <f ca="1">SUMIFS(OFFSET('BPC Data'!$F:$F,0,Summary!N$2),'BPC Data'!$E:$E,Summary!$D441,'BPC Data'!$B:$B,Summary!$C441)</f>
        <v>0</v>
      </c>
      <c r="O441" s="18">
        <f t="shared" ca="1" si="70"/>
        <v>0</v>
      </c>
    </row>
    <row r="442" spans="1:15" s="11" customFormat="1" hidden="1" outlineLevel="1" x14ac:dyDescent="0.55000000000000004">
      <c r="A442" s="11">
        <f t="shared" si="76"/>
        <v>40</v>
      </c>
      <c r="B442"/>
      <c r="C442">
        <f>$F438</f>
        <v>0</v>
      </c>
      <c r="D442" s="3" t="str">
        <f t="shared" si="72"/>
        <v>T_OPEX - Tenant Operating Expenses</v>
      </c>
      <c r="E442"/>
      <c r="F442" s="14" t="str">
        <f>_xll.EVDES(D442)</f>
        <v>Tenant Operating Expenses</v>
      </c>
      <c r="G442" s="60">
        <f ca="1">SUMIFS(OFFSET('BPC Data'!$F:$F,0,Summary!G$2),'BPC Data'!$E:$E,Summary!$D442,'BPC Data'!$B:$B,Summary!$C442)</f>
        <v>0</v>
      </c>
      <c r="H442" s="53">
        <f ca="1">SUMIFS(OFFSET('BPC Data'!$F:$F,0,Summary!H$2),'BPC Data'!$E:$E,Summary!$D442,'BPC Data'!$B:$B,Summary!$C442)</f>
        <v>0</v>
      </c>
      <c r="I442" s="60">
        <f ca="1">SUMIFS(OFFSET('BPC Data'!$F:$F,0,Summary!I$2),'BPC Data'!$E:$E,Summary!$D442,'BPC Data'!$B:$B,Summary!$C442)</f>
        <v>0</v>
      </c>
      <c r="J442" s="53">
        <f ca="1">SUMIFS(OFFSET('BPC Data'!$F:$F,0,Summary!J$2),'BPC Data'!$E:$E,Summary!$D442,'BPC Data'!$B:$B,Summary!$C442)</f>
        <v>0</v>
      </c>
      <c r="K442" s="60">
        <f ca="1">SUMIFS(OFFSET('BPC Data'!$F:$F,0,Summary!K$2),'BPC Data'!$E:$E,Summary!$D442,'BPC Data'!$B:$B,Summary!$C442)</f>
        <v>0</v>
      </c>
      <c r="L442" s="53">
        <f ca="1">SUMIFS(OFFSET('BPC Data'!$F:$F,0,Summary!L$2),'BPC Data'!$E:$E,Summary!$D442,'BPC Data'!$B:$B,Summary!$C442)</f>
        <v>0</v>
      </c>
      <c r="M442" s="60">
        <f ca="1">SUMIFS(OFFSET('BPC Data'!$F:$F,0,Summary!M$2),'BPC Data'!$E:$E,Summary!$D442,'BPC Data'!$B:$B,Summary!$C442)</f>
        <v>0</v>
      </c>
      <c r="N442" s="53">
        <f ca="1">SUMIFS(OFFSET('BPC Data'!$F:$F,0,Summary!N$2),'BPC Data'!$E:$E,Summary!$D442,'BPC Data'!$B:$B,Summary!$C442)</f>
        <v>0</v>
      </c>
      <c r="O442" s="18">
        <f t="shared" ca="1" si="70"/>
        <v>0</v>
      </c>
    </row>
    <row r="443" spans="1:15" s="11" customFormat="1" hidden="1" outlineLevel="1" x14ac:dyDescent="0.55000000000000004">
      <c r="A443" s="11">
        <f t="shared" si="76"/>
        <v>40</v>
      </c>
      <c r="B443"/>
      <c r="C443">
        <f>$F438</f>
        <v>0</v>
      </c>
      <c r="D443" s="3" t="str">
        <f t="shared" si="72"/>
        <v>T_BAD_DEBT - Tenant Bad Debt Expense</v>
      </c>
      <c r="E443"/>
      <c r="F443" s="14" t="str">
        <f>_xll.EVDES(D443)</f>
        <v>Tenant Bad Debt Expense</v>
      </c>
      <c r="G443" s="60">
        <f ca="1">SUMIFS(OFFSET('BPC Data'!$F:$F,0,Summary!G$2),'BPC Data'!$E:$E,Summary!$D443,'BPC Data'!$B:$B,Summary!$C443)</f>
        <v>0</v>
      </c>
      <c r="H443" s="53">
        <f ca="1">SUMIFS(OFFSET('BPC Data'!$F:$F,0,Summary!H$2),'BPC Data'!$E:$E,Summary!$D443,'BPC Data'!$B:$B,Summary!$C443)</f>
        <v>0</v>
      </c>
      <c r="I443" s="60">
        <f ca="1">SUMIFS(OFFSET('BPC Data'!$F:$F,0,Summary!I$2),'BPC Data'!$E:$E,Summary!$D443,'BPC Data'!$B:$B,Summary!$C443)</f>
        <v>0</v>
      </c>
      <c r="J443" s="53">
        <f ca="1">SUMIFS(OFFSET('BPC Data'!$F:$F,0,Summary!J$2),'BPC Data'!$E:$E,Summary!$D443,'BPC Data'!$B:$B,Summary!$C443)</f>
        <v>0</v>
      </c>
      <c r="K443" s="60">
        <f ca="1">SUMIFS(OFFSET('BPC Data'!$F:$F,0,Summary!K$2),'BPC Data'!$E:$E,Summary!$D443,'BPC Data'!$B:$B,Summary!$C443)</f>
        <v>0</v>
      </c>
      <c r="L443" s="53">
        <f ca="1">SUMIFS(OFFSET('BPC Data'!$F:$F,0,Summary!L$2),'BPC Data'!$E:$E,Summary!$D443,'BPC Data'!$B:$B,Summary!$C443)</f>
        <v>0</v>
      </c>
      <c r="M443" s="60">
        <f ca="1">SUMIFS(OFFSET('BPC Data'!$F:$F,0,Summary!M$2),'BPC Data'!$E:$E,Summary!$D443,'BPC Data'!$B:$B,Summary!$C443)</f>
        <v>0</v>
      </c>
      <c r="N443" s="53">
        <f ca="1">SUMIFS(OFFSET('BPC Data'!$F:$F,0,Summary!N$2),'BPC Data'!$E:$E,Summary!$D443,'BPC Data'!$B:$B,Summary!$C443)</f>
        <v>0</v>
      </c>
      <c r="O443" s="18">
        <f t="shared" ca="1" si="70"/>
        <v>0</v>
      </c>
    </row>
    <row r="444" spans="1:15" s="11" customFormat="1" hidden="1" outlineLevel="1" x14ac:dyDescent="0.55000000000000004">
      <c r="A444" s="11">
        <f t="shared" si="76"/>
        <v>40</v>
      </c>
      <c r="B444"/>
      <c r="C444">
        <f>$F438</f>
        <v>0</v>
      </c>
      <c r="D444" s="2" t="str">
        <f t="shared" si="72"/>
        <v>T_EBITDARM - EBITDARM</v>
      </c>
      <c r="E444"/>
      <c r="F444" s="14" t="str">
        <f>_xll.EVDES(D444)</f>
        <v>EBITDARM</v>
      </c>
      <c r="G444" s="60">
        <f ca="1">SUMIFS(OFFSET('BPC Data'!$F:$F,0,Summary!G$2),'BPC Data'!$E:$E,Summary!$D444,'BPC Data'!$B:$B,Summary!$C444)</f>
        <v>0</v>
      </c>
      <c r="H444" s="53">
        <f ca="1">SUMIFS(OFFSET('BPC Data'!$F:$F,0,Summary!H$2),'BPC Data'!$E:$E,Summary!$D444,'BPC Data'!$B:$B,Summary!$C444)</f>
        <v>0</v>
      </c>
      <c r="I444" s="60">
        <f ca="1">SUMIFS(OFFSET('BPC Data'!$F:$F,0,Summary!I$2),'BPC Data'!$E:$E,Summary!$D444,'BPC Data'!$B:$B,Summary!$C444)</f>
        <v>0</v>
      </c>
      <c r="J444" s="53">
        <f ca="1">SUMIFS(OFFSET('BPC Data'!$F:$F,0,Summary!J$2),'BPC Data'!$E:$E,Summary!$D444,'BPC Data'!$B:$B,Summary!$C444)</f>
        <v>0</v>
      </c>
      <c r="K444" s="60">
        <f ca="1">SUMIFS(OFFSET('BPC Data'!$F:$F,0,Summary!K$2),'BPC Data'!$E:$E,Summary!$D444,'BPC Data'!$B:$B,Summary!$C444)</f>
        <v>0</v>
      </c>
      <c r="L444" s="53">
        <f ca="1">SUMIFS(OFFSET('BPC Data'!$F:$F,0,Summary!L$2),'BPC Data'!$E:$E,Summary!$D444,'BPC Data'!$B:$B,Summary!$C444)</f>
        <v>0</v>
      </c>
      <c r="M444" s="60">
        <f ca="1">SUMIFS(OFFSET('BPC Data'!$F:$F,0,Summary!M$2),'BPC Data'!$E:$E,Summary!$D444,'BPC Data'!$B:$B,Summary!$C444)</f>
        <v>0</v>
      </c>
      <c r="N444" s="53">
        <f ca="1">SUMIFS(OFFSET('BPC Data'!$F:$F,0,Summary!N$2),'BPC Data'!$E:$E,Summary!$D444,'BPC Data'!$B:$B,Summary!$C444)</f>
        <v>0</v>
      </c>
      <c r="O444" s="18">
        <f t="shared" ca="1" si="70"/>
        <v>0</v>
      </c>
    </row>
    <row r="445" spans="1:15" s="11" customFormat="1" hidden="1" outlineLevel="1" x14ac:dyDescent="0.55000000000000004">
      <c r="A445" s="11">
        <f t="shared" si="76"/>
        <v>40</v>
      </c>
      <c r="B445"/>
      <c r="C445">
        <f>$F438</f>
        <v>0</v>
      </c>
      <c r="D445" s="2" t="str">
        <f t="shared" si="72"/>
        <v>T_MGMT_FEE - Tenant Management Fee - Actual</v>
      </c>
      <c r="E445"/>
      <c r="F445" s="14" t="str">
        <f>_xll.EVDES(D445)</f>
        <v>Tenant Management Fee - Actual</v>
      </c>
      <c r="G445" s="60">
        <f ca="1">SUMIFS(OFFSET('BPC Data'!$F:$F,0,Summary!G$2),'BPC Data'!$E:$E,Summary!$D445,'BPC Data'!$B:$B,Summary!$C445)</f>
        <v>0</v>
      </c>
      <c r="H445" s="53">
        <f ca="1">SUMIFS(OFFSET('BPC Data'!$F:$F,0,Summary!H$2),'BPC Data'!$E:$E,Summary!$D445,'BPC Data'!$B:$B,Summary!$C445)</f>
        <v>0</v>
      </c>
      <c r="I445" s="60">
        <f ca="1">SUMIFS(OFFSET('BPC Data'!$F:$F,0,Summary!I$2),'BPC Data'!$E:$E,Summary!$D445,'BPC Data'!$B:$B,Summary!$C445)</f>
        <v>0</v>
      </c>
      <c r="J445" s="53">
        <f ca="1">SUMIFS(OFFSET('BPC Data'!$F:$F,0,Summary!J$2),'BPC Data'!$E:$E,Summary!$D445,'BPC Data'!$B:$B,Summary!$C445)</f>
        <v>0</v>
      </c>
      <c r="K445" s="60">
        <f ca="1">SUMIFS(OFFSET('BPC Data'!$F:$F,0,Summary!K$2),'BPC Data'!$E:$E,Summary!$D445,'BPC Data'!$B:$B,Summary!$C445)</f>
        <v>0</v>
      </c>
      <c r="L445" s="53">
        <f ca="1">SUMIFS(OFFSET('BPC Data'!$F:$F,0,Summary!L$2),'BPC Data'!$E:$E,Summary!$D445,'BPC Data'!$B:$B,Summary!$C445)</f>
        <v>0</v>
      </c>
      <c r="M445" s="60">
        <f ca="1">SUMIFS(OFFSET('BPC Data'!$F:$F,0,Summary!M$2),'BPC Data'!$E:$E,Summary!$D445,'BPC Data'!$B:$B,Summary!$C445)</f>
        <v>0</v>
      </c>
      <c r="N445" s="53">
        <f ca="1">SUMIFS(OFFSET('BPC Data'!$F:$F,0,Summary!N$2),'BPC Data'!$E:$E,Summary!$D445,'BPC Data'!$B:$B,Summary!$C445)</f>
        <v>0</v>
      </c>
      <c r="O445" s="18">
        <f t="shared" ca="1" si="70"/>
        <v>0</v>
      </c>
    </row>
    <row r="446" spans="1:15" s="11" customFormat="1" hidden="1" outlineLevel="1" x14ac:dyDescent="0.55000000000000004">
      <c r="A446" s="11">
        <f t="shared" si="76"/>
        <v>40</v>
      </c>
      <c r="B446"/>
      <c r="C446">
        <f>$F438</f>
        <v>0</v>
      </c>
      <c r="D446" s="1" t="str">
        <f t="shared" si="72"/>
        <v>T_EBITDAR - EBITDAR</v>
      </c>
      <c r="E446"/>
      <c r="F446" s="14" t="str">
        <f>_xll.EVDES(D446)</f>
        <v>EBITDAR</v>
      </c>
      <c r="G446" s="60">
        <f ca="1">SUMIFS(OFFSET('BPC Data'!$F:$F,0,Summary!G$2),'BPC Data'!$E:$E,Summary!$D446,'BPC Data'!$B:$B,Summary!$C446)</f>
        <v>0</v>
      </c>
      <c r="H446" s="53">
        <f ca="1">SUMIFS(OFFSET('BPC Data'!$F:$F,0,Summary!H$2),'BPC Data'!$E:$E,Summary!$D446,'BPC Data'!$B:$B,Summary!$C446)</f>
        <v>0</v>
      </c>
      <c r="I446" s="60">
        <f ca="1">SUMIFS(OFFSET('BPC Data'!$F:$F,0,Summary!I$2),'BPC Data'!$E:$E,Summary!$D446,'BPC Data'!$B:$B,Summary!$C446)</f>
        <v>0</v>
      </c>
      <c r="J446" s="53">
        <f ca="1">SUMIFS(OFFSET('BPC Data'!$F:$F,0,Summary!J$2),'BPC Data'!$E:$E,Summary!$D446,'BPC Data'!$B:$B,Summary!$C446)</f>
        <v>0</v>
      </c>
      <c r="K446" s="60">
        <f ca="1">SUMIFS(OFFSET('BPC Data'!$F:$F,0,Summary!K$2),'BPC Data'!$E:$E,Summary!$D446,'BPC Data'!$B:$B,Summary!$C446)</f>
        <v>0</v>
      </c>
      <c r="L446" s="53">
        <f ca="1">SUMIFS(OFFSET('BPC Data'!$F:$F,0,Summary!L$2),'BPC Data'!$E:$E,Summary!$D446,'BPC Data'!$B:$B,Summary!$C446)</f>
        <v>0</v>
      </c>
      <c r="M446" s="60">
        <f ca="1">SUMIFS(OFFSET('BPC Data'!$F:$F,0,Summary!M$2),'BPC Data'!$E:$E,Summary!$D446,'BPC Data'!$B:$B,Summary!$C446)</f>
        <v>0</v>
      </c>
      <c r="N446" s="53">
        <f ca="1">SUMIFS(OFFSET('BPC Data'!$F:$F,0,Summary!N$2),'BPC Data'!$E:$E,Summary!$D446,'BPC Data'!$B:$B,Summary!$C446)</f>
        <v>0</v>
      </c>
      <c r="O446" s="18">
        <f t="shared" ca="1" si="70"/>
        <v>0</v>
      </c>
    </row>
    <row r="447" spans="1:15" s="11" customFormat="1" hidden="1" outlineLevel="1" x14ac:dyDescent="0.55000000000000004">
      <c r="A447" s="11">
        <f t="shared" si="76"/>
        <v>40</v>
      </c>
      <c r="B447"/>
      <c r="C447">
        <f>$F438</f>
        <v>0</v>
      </c>
      <c r="D447" s="1" t="str">
        <f t="shared" si="72"/>
        <v>T_RENT_EXP - Tenant Rent Expense</v>
      </c>
      <c r="E447"/>
      <c r="F447" s="14" t="str">
        <f>_xll.EVDES(D447)</f>
        <v>Tenant Rent Expense</v>
      </c>
      <c r="G447" s="60">
        <f ca="1">SUMIFS(OFFSET('BPC Data'!$F:$F,0,Summary!G$2),'BPC Data'!$E:$E,Summary!$D447,'BPC Data'!$B:$B,Summary!$C447)</f>
        <v>0</v>
      </c>
      <c r="H447" s="53">
        <f ca="1">SUMIFS(OFFSET('BPC Data'!$F:$F,0,Summary!H$2),'BPC Data'!$E:$E,Summary!$D447,'BPC Data'!$B:$B,Summary!$C447)</f>
        <v>0</v>
      </c>
      <c r="I447" s="60">
        <f ca="1">SUMIFS(OFFSET('BPC Data'!$F:$F,0,Summary!I$2),'BPC Data'!$E:$E,Summary!$D447,'BPC Data'!$B:$B,Summary!$C447)</f>
        <v>0</v>
      </c>
      <c r="J447" s="53">
        <f ca="1">SUMIFS(OFFSET('BPC Data'!$F:$F,0,Summary!J$2),'BPC Data'!$E:$E,Summary!$D447,'BPC Data'!$B:$B,Summary!$C447)</f>
        <v>0</v>
      </c>
      <c r="K447" s="60">
        <f ca="1">SUMIFS(OFFSET('BPC Data'!$F:$F,0,Summary!K$2),'BPC Data'!$E:$E,Summary!$D447,'BPC Data'!$B:$B,Summary!$C447)</f>
        <v>0</v>
      </c>
      <c r="L447" s="53">
        <f ca="1">SUMIFS(OFFSET('BPC Data'!$F:$F,0,Summary!L$2),'BPC Data'!$E:$E,Summary!$D447,'BPC Data'!$B:$B,Summary!$C447)</f>
        <v>0</v>
      </c>
      <c r="M447" s="60">
        <f ca="1">SUMIFS(OFFSET('BPC Data'!$F:$F,0,Summary!M$2),'BPC Data'!$E:$E,Summary!$D447,'BPC Data'!$B:$B,Summary!$C447)</f>
        <v>0</v>
      </c>
      <c r="N447" s="53">
        <f ca="1">SUMIFS(OFFSET('BPC Data'!$F:$F,0,Summary!N$2),'BPC Data'!$E:$E,Summary!$D447,'BPC Data'!$B:$B,Summary!$C447)</f>
        <v>0</v>
      </c>
      <c r="O447" s="18">
        <f t="shared" ca="1" si="70"/>
        <v>0</v>
      </c>
    </row>
    <row r="448" spans="1:15" s="11" customFormat="1" hidden="1" outlineLevel="1" x14ac:dyDescent="0.55000000000000004">
      <c r="A448" s="11">
        <f t="shared" si="76"/>
        <v>40</v>
      </c>
      <c r="B448"/>
      <c r="C448"/>
      <c r="D448" s="1" t="str">
        <f t="shared" si="72"/>
        <v>x</v>
      </c>
      <c r="E448"/>
      <c r="F448" s="14" t="s">
        <v>0</v>
      </c>
      <c r="G448" s="61">
        <f ca="1">SUMIFS(OFFSET('BPC Data'!$F:$F,0,Summary!G$2),'BPC Data'!$E:$E,Summary!$D448,'BPC Data'!$B:$B,Summary!$C448)</f>
        <v>0</v>
      </c>
      <c r="H448" s="54">
        <f ca="1">SUMIFS(OFFSET('BPC Data'!$F:$F,0,Summary!H$2),'BPC Data'!$E:$E,Summary!$D448,'BPC Data'!$B:$B,Summary!$C448)</f>
        <v>0</v>
      </c>
      <c r="I448" s="61">
        <f ca="1">SUMIFS(OFFSET('BPC Data'!$F:$F,0,Summary!I$2),'BPC Data'!$E:$E,Summary!$D448,'BPC Data'!$B:$B,Summary!$C448)</f>
        <v>0</v>
      </c>
      <c r="J448" s="54">
        <f ca="1">SUMIFS(OFFSET('BPC Data'!$F:$F,0,Summary!J$2),'BPC Data'!$E:$E,Summary!$D448,'BPC Data'!$B:$B,Summary!$C448)</f>
        <v>0</v>
      </c>
      <c r="K448" s="61">
        <f ca="1">SUMIFS(OFFSET('BPC Data'!$F:$F,0,Summary!K$2),'BPC Data'!$E:$E,Summary!$D448,'BPC Data'!$B:$B,Summary!$C448)</f>
        <v>0</v>
      </c>
      <c r="L448" s="54">
        <f ca="1">SUMIFS(OFFSET('BPC Data'!$F:$F,0,Summary!L$2),'BPC Data'!$E:$E,Summary!$D448,'BPC Data'!$B:$B,Summary!$C448)</f>
        <v>0</v>
      </c>
      <c r="M448" s="61">
        <f ca="1">SUMIFS(OFFSET('BPC Data'!$F:$F,0,Summary!M$2),'BPC Data'!$E:$E,Summary!$D448,'BPC Data'!$B:$B,Summary!$C448)</f>
        <v>0</v>
      </c>
      <c r="N448" s="54">
        <f ca="1">SUMIFS(OFFSET('BPC Data'!$F:$F,0,Summary!N$2),'BPC Data'!$E:$E,Summary!$D448,'BPC Data'!$B:$B,Summary!$C448)</f>
        <v>0</v>
      </c>
      <c r="O448" s="18">
        <f t="shared" ca="1" si="70"/>
        <v>0</v>
      </c>
    </row>
    <row r="449" spans="1:15" s="11" customFormat="1" hidden="1" outlineLevel="1" x14ac:dyDescent="0.55000000000000004">
      <c r="A449" s="11">
        <f>IF(AND(D449&lt;&gt;"",C449=""),A448+1,A448)</f>
        <v>41</v>
      </c>
      <c r="B449" s="4"/>
      <c r="C449" s="4"/>
      <c r="D449" s="4" t="str">
        <f t="shared" si="72"/>
        <v>x</v>
      </c>
      <c r="E449" s="4"/>
      <c r="F449" s="13">
        <f>INDEX(PropertyList!$D:$D,MATCH(Summary!$A449,PropertyList!$C:$C,0))</f>
        <v>0</v>
      </c>
      <c r="G449" s="59">
        <f ca="1">SUMIFS(OFFSET('BPC Data'!$F:$F,0,Summary!G$2),'BPC Data'!$E:$E,Summary!$D449,'BPC Data'!$B:$B,Summary!$C449)</f>
        <v>0</v>
      </c>
      <c r="H449" s="52">
        <f ca="1">SUMIFS(OFFSET('BPC Data'!$F:$F,0,Summary!H$2),'BPC Data'!$E:$E,Summary!$D449,'BPC Data'!$B:$B,Summary!$C449)</f>
        <v>0</v>
      </c>
      <c r="I449" s="59">
        <f ca="1">SUMIFS(OFFSET('BPC Data'!$F:$F,0,Summary!I$2),'BPC Data'!$E:$E,Summary!$D449,'BPC Data'!$B:$B,Summary!$C449)</f>
        <v>0</v>
      </c>
      <c r="J449" s="52">
        <f ca="1">SUMIFS(OFFSET('BPC Data'!$F:$F,0,Summary!J$2),'BPC Data'!$E:$E,Summary!$D449,'BPC Data'!$B:$B,Summary!$C449)</f>
        <v>0</v>
      </c>
      <c r="K449" s="59">
        <f ca="1">SUMIFS(OFFSET('BPC Data'!$F:$F,0,Summary!K$2),'BPC Data'!$E:$E,Summary!$D449,'BPC Data'!$B:$B,Summary!$C449)</f>
        <v>0</v>
      </c>
      <c r="L449" s="52">
        <f ca="1">SUMIFS(OFFSET('BPC Data'!$F:$F,0,Summary!L$2),'BPC Data'!$E:$E,Summary!$D449,'BPC Data'!$B:$B,Summary!$C449)</f>
        <v>0</v>
      </c>
      <c r="M449" s="59">
        <f ca="1">SUMIFS(OFFSET('BPC Data'!$F:$F,0,Summary!M$2),'BPC Data'!$E:$E,Summary!$D449,'BPC Data'!$B:$B,Summary!$C449)</f>
        <v>0</v>
      </c>
      <c r="N449" s="52">
        <f ca="1">SUMIFS(OFFSET('BPC Data'!$F:$F,0,Summary!N$2),'BPC Data'!$E:$E,Summary!$D449,'BPC Data'!$B:$B,Summary!$C449)</f>
        <v>0</v>
      </c>
      <c r="O449" s="18">
        <f t="shared" ca="1" si="70"/>
        <v>0</v>
      </c>
    </row>
    <row r="450" spans="1:15" s="11" customFormat="1" hidden="1" outlineLevel="1" x14ac:dyDescent="0.55000000000000004">
      <c r="A450" s="11">
        <f>IF(AND(F450&lt;&gt;"",D450=""),A449+1,A449)</f>
        <v>41</v>
      </c>
      <c r="C450">
        <f>$F449</f>
        <v>0</v>
      </c>
      <c r="D450" s="3" t="str">
        <f t="shared" si="72"/>
        <v>PAY_PAT_DAYS - Total Payor Patient Days</v>
      </c>
      <c r="F450" s="14" t="str">
        <f>_xll.EVDES(D450)</f>
        <v>Total Payor Patient Days</v>
      </c>
      <c r="G450" s="60">
        <f ca="1">SUMIFS(OFFSET('BPC Data'!$F:$F,0,Summary!G$2),'BPC Data'!$E:$E,Summary!$D450,'BPC Data'!$B:$B,Summary!$C450)</f>
        <v>0</v>
      </c>
      <c r="H450" s="53">
        <f ca="1">SUMIFS(OFFSET('BPC Data'!$F:$F,0,Summary!H$2),'BPC Data'!$E:$E,Summary!$D450,'BPC Data'!$B:$B,Summary!$C450)</f>
        <v>0</v>
      </c>
      <c r="I450" s="60">
        <f ca="1">SUMIFS(OFFSET('BPC Data'!$F:$F,0,Summary!I$2),'BPC Data'!$E:$E,Summary!$D450,'BPC Data'!$B:$B,Summary!$C450)</f>
        <v>0</v>
      </c>
      <c r="J450" s="53">
        <f ca="1">SUMIFS(OFFSET('BPC Data'!$F:$F,0,Summary!J$2),'BPC Data'!$E:$E,Summary!$D450,'BPC Data'!$B:$B,Summary!$C450)</f>
        <v>0</v>
      </c>
      <c r="K450" s="60">
        <f ca="1">SUMIFS(OFFSET('BPC Data'!$F:$F,0,Summary!K$2),'BPC Data'!$E:$E,Summary!$D450,'BPC Data'!$B:$B,Summary!$C450)</f>
        <v>0</v>
      </c>
      <c r="L450" s="53">
        <f ca="1">SUMIFS(OFFSET('BPC Data'!$F:$F,0,Summary!L$2),'BPC Data'!$E:$E,Summary!$D450,'BPC Data'!$B:$B,Summary!$C450)</f>
        <v>0</v>
      </c>
      <c r="M450" s="60">
        <f ca="1">SUMIFS(OFFSET('BPC Data'!$F:$F,0,Summary!M$2),'BPC Data'!$E:$E,Summary!$D450,'BPC Data'!$B:$B,Summary!$C450)</f>
        <v>0</v>
      </c>
      <c r="N450" s="53">
        <f ca="1">SUMIFS(OFFSET('BPC Data'!$F:$F,0,Summary!N$2),'BPC Data'!$E:$E,Summary!$D450,'BPC Data'!$B:$B,Summary!$C450)</f>
        <v>0</v>
      </c>
      <c r="O450" s="18">
        <f t="shared" ca="1" si="70"/>
        <v>0</v>
      </c>
    </row>
    <row r="451" spans="1:15" s="11" customFormat="1" hidden="1" outlineLevel="1" x14ac:dyDescent="0.55000000000000004">
      <c r="A451" s="11">
        <f t="shared" ref="A451:A459" si="77">IF(AND(F451&lt;&gt;"",D451=""),A450+1,A450)</f>
        <v>41</v>
      </c>
      <c r="C451">
        <f>$F449</f>
        <v>0</v>
      </c>
      <c r="D451" s="3" t="str">
        <f t="shared" si="72"/>
        <v>A_BEDS_TOTAL - Total Available Beds</v>
      </c>
      <c r="F451" s="14" t="str">
        <f>_xll.EVDES(D451)</f>
        <v>Total Available Beds</v>
      </c>
      <c r="G451" s="60">
        <f ca="1">SUMIFS(OFFSET('BPC Data'!$F:$F,0,Summary!G$2),'BPC Data'!$E:$E,Summary!$D451,'BPC Data'!$B:$B,Summary!$C451)</f>
        <v>0</v>
      </c>
      <c r="H451" s="53">
        <f ca="1">SUMIFS(OFFSET('BPC Data'!$F:$F,0,Summary!H$2),'BPC Data'!$E:$E,Summary!$D451,'BPC Data'!$B:$B,Summary!$C451)</f>
        <v>0</v>
      </c>
      <c r="I451" s="60">
        <f ca="1">SUMIFS(OFFSET('BPC Data'!$F:$F,0,Summary!I$2),'BPC Data'!$E:$E,Summary!$D451,'BPC Data'!$B:$B,Summary!$C451)</f>
        <v>0</v>
      </c>
      <c r="J451" s="53">
        <f ca="1">SUMIFS(OFFSET('BPC Data'!$F:$F,0,Summary!J$2),'BPC Data'!$E:$E,Summary!$D451,'BPC Data'!$B:$B,Summary!$C451)</f>
        <v>0</v>
      </c>
      <c r="K451" s="60">
        <f ca="1">SUMIFS(OFFSET('BPC Data'!$F:$F,0,Summary!K$2),'BPC Data'!$E:$E,Summary!$D451,'BPC Data'!$B:$B,Summary!$C451)</f>
        <v>0</v>
      </c>
      <c r="L451" s="53">
        <f ca="1">SUMIFS(OFFSET('BPC Data'!$F:$F,0,Summary!L$2),'BPC Data'!$E:$E,Summary!$D451,'BPC Data'!$B:$B,Summary!$C451)</f>
        <v>0</v>
      </c>
      <c r="M451" s="60">
        <f ca="1">SUMIFS(OFFSET('BPC Data'!$F:$F,0,Summary!M$2),'BPC Data'!$E:$E,Summary!$D451,'BPC Data'!$B:$B,Summary!$C451)</f>
        <v>0</v>
      </c>
      <c r="N451" s="53">
        <f ca="1">SUMIFS(OFFSET('BPC Data'!$F:$F,0,Summary!N$2),'BPC Data'!$E:$E,Summary!$D451,'BPC Data'!$B:$B,Summary!$C451)</f>
        <v>0</v>
      </c>
      <c r="O451" s="18">
        <f t="shared" ca="1" si="70"/>
        <v>0</v>
      </c>
    </row>
    <row r="452" spans="1:15" s="11" customFormat="1" hidden="1" outlineLevel="1" x14ac:dyDescent="0.55000000000000004">
      <c r="A452" s="11">
        <f t="shared" si="77"/>
        <v>41</v>
      </c>
      <c r="B452"/>
      <c r="C452">
        <f>$F449</f>
        <v>0</v>
      </c>
      <c r="D452" s="3" t="str">
        <f t="shared" si="72"/>
        <v>T_REVENUES - Total Tenant Revenues</v>
      </c>
      <c r="E452"/>
      <c r="F452" s="14" t="str">
        <f>_xll.EVDES(D452)</f>
        <v>Total Tenant Revenues</v>
      </c>
      <c r="G452" s="60">
        <f ca="1">SUMIFS(OFFSET('BPC Data'!$F:$F,0,Summary!G$2),'BPC Data'!$E:$E,Summary!$D452,'BPC Data'!$B:$B,Summary!$C452)</f>
        <v>0</v>
      </c>
      <c r="H452" s="53">
        <f ca="1">SUMIFS(OFFSET('BPC Data'!$F:$F,0,Summary!H$2),'BPC Data'!$E:$E,Summary!$D452,'BPC Data'!$B:$B,Summary!$C452)</f>
        <v>0</v>
      </c>
      <c r="I452" s="60">
        <f ca="1">SUMIFS(OFFSET('BPC Data'!$F:$F,0,Summary!I$2),'BPC Data'!$E:$E,Summary!$D452,'BPC Data'!$B:$B,Summary!$C452)</f>
        <v>0</v>
      </c>
      <c r="J452" s="53">
        <f ca="1">SUMIFS(OFFSET('BPC Data'!$F:$F,0,Summary!J$2),'BPC Data'!$E:$E,Summary!$D452,'BPC Data'!$B:$B,Summary!$C452)</f>
        <v>0</v>
      </c>
      <c r="K452" s="60">
        <f ca="1">SUMIFS(OFFSET('BPC Data'!$F:$F,0,Summary!K$2),'BPC Data'!$E:$E,Summary!$D452,'BPC Data'!$B:$B,Summary!$C452)</f>
        <v>0</v>
      </c>
      <c r="L452" s="53">
        <f ca="1">SUMIFS(OFFSET('BPC Data'!$F:$F,0,Summary!L$2),'BPC Data'!$E:$E,Summary!$D452,'BPC Data'!$B:$B,Summary!$C452)</f>
        <v>0</v>
      </c>
      <c r="M452" s="60">
        <f ca="1">SUMIFS(OFFSET('BPC Data'!$F:$F,0,Summary!M$2),'BPC Data'!$E:$E,Summary!$D452,'BPC Data'!$B:$B,Summary!$C452)</f>
        <v>0</v>
      </c>
      <c r="N452" s="53">
        <f ca="1">SUMIFS(OFFSET('BPC Data'!$F:$F,0,Summary!N$2),'BPC Data'!$E:$E,Summary!$D452,'BPC Data'!$B:$B,Summary!$C452)</f>
        <v>0</v>
      </c>
      <c r="O452" s="18">
        <f t="shared" ca="1" si="70"/>
        <v>0</v>
      </c>
    </row>
    <row r="453" spans="1:15" s="11" customFormat="1" hidden="1" outlineLevel="1" x14ac:dyDescent="0.55000000000000004">
      <c r="A453" s="11">
        <f t="shared" si="77"/>
        <v>41</v>
      </c>
      <c r="B453"/>
      <c r="C453">
        <f>$F449</f>
        <v>0</v>
      </c>
      <c r="D453" s="3" t="str">
        <f t="shared" si="72"/>
        <v>T_OPEX - Tenant Operating Expenses</v>
      </c>
      <c r="E453"/>
      <c r="F453" s="14" t="str">
        <f>_xll.EVDES(D453)</f>
        <v>Tenant Operating Expenses</v>
      </c>
      <c r="G453" s="60">
        <f ca="1">SUMIFS(OFFSET('BPC Data'!$F:$F,0,Summary!G$2),'BPC Data'!$E:$E,Summary!$D453,'BPC Data'!$B:$B,Summary!$C453)</f>
        <v>0</v>
      </c>
      <c r="H453" s="53">
        <f ca="1">SUMIFS(OFFSET('BPC Data'!$F:$F,0,Summary!H$2),'BPC Data'!$E:$E,Summary!$D453,'BPC Data'!$B:$B,Summary!$C453)</f>
        <v>0</v>
      </c>
      <c r="I453" s="60">
        <f ca="1">SUMIFS(OFFSET('BPC Data'!$F:$F,0,Summary!I$2),'BPC Data'!$E:$E,Summary!$D453,'BPC Data'!$B:$B,Summary!$C453)</f>
        <v>0</v>
      </c>
      <c r="J453" s="53">
        <f ca="1">SUMIFS(OFFSET('BPC Data'!$F:$F,0,Summary!J$2),'BPC Data'!$E:$E,Summary!$D453,'BPC Data'!$B:$B,Summary!$C453)</f>
        <v>0</v>
      </c>
      <c r="K453" s="60">
        <f ca="1">SUMIFS(OFFSET('BPC Data'!$F:$F,0,Summary!K$2),'BPC Data'!$E:$E,Summary!$D453,'BPC Data'!$B:$B,Summary!$C453)</f>
        <v>0</v>
      </c>
      <c r="L453" s="53">
        <f ca="1">SUMIFS(OFFSET('BPC Data'!$F:$F,0,Summary!L$2),'BPC Data'!$E:$E,Summary!$D453,'BPC Data'!$B:$B,Summary!$C453)</f>
        <v>0</v>
      </c>
      <c r="M453" s="60">
        <f ca="1">SUMIFS(OFFSET('BPC Data'!$F:$F,0,Summary!M$2),'BPC Data'!$E:$E,Summary!$D453,'BPC Data'!$B:$B,Summary!$C453)</f>
        <v>0</v>
      </c>
      <c r="N453" s="53">
        <f ca="1">SUMIFS(OFFSET('BPC Data'!$F:$F,0,Summary!N$2),'BPC Data'!$E:$E,Summary!$D453,'BPC Data'!$B:$B,Summary!$C453)</f>
        <v>0</v>
      </c>
      <c r="O453" s="18">
        <f t="shared" ca="1" si="70"/>
        <v>0</v>
      </c>
    </row>
    <row r="454" spans="1:15" s="11" customFormat="1" hidden="1" outlineLevel="1" x14ac:dyDescent="0.55000000000000004">
      <c r="A454" s="11">
        <f t="shared" si="77"/>
        <v>41</v>
      </c>
      <c r="B454"/>
      <c r="C454">
        <f>$F449</f>
        <v>0</v>
      </c>
      <c r="D454" s="3" t="str">
        <f t="shared" si="72"/>
        <v>T_BAD_DEBT - Tenant Bad Debt Expense</v>
      </c>
      <c r="E454"/>
      <c r="F454" s="14" t="str">
        <f>_xll.EVDES(D454)</f>
        <v>Tenant Bad Debt Expense</v>
      </c>
      <c r="G454" s="60">
        <f ca="1">SUMIFS(OFFSET('BPC Data'!$F:$F,0,Summary!G$2),'BPC Data'!$E:$E,Summary!$D454,'BPC Data'!$B:$B,Summary!$C454)</f>
        <v>0</v>
      </c>
      <c r="H454" s="53">
        <f ca="1">SUMIFS(OFFSET('BPC Data'!$F:$F,0,Summary!H$2),'BPC Data'!$E:$E,Summary!$D454,'BPC Data'!$B:$B,Summary!$C454)</f>
        <v>0</v>
      </c>
      <c r="I454" s="60">
        <f ca="1">SUMIFS(OFFSET('BPC Data'!$F:$F,0,Summary!I$2),'BPC Data'!$E:$E,Summary!$D454,'BPC Data'!$B:$B,Summary!$C454)</f>
        <v>0</v>
      </c>
      <c r="J454" s="53">
        <f ca="1">SUMIFS(OFFSET('BPC Data'!$F:$F,0,Summary!J$2),'BPC Data'!$E:$E,Summary!$D454,'BPC Data'!$B:$B,Summary!$C454)</f>
        <v>0</v>
      </c>
      <c r="K454" s="60">
        <f ca="1">SUMIFS(OFFSET('BPC Data'!$F:$F,0,Summary!K$2),'BPC Data'!$E:$E,Summary!$D454,'BPC Data'!$B:$B,Summary!$C454)</f>
        <v>0</v>
      </c>
      <c r="L454" s="53">
        <f ca="1">SUMIFS(OFFSET('BPC Data'!$F:$F,0,Summary!L$2),'BPC Data'!$E:$E,Summary!$D454,'BPC Data'!$B:$B,Summary!$C454)</f>
        <v>0</v>
      </c>
      <c r="M454" s="60">
        <f ca="1">SUMIFS(OFFSET('BPC Data'!$F:$F,0,Summary!M$2),'BPC Data'!$E:$E,Summary!$D454,'BPC Data'!$B:$B,Summary!$C454)</f>
        <v>0</v>
      </c>
      <c r="N454" s="53">
        <f ca="1">SUMIFS(OFFSET('BPC Data'!$F:$F,0,Summary!N$2),'BPC Data'!$E:$E,Summary!$D454,'BPC Data'!$B:$B,Summary!$C454)</f>
        <v>0</v>
      </c>
      <c r="O454" s="18">
        <f t="shared" ca="1" si="70"/>
        <v>0</v>
      </c>
    </row>
    <row r="455" spans="1:15" s="11" customFormat="1" hidden="1" outlineLevel="1" x14ac:dyDescent="0.55000000000000004">
      <c r="A455" s="11">
        <f t="shared" si="77"/>
        <v>41</v>
      </c>
      <c r="B455"/>
      <c r="C455">
        <f>$F449</f>
        <v>0</v>
      </c>
      <c r="D455" s="2" t="str">
        <f t="shared" si="72"/>
        <v>T_EBITDARM - EBITDARM</v>
      </c>
      <c r="E455"/>
      <c r="F455" s="14" t="str">
        <f>_xll.EVDES(D455)</f>
        <v>EBITDARM</v>
      </c>
      <c r="G455" s="60">
        <f ca="1">SUMIFS(OFFSET('BPC Data'!$F:$F,0,Summary!G$2),'BPC Data'!$E:$E,Summary!$D455,'BPC Data'!$B:$B,Summary!$C455)</f>
        <v>0</v>
      </c>
      <c r="H455" s="53">
        <f ca="1">SUMIFS(OFFSET('BPC Data'!$F:$F,0,Summary!H$2),'BPC Data'!$E:$E,Summary!$D455,'BPC Data'!$B:$B,Summary!$C455)</f>
        <v>0</v>
      </c>
      <c r="I455" s="60">
        <f ca="1">SUMIFS(OFFSET('BPC Data'!$F:$F,0,Summary!I$2),'BPC Data'!$E:$E,Summary!$D455,'BPC Data'!$B:$B,Summary!$C455)</f>
        <v>0</v>
      </c>
      <c r="J455" s="53">
        <f ca="1">SUMIFS(OFFSET('BPC Data'!$F:$F,0,Summary!J$2),'BPC Data'!$E:$E,Summary!$D455,'BPC Data'!$B:$B,Summary!$C455)</f>
        <v>0</v>
      </c>
      <c r="K455" s="60">
        <f ca="1">SUMIFS(OFFSET('BPC Data'!$F:$F,0,Summary!K$2),'BPC Data'!$E:$E,Summary!$D455,'BPC Data'!$B:$B,Summary!$C455)</f>
        <v>0</v>
      </c>
      <c r="L455" s="53">
        <f ca="1">SUMIFS(OFFSET('BPC Data'!$F:$F,0,Summary!L$2),'BPC Data'!$E:$E,Summary!$D455,'BPC Data'!$B:$B,Summary!$C455)</f>
        <v>0</v>
      </c>
      <c r="M455" s="60">
        <f ca="1">SUMIFS(OFFSET('BPC Data'!$F:$F,0,Summary!M$2),'BPC Data'!$E:$E,Summary!$D455,'BPC Data'!$B:$B,Summary!$C455)</f>
        <v>0</v>
      </c>
      <c r="N455" s="53">
        <f ca="1">SUMIFS(OFFSET('BPC Data'!$F:$F,0,Summary!N$2),'BPC Data'!$E:$E,Summary!$D455,'BPC Data'!$B:$B,Summary!$C455)</f>
        <v>0</v>
      </c>
      <c r="O455" s="18">
        <f t="shared" ca="1" si="70"/>
        <v>0</v>
      </c>
    </row>
    <row r="456" spans="1:15" s="11" customFormat="1" hidden="1" outlineLevel="1" x14ac:dyDescent="0.55000000000000004">
      <c r="A456" s="11">
        <f t="shared" si="77"/>
        <v>41</v>
      </c>
      <c r="B456"/>
      <c r="C456">
        <f>$F449</f>
        <v>0</v>
      </c>
      <c r="D456" s="2" t="str">
        <f t="shared" si="72"/>
        <v>T_MGMT_FEE - Tenant Management Fee - Actual</v>
      </c>
      <c r="E456"/>
      <c r="F456" s="14" t="str">
        <f>_xll.EVDES(D456)</f>
        <v>Tenant Management Fee - Actual</v>
      </c>
      <c r="G456" s="60">
        <f ca="1">SUMIFS(OFFSET('BPC Data'!$F:$F,0,Summary!G$2),'BPC Data'!$E:$E,Summary!$D456,'BPC Data'!$B:$B,Summary!$C456)</f>
        <v>0</v>
      </c>
      <c r="H456" s="53">
        <f ca="1">SUMIFS(OFFSET('BPC Data'!$F:$F,0,Summary!H$2),'BPC Data'!$E:$E,Summary!$D456,'BPC Data'!$B:$B,Summary!$C456)</f>
        <v>0</v>
      </c>
      <c r="I456" s="60">
        <f ca="1">SUMIFS(OFFSET('BPC Data'!$F:$F,0,Summary!I$2),'BPC Data'!$E:$E,Summary!$D456,'BPC Data'!$B:$B,Summary!$C456)</f>
        <v>0</v>
      </c>
      <c r="J456" s="53">
        <f ca="1">SUMIFS(OFFSET('BPC Data'!$F:$F,0,Summary!J$2),'BPC Data'!$E:$E,Summary!$D456,'BPC Data'!$B:$B,Summary!$C456)</f>
        <v>0</v>
      </c>
      <c r="K456" s="60">
        <f ca="1">SUMIFS(OFFSET('BPC Data'!$F:$F,0,Summary!K$2),'BPC Data'!$E:$E,Summary!$D456,'BPC Data'!$B:$B,Summary!$C456)</f>
        <v>0</v>
      </c>
      <c r="L456" s="53">
        <f ca="1">SUMIFS(OFFSET('BPC Data'!$F:$F,0,Summary!L$2),'BPC Data'!$E:$E,Summary!$D456,'BPC Data'!$B:$B,Summary!$C456)</f>
        <v>0</v>
      </c>
      <c r="M456" s="60">
        <f ca="1">SUMIFS(OFFSET('BPC Data'!$F:$F,0,Summary!M$2),'BPC Data'!$E:$E,Summary!$D456,'BPC Data'!$B:$B,Summary!$C456)</f>
        <v>0</v>
      </c>
      <c r="N456" s="53">
        <f ca="1">SUMIFS(OFFSET('BPC Data'!$F:$F,0,Summary!N$2),'BPC Data'!$E:$E,Summary!$D456,'BPC Data'!$B:$B,Summary!$C456)</f>
        <v>0</v>
      </c>
      <c r="O456" s="18">
        <f t="shared" ca="1" si="70"/>
        <v>0</v>
      </c>
    </row>
    <row r="457" spans="1:15" s="11" customFormat="1" hidden="1" outlineLevel="1" x14ac:dyDescent="0.55000000000000004">
      <c r="A457" s="11">
        <f t="shared" si="77"/>
        <v>41</v>
      </c>
      <c r="B457"/>
      <c r="C457">
        <f>$F449</f>
        <v>0</v>
      </c>
      <c r="D457" s="1" t="str">
        <f t="shared" si="72"/>
        <v>T_EBITDAR - EBITDAR</v>
      </c>
      <c r="E457"/>
      <c r="F457" s="14" t="str">
        <f>_xll.EVDES(D457)</f>
        <v>EBITDAR</v>
      </c>
      <c r="G457" s="60">
        <f ca="1">SUMIFS(OFFSET('BPC Data'!$F:$F,0,Summary!G$2),'BPC Data'!$E:$E,Summary!$D457,'BPC Data'!$B:$B,Summary!$C457)</f>
        <v>0</v>
      </c>
      <c r="H457" s="53">
        <f ca="1">SUMIFS(OFFSET('BPC Data'!$F:$F,0,Summary!H$2),'BPC Data'!$E:$E,Summary!$D457,'BPC Data'!$B:$B,Summary!$C457)</f>
        <v>0</v>
      </c>
      <c r="I457" s="60">
        <f ca="1">SUMIFS(OFFSET('BPC Data'!$F:$F,0,Summary!I$2),'BPC Data'!$E:$E,Summary!$D457,'BPC Data'!$B:$B,Summary!$C457)</f>
        <v>0</v>
      </c>
      <c r="J457" s="53">
        <f ca="1">SUMIFS(OFFSET('BPC Data'!$F:$F,0,Summary!J$2),'BPC Data'!$E:$E,Summary!$D457,'BPC Data'!$B:$B,Summary!$C457)</f>
        <v>0</v>
      </c>
      <c r="K457" s="60">
        <f ca="1">SUMIFS(OFFSET('BPC Data'!$F:$F,0,Summary!K$2),'BPC Data'!$E:$E,Summary!$D457,'BPC Data'!$B:$B,Summary!$C457)</f>
        <v>0</v>
      </c>
      <c r="L457" s="53">
        <f ca="1">SUMIFS(OFFSET('BPC Data'!$F:$F,0,Summary!L$2),'BPC Data'!$E:$E,Summary!$D457,'BPC Data'!$B:$B,Summary!$C457)</f>
        <v>0</v>
      </c>
      <c r="M457" s="60">
        <f ca="1">SUMIFS(OFFSET('BPC Data'!$F:$F,0,Summary!M$2),'BPC Data'!$E:$E,Summary!$D457,'BPC Data'!$B:$B,Summary!$C457)</f>
        <v>0</v>
      </c>
      <c r="N457" s="53">
        <f ca="1">SUMIFS(OFFSET('BPC Data'!$F:$F,0,Summary!N$2),'BPC Data'!$E:$E,Summary!$D457,'BPC Data'!$B:$B,Summary!$C457)</f>
        <v>0</v>
      </c>
      <c r="O457" s="18">
        <f t="shared" ref="O457:O520" ca="1" si="78">SUM(G457:N457)</f>
        <v>0</v>
      </c>
    </row>
    <row r="458" spans="1:15" s="11" customFormat="1" hidden="1" outlineLevel="1" x14ac:dyDescent="0.55000000000000004">
      <c r="A458" s="11">
        <f t="shared" si="77"/>
        <v>41</v>
      </c>
      <c r="B458"/>
      <c r="C458">
        <f>$F449</f>
        <v>0</v>
      </c>
      <c r="D458" s="1" t="str">
        <f t="shared" si="72"/>
        <v>T_RENT_EXP - Tenant Rent Expense</v>
      </c>
      <c r="E458"/>
      <c r="F458" s="14" t="str">
        <f>_xll.EVDES(D458)</f>
        <v>Tenant Rent Expense</v>
      </c>
      <c r="G458" s="60">
        <f ca="1">SUMIFS(OFFSET('BPC Data'!$F:$F,0,Summary!G$2),'BPC Data'!$E:$E,Summary!$D458,'BPC Data'!$B:$B,Summary!$C458)</f>
        <v>0</v>
      </c>
      <c r="H458" s="53">
        <f ca="1">SUMIFS(OFFSET('BPC Data'!$F:$F,0,Summary!H$2),'BPC Data'!$E:$E,Summary!$D458,'BPC Data'!$B:$B,Summary!$C458)</f>
        <v>0</v>
      </c>
      <c r="I458" s="60">
        <f ca="1">SUMIFS(OFFSET('BPC Data'!$F:$F,0,Summary!I$2),'BPC Data'!$E:$E,Summary!$D458,'BPC Data'!$B:$B,Summary!$C458)</f>
        <v>0</v>
      </c>
      <c r="J458" s="53">
        <f ca="1">SUMIFS(OFFSET('BPC Data'!$F:$F,0,Summary!J$2),'BPC Data'!$E:$E,Summary!$D458,'BPC Data'!$B:$B,Summary!$C458)</f>
        <v>0</v>
      </c>
      <c r="K458" s="60">
        <f ca="1">SUMIFS(OFFSET('BPC Data'!$F:$F,0,Summary!K$2),'BPC Data'!$E:$E,Summary!$D458,'BPC Data'!$B:$B,Summary!$C458)</f>
        <v>0</v>
      </c>
      <c r="L458" s="53">
        <f ca="1">SUMIFS(OFFSET('BPC Data'!$F:$F,0,Summary!L$2),'BPC Data'!$E:$E,Summary!$D458,'BPC Data'!$B:$B,Summary!$C458)</f>
        <v>0</v>
      </c>
      <c r="M458" s="60">
        <f ca="1">SUMIFS(OFFSET('BPC Data'!$F:$F,0,Summary!M$2),'BPC Data'!$E:$E,Summary!$D458,'BPC Data'!$B:$B,Summary!$C458)</f>
        <v>0</v>
      </c>
      <c r="N458" s="53">
        <f ca="1">SUMIFS(OFFSET('BPC Data'!$F:$F,0,Summary!N$2),'BPC Data'!$E:$E,Summary!$D458,'BPC Data'!$B:$B,Summary!$C458)</f>
        <v>0</v>
      </c>
      <c r="O458" s="18">
        <f t="shared" ca="1" si="78"/>
        <v>0</v>
      </c>
    </row>
    <row r="459" spans="1:15" s="11" customFormat="1" hidden="1" outlineLevel="1" x14ac:dyDescent="0.55000000000000004">
      <c r="A459" s="11">
        <f t="shared" si="77"/>
        <v>41</v>
      </c>
      <c r="B459"/>
      <c r="C459"/>
      <c r="D459" s="1" t="str">
        <f t="shared" si="72"/>
        <v>x</v>
      </c>
      <c r="E459"/>
      <c r="F459" s="14" t="s">
        <v>0</v>
      </c>
      <c r="G459" s="61">
        <f ca="1">SUMIFS(OFFSET('BPC Data'!$F:$F,0,Summary!G$2),'BPC Data'!$E:$E,Summary!$D459,'BPC Data'!$B:$B,Summary!$C459)</f>
        <v>0</v>
      </c>
      <c r="H459" s="54">
        <f ca="1">SUMIFS(OFFSET('BPC Data'!$F:$F,0,Summary!H$2),'BPC Data'!$E:$E,Summary!$D459,'BPC Data'!$B:$B,Summary!$C459)</f>
        <v>0</v>
      </c>
      <c r="I459" s="61">
        <f ca="1">SUMIFS(OFFSET('BPC Data'!$F:$F,0,Summary!I$2),'BPC Data'!$E:$E,Summary!$D459,'BPC Data'!$B:$B,Summary!$C459)</f>
        <v>0</v>
      </c>
      <c r="J459" s="54">
        <f ca="1">SUMIFS(OFFSET('BPC Data'!$F:$F,0,Summary!J$2),'BPC Data'!$E:$E,Summary!$D459,'BPC Data'!$B:$B,Summary!$C459)</f>
        <v>0</v>
      </c>
      <c r="K459" s="61">
        <f ca="1">SUMIFS(OFFSET('BPC Data'!$F:$F,0,Summary!K$2),'BPC Data'!$E:$E,Summary!$D459,'BPC Data'!$B:$B,Summary!$C459)</f>
        <v>0</v>
      </c>
      <c r="L459" s="54">
        <f ca="1">SUMIFS(OFFSET('BPC Data'!$F:$F,0,Summary!L$2),'BPC Data'!$E:$E,Summary!$D459,'BPC Data'!$B:$B,Summary!$C459)</f>
        <v>0</v>
      </c>
      <c r="M459" s="61">
        <f ca="1">SUMIFS(OFFSET('BPC Data'!$F:$F,0,Summary!M$2),'BPC Data'!$E:$E,Summary!$D459,'BPC Data'!$B:$B,Summary!$C459)</f>
        <v>0</v>
      </c>
      <c r="N459" s="54">
        <f ca="1">SUMIFS(OFFSET('BPC Data'!$F:$F,0,Summary!N$2),'BPC Data'!$E:$E,Summary!$D459,'BPC Data'!$B:$B,Summary!$C459)</f>
        <v>0</v>
      </c>
      <c r="O459" s="18">
        <f t="shared" ca="1" si="78"/>
        <v>0</v>
      </c>
    </row>
    <row r="460" spans="1:15" s="11" customFormat="1" hidden="1" outlineLevel="1" x14ac:dyDescent="0.55000000000000004">
      <c r="A460" s="11">
        <f>IF(AND(D460&lt;&gt;"",C460=""),A459+1,A459)</f>
        <v>42</v>
      </c>
      <c r="B460" s="4"/>
      <c r="C460" s="4"/>
      <c r="D460" s="4" t="str">
        <f t="shared" si="72"/>
        <v>x</v>
      </c>
      <c r="E460" s="4"/>
      <c r="F460" s="13">
        <f>INDEX(PropertyList!$D:$D,MATCH(Summary!$A460,PropertyList!$C:$C,0))</f>
        <v>0</v>
      </c>
      <c r="G460" s="59">
        <f ca="1">SUMIFS(OFFSET('BPC Data'!$F:$F,0,Summary!G$2),'BPC Data'!$E:$E,Summary!$D460,'BPC Data'!$B:$B,Summary!$C460)</f>
        <v>0</v>
      </c>
      <c r="H460" s="52">
        <f ca="1">SUMIFS(OFFSET('BPC Data'!$F:$F,0,Summary!H$2),'BPC Data'!$E:$E,Summary!$D460,'BPC Data'!$B:$B,Summary!$C460)</f>
        <v>0</v>
      </c>
      <c r="I460" s="59">
        <f ca="1">SUMIFS(OFFSET('BPC Data'!$F:$F,0,Summary!I$2),'BPC Data'!$E:$E,Summary!$D460,'BPC Data'!$B:$B,Summary!$C460)</f>
        <v>0</v>
      </c>
      <c r="J460" s="52">
        <f ca="1">SUMIFS(OFFSET('BPC Data'!$F:$F,0,Summary!J$2),'BPC Data'!$E:$E,Summary!$D460,'BPC Data'!$B:$B,Summary!$C460)</f>
        <v>0</v>
      </c>
      <c r="K460" s="59">
        <f ca="1">SUMIFS(OFFSET('BPC Data'!$F:$F,0,Summary!K$2),'BPC Data'!$E:$E,Summary!$D460,'BPC Data'!$B:$B,Summary!$C460)</f>
        <v>0</v>
      </c>
      <c r="L460" s="52">
        <f ca="1">SUMIFS(OFFSET('BPC Data'!$F:$F,0,Summary!L$2),'BPC Data'!$E:$E,Summary!$D460,'BPC Data'!$B:$B,Summary!$C460)</f>
        <v>0</v>
      </c>
      <c r="M460" s="59">
        <f ca="1">SUMIFS(OFFSET('BPC Data'!$F:$F,0,Summary!M$2),'BPC Data'!$E:$E,Summary!$D460,'BPC Data'!$B:$B,Summary!$C460)</f>
        <v>0</v>
      </c>
      <c r="N460" s="52">
        <f ca="1">SUMIFS(OFFSET('BPC Data'!$F:$F,0,Summary!N$2),'BPC Data'!$E:$E,Summary!$D460,'BPC Data'!$B:$B,Summary!$C460)</f>
        <v>0</v>
      </c>
      <c r="O460" s="18">
        <f t="shared" ca="1" si="78"/>
        <v>0</v>
      </c>
    </row>
    <row r="461" spans="1:15" s="11" customFormat="1" hidden="1" outlineLevel="1" x14ac:dyDescent="0.55000000000000004">
      <c r="A461" s="11">
        <f>IF(AND(F461&lt;&gt;"",D461=""),A460+1,A460)</f>
        <v>42</v>
      </c>
      <c r="C461">
        <f>$F460</f>
        <v>0</v>
      </c>
      <c r="D461" s="3" t="str">
        <f t="shared" si="72"/>
        <v>PAY_PAT_DAYS - Total Payor Patient Days</v>
      </c>
      <c r="F461" s="14" t="str">
        <f>_xll.EVDES(D461)</f>
        <v>Total Payor Patient Days</v>
      </c>
      <c r="G461" s="60">
        <f ca="1">SUMIFS(OFFSET('BPC Data'!$F:$F,0,Summary!G$2),'BPC Data'!$E:$E,Summary!$D461,'BPC Data'!$B:$B,Summary!$C461)</f>
        <v>0</v>
      </c>
      <c r="H461" s="53">
        <f ca="1">SUMIFS(OFFSET('BPC Data'!$F:$F,0,Summary!H$2),'BPC Data'!$E:$E,Summary!$D461,'BPC Data'!$B:$B,Summary!$C461)</f>
        <v>0</v>
      </c>
      <c r="I461" s="60">
        <f ca="1">SUMIFS(OFFSET('BPC Data'!$F:$F,0,Summary!I$2),'BPC Data'!$E:$E,Summary!$D461,'BPC Data'!$B:$B,Summary!$C461)</f>
        <v>0</v>
      </c>
      <c r="J461" s="53">
        <f ca="1">SUMIFS(OFFSET('BPC Data'!$F:$F,0,Summary!J$2),'BPC Data'!$E:$E,Summary!$D461,'BPC Data'!$B:$B,Summary!$C461)</f>
        <v>0</v>
      </c>
      <c r="K461" s="60">
        <f ca="1">SUMIFS(OFFSET('BPC Data'!$F:$F,0,Summary!K$2),'BPC Data'!$E:$E,Summary!$D461,'BPC Data'!$B:$B,Summary!$C461)</f>
        <v>0</v>
      </c>
      <c r="L461" s="53">
        <f ca="1">SUMIFS(OFFSET('BPC Data'!$F:$F,0,Summary!L$2),'BPC Data'!$E:$E,Summary!$D461,'BPC Data'!$B:$B,Summary!$C461)</f>
        <v>0</v>
      </c>
      <c r="M461" s="60">
        <f ca="1">SUMIFS(OFFSET('BPC Data'!$F:$F,0,Summary!M$2),'BPC Data'!$E:$E,Summary!$D461,'BPC Data'!$B:$B,Summary!$C461)</f>
        <v>0</v>
      </c>
      <c r="N461" s="53">
        <f ca="1">SUMIFS(OFFSET('BPC Data'!$F:$F,0,Summary!N$2),'BPC Data'!$E:$E,Summary!$D461,'BPC Data'!$B:$B,Summary!$C461)</f>
        <v>0</v>
      </c>
      <c r="O461" s="18">
        <f t="shared" ca="1" si="78"/>
        <v>0</v>
      </c>
    </row>
    <row r="462" spans="1:15" s="11" customFormat="1" hidden="1" outlineLevel="1" x14ac:dyDescent="0.55000000000000004">
      <c r="A462" s="11">
        <f t="shared" ref="A462:A470" si="79">IF(AND(F462&lt;&gt;"",D462=""),A461+1,A461)</f>
        <v>42</v>
      </c>
      <c r="C462">
        <f>$F460</f>
        <v>0</v>
      </c>
      <c r="D462" s="3" t="str">
        <f t="shared" si="72"/>
        <v>A_BEDS_TOTAL - Total Available Beds</v>
      </c>
      <c r="F462" s="14" t="str">
        <f>_xll.EVDES(D462)</f>
        <v>Total Available Beds</v>
      </c>
      <c r="G462" s="60">
        <f ca="1">SUMIFS(OFFSET('BPC Data'!$F:$F,0,Summary!G$2),'BPC Data'!$E:$E,Summary!$D462,'BPC Data'!$B:$B,Summary!$C462)</f>
        <v>0</v>
      </c>
      <c r="H462" s="53">
        <f ca="1">SUMIFS(OFFSET('BPC Data'!$F:$F,0,Summary!H$2),'BPC Data'!$E:$E,Summary!$D462,'BPC Data'!$B:$B,Summary!$C462)</f>
        <v>0</v>
      </c>
      <c r="I462" s="60">
        <f ca="1">SUMIFS(OFFSET('BPC Data'!$F:$F,0,Summary!I$2),'BPC Data'!$E:$E,Summary!$D462,'BPC Data'!$B:$B,Summary!$C462)</f>
        <v>0</v>
      </c>
      <c r="J462" s="53">
        <f ca="1">SUMIFS(OFFSET('BPC Data'!$F:$F,0,Summary!J$2),'BPC Data'!$E:$E,Summary!$D462,'BPC Data'!$B:$B,Summary!$C462)</f>
        <v>0</v>
      </c>
      <c r="K462" s="60">
        <f ca="1">SUMIFS(OFFSET('BPC Data'!$F:$F,0,Summary!K$2),'BPC Data'!$E:$E,Summary!$D462,'BPC Data'!$B:$B,Summary!$C462)</f>
        <v>0</v>
      </c>
      <c r="L462" s="53">
        <f ca="1">SUMIFS(OFFSET('BPC Data'!$F:$F,0,Summary!L$2),'BPC Data'!$E:$E,Summary!$D462,'BPC Data'!$B:$B,Summary!$C462)</f>
        <v>0</v>
      </c>
      <c r="M462" s="60">
        <f ca="1">SUMIFS(OFFSET('BPC Data'!$F:$F,0,Summary!M$2),'BPC Data'!$E:$E,Summary!$D462,'BPC Data'!$B:$B,Summary!$C462)</f>
        <v>0</v>
      </c>
      <c r="N462" s="53">
        <f ca="1">SUMIFS(OFFSET('BPC Data'!$F:$F,0,Summary!N$2),'BPC Data'!$E:$E,Summary!$D462,'BPC Data'!$B:$B,Summary!$C462)</f>
        <v>0</v>
      </c>
      <c r="O462" s="18">
        <f t="shared" ca="1" si="78"/>
        <v>0</v>
      </c>
    </row>
    <row r="463" spans="1:15" s="11" customFormat="1" hidden="1" outlineLevel="1" x14ac:dyDescent="0.55000000000000004">
      <c r="A463" s="11">
        <f t="shared" si="79"/>
        <v>42</v>
      </c>
      <c r="B463"/>
      <c r="C463">
        <f>$F460</f>
        <v>0</v>
      </c>
      <c r="D463" s="3" t="str">
        <f t="shared" si="72"/>
        <v>T_REVENUES - Total Tenant Revenues</v>
      </c>
      <c r="E463"/>
      <c r="F463" s="14" t="str">
        <f>_xll.EVDES(D463)</f>
        <v>Total Tenant Revenues</v>
      </c>
      <c r="G463" s="60">
        <f ca="1">SUMIFS(OFFSET('BPC Data'!$F:$F,0,Summary!G$2),'BPC Data'!$E:$E,Summary!$D463,'BPC Data'!$B:$B,Summary!$C463)</f>
        <v>0</v>
      </c>
      <c r="H463" s="53">
        <f ca="1">SUMIFS(OFFSET('BPC Data'!$F:$F,0,Summary!H$2),'BPC Data'!$E:$E,Summary!$D463,'BPC Data'!$B:$B,Summary!$C463)</f>
        <v>0</v>
      </c>
      <c r="I463" s="60">
        <f ca="1">SUMIFS(OFFSET('BPC Data'!$F:$F,0,Summary!I$2),'BPC Data'!$E:$E,Summary!$D463,'BPC Data'!$B:$B,Summary!$C463)</f>
        <v>0</v>
      </c>
      <c r="J463" s="53">
        <f ca="1">SUMIFS(OFFSET('BPC Data'!$F:$F,0,Summary!J$2),'BPC Data'!$E:$E,Summary!$D463,'BPC Data'!$B:$B,Summary!$C463)</f>
        <v>0</v>
      </c>
      <c r="K463" s="60">
        <f ca="1">SUMIFS(OFFSET('BPC Data'!$F:$F,0,Summary!K$2),'BPC Data'!$E:$E,Summary!$D463,'BPC Data'!$B:$B,Summary!$C463)</f>
        <v>0</v>
      </c>
      <c r="L463" s="53">
        <f ca="1">SUMIFS(OFFSET('BPC Data'!$F:$F,0,Summary!L$2),'BPC Data'!$E:$E,Summary!$D463,'BPC Data'!$B:$B,Summary!$C463)</f>
        <v>0</v>
      </c>
      <c r="M463" s="60">
        <f ca="1">SUMIFS(OFFSET('BPC Data'!$F:$F,0,Summary!M$2),'BPC Data'!$E:$E,Summary!$D463,'BPC Data'!$B:$B,Summary!$C463)</f>
        <v>0</v>
      </c>
      <c r="N463" s="53">
        <f ca="1">SUMIFS(OFFSET('BPC Data'!$F:$F,0,Summary!N$2),'BPC Data'!$E:$E,Summary!$D463,'BPC Data'!$B:$B,Summary!$C463)</f>
        <v>0</v>
      </c>
      <c r="O463" s="18">
        <f t="shared" ca="1" si="78"/>
        <v>0</v>
      </c>
    </row>
    <row r="464" spans="1:15" s="11" customFormat="1" hidden="1" outlineLevel="1" x14ac:dyDescent="0.55000000000000004">
      <c r="A464" s="11">
        <f t="shared" si="79"/>
        <v>42</v>
      </c>
      <c r="B464"/>
      <c r="C464">
        <f>$F460</f>
        <v>0</v>
      </c>
      <c r="D464" s="3" t="str">
        <f t="shared" si="72"/>
        <v>T_OPEX - Tenant Operating Expenses</v>
      </c>
      <c r="E464"/>
      <c r="F464" s="14" t="str">
        <f>_xll.EVDES(D464)</f>
        <v>Tenant Operating Expenses</v>
      </c>
      <c r="G464" s="60">
        <f ca="1">SUMIFS(OFFSET('BPC Data'!$F:$F,0,Summary!G$2),'BPC Data'!$E:$E,Summary!$D464,'BPC Data'!$B:$B,Summary!$C464)</f>
        <v>0</v>
      </c>
      <c r="H464" s="53">
        <f ca="1">SUMIFS(OFFSET('BPC Data'!$F:$F,0,Summary!H$2),'BPC Data'!$E:$E,Summary!$D464,'BPC Data'!$B:$B,Summary!$C464)</f>
        <v>0</v>
      </c>
      <c r="I464" s="60">
        <f ca="1">SUMIFS(OFFSET('BPC Data'!$F:$F,0,Summary!I$2),'BPC Data'!$E:$E,Summary!$D464,'BPC Data'!$B:$B,Summary!$C464)</f>
        <v>0</v>
      </c>
      <c r="J464" s="53">
        <f ca="1">SUMIFS(OFFSET('BPC Data'!$F:$F,0,Summary!J$2),'BPC Data'!$E:$E,Summary!$D464,'BPC Data'!$B:$B,Summary!$C464)</f>
        <v>0</v>
      </c>
      <c r="K464" s="60">
        <f ca="1">SUMIFS(OFFSET('BPC Data'!$F:$F,0,Summary!K$2),'BPC Data'!$E:$E,Summary!$D464,'BPC Data'!$B:$B,Summary!$C464)</f>
        <v>0</v>
      </c>
      <c r="L464" s="53">
        <f ca="1">SUMIFS(OFFSET('BPC Data'!$F:$F,0,Summary!L$2),'BPC Data'!$E:$E,Summary!$D464,'BPC Data'!$B:$B,Summary!$C464)</f>
        <v>0</v>
      </c>
      <c r="M464" s="60">
        <f ca="1">SUMIFS(OFFSET('BPC Data'!$F:$F,0,Summary!M$2),'BPC Data'!$E:$E,Summary!$D464,'BPC Data'!$B:$B,Summary!$C464)</f>
        <v>0</v>
      </c>
      <c r="N464" s="53">
        <f ca="1">SUMIFS(OFFSET('BPC Data'!$F:$F,0,Summary!N$2),'BPC Data'!$E:$E,Summary!$D464,'BPC Data'!$B:$B,Summary!$C464)</f>
        <v>0</v>
      </c>
      <c r="O464" s="18">
        <f t="shared" ca="1" si="78"/>
        <v>0</v>
      </c>
    </row>
    <row r="465" spans="1:15" s="11" customFormat="1" hidden="1" outlineLevel="1" x14ac:dyDescent="0.55000000000000004">
      <c r="A465" s="11">
        <f t="shared" si="79"/>
        <v>42</v>
      </c>
      <c r="B465"/>
      <c r="C465">
        <f>$F460</f>
        <v>0</v>
      </c>
      <c r="D465" s="3" t="str">
        <f t="shared" si="72"/>
        <v>T_BAD_DEBT - Tenant Bad Debt Expense</v>
      </c>
      <c r="E465"/>
      <c r="F465" s="14" t="str">
        <f>_xll.EVDES(D465)</f>
        <v>Tenant Bad Debt Expense</v>
      </c>
      <c r="G465" s="60">
        <f ca="1">SUMIFS(OFFSET('BPC Data'!$F:$F,0,Summary!G$2),'BPC Data'!$E:$E,Summary!$D465,'BPC Data'!$B:$B,Summary!$C465)</f>
        <v>0</v>
      </c>
      <c r="H465" s="53">
        <f ca="1">SUMIFS(OFFSET('BPC Data'!$F:$F,0,Summary!H$2),'BPC Data'!$E:$E,Summary!$D465,'BPC Data'!$B:$B,Summary!$C465)</f>
        <v>0</v>
      </c>
      <c r="I465" s="60">
        <f ca="1">SUMIFS(OFFSET('BPC Data'!$F:$F,0,Summary!I$2),'BPC Data'!$E:$E,Summary!$D465,'BPC Data'!$B:$B,Summary!$C465)</f>
        <v>0</v>
      </c>
      <c r="J465" s="53">
        <f ca="1">SUMIFS(OFFSET('BPC Data'!$F:$F,0,Summary!J$2),'BPC Data'!$E:$E,Summary!$D465,'BPC Data'!$B:$B,Summary!$C465)</f>
        <v>0</v>
      </c>
      <c r="K465" s="60">
        <f ca="1">SUMIFS(OFFSET('BPC Data'!$F:$F,0,Summary!K$2),'BPC Data'!$E:$E,Summary!$D465,'BPC Data'!$B:$B,Summary!$C465)</f>
        <v>0</v>
      </c>
      <c r="L465" s="53">
        <f ca="1">SUMIFS(OFFSET('BPC Data'!$F:$F,0,Summary!L$2),'BPC Data'!$E:$E,Summary!$D465,'BPC Data'!$B:$B,Summary!$C465)</f>
        <v>0</v>
      </c>
      <c r="M465" s="60">
        <f ca="1">SUMIFS(OFFSET('BPC Data'!$F:$F,0,Summary!M$2),'BPC Data'!$E:$E,Summary!$D465,'BPC Data'!$B:$B,Summary!$C465)</f>
        <v>0</v>
      </c>
      <c r="N465" s="53">
        <f ca="1">SUMIFS(OFFSET('BPC Data'!$F:$F,0,Summary!N$2),'BPC Data'!$E:$E,Summary!$D465,'BPC Data'!$B:$B,Summary!$C465)</f>
        <v>0</v>
      </c>
      <c r="O465" s="18">
        <f t="shared" ca="1" si="78"/>
        <v>0</v>
      </c>
    </row>
    <row r="466" spans="1:15" s="11" customFormat="1" hidden="1" outlineLevel="1" x14ac:dyDescent="0.55000000000000004">
      <c r="A466" s="11">
        <f t="shared" si="79"/>
        <v>42</v>
      </c>
      <c r="B466"/>
      <c r="C466">
        <f>$F460</f>
        <v>0</v>
      </c>
      <c r="D466" s="2" t="str">
        <f t="shared" si="72"/>
        <v>T_EBITDARM - EBITDARM</v>
      </c>
      <c r="E466"/>
      <c r="F466" s="14" t="str">
        <f>_xll.EVDES(D466)</f>
        <v>EBITDARM</v>
      </c>
      <c r="G466" s="60">
        <f ca="1">SUMIFS(OFFSET('BPC Data'!$F:$F,0,Summary!G$2),'BPC Data'!$E:$E,Summary!$D466,'BPC Data'!$B:$B,Summary!$C466)</f>
        <v>0</v>
      </c>
      <c r="H466" s="53">
        <f ca="1">SUMIFS(OFFSET('BPC Data'!$F:$F,0,Summary!H$2),'BPC Data'!$E:$E,Summary!$D466,'BPC Data'!$B:$B,Summary!$C466)</f>
        <v>0</v>
      </c>
      <c r="I466" s="60">
        <f ca="1">SUMIFS(OFFSET('BPC Data'!$F:$F,0,Summary!I$2),'BPC Data'!$E:$E,Summary!$D466,'BPC Data'!$B:$B,Summary!$C466)</f>
        <v>0</v>
      </c>
      <c r="J466" s="53">
        <f ca="1">SUMIFS(OFFSET('BPC Data'!$F:$F,0,Summary!J$2),'BPC Data'!$E:$E,Summary!$D466,'BPC Data'!$B:$B,Summary!$C466)</f>
        <v>0</v>
      </c>
      <c r="K466" s="60">
        <f ca="1">SUMIFS(OFFSET('BPC Data'!$F:$F,0,Summary!K$2),'BPC Data'!$E:$E,Summary!$D466,'BPC Data'!$B:$B,Summary!$C466)</f>
        <v>0</v>
      </c>
      <c r="L466" s="53">
        <f ca="1">SUMIFS(OFFSET('BPC Data'!$F:$F,0,Summary!L$2),'BPC Data'!$E:$E,Summary!$D466,'BPC Data'!$B:$B,Summary!$C466)</f>
        <v>0</v>
      </c>
      <c r="M466" s="60">
        <f ca="1">SUMIFS(OFFSET('BPC Data'!$F:$F,0,Summary!M$2),'BPC Data'!$E:$E,Summary!$D466,'BPC Data'!$B:$B,Summary!$C466)</f>
        <v>0</v>
      </c>
      <c r="N466" s="53">
        <f ca="1">SUMIFS(OFFSET('BPC Data'!$F:$F,0,Summary!N$2),'BPC Data'!$E:$E,Summary!$D466,'BPC Data'!$B:$B,Summary!$C466)</f>
        <v>0</v>
      </c>
      <c r="O466" s="18">
        <f t="shared" ca="1" si="78"/>
        <v>0</v>
      </c>
    </row>
    <row r="467" spans="1:15" s="11" customFormat="1" hidden="1" outlineLevel="1" x14ac:dyDescent="0.55000000000000004">
      <c r="A467" s="11">
        <f t="shared" si="79"/>
        <v>42</v>
      </c>
      <c r="B467"/>
      <c r="C467">
        <f>$F460</f>
        <v>0</v>
      </c>
      <c r="D467" s="2" t="str">
        <f t="shared" si="72"/>
        <v>T_MGMT_FEE - Tenant Management Fee - Actual</v>
      </c>
      <c r="E467"/>
      <c r="F467" s="14" t="str">
        <f>_xll.EVDES(D467)</f>
        <v>Tenant Management Fee - Actual</v>
      </c>
      <c r="G467" s="60">
        <f ca="1">SUMIFS(OFFSET('BPC Data'!$F:$F,0,Summary!G$2),'BPC Data'!$E:$E,Summary!$D467,'BPC Data'!$B:$B,Summary!$C467)</f>
        <v>0</v>
      </c>
      <c r="H467" s="53">
        <f ca="1">SUMIFS(OFFSET('BPC Data'!$F:$F,0,Summary!H$2),'BPC Data'!$E:$E,Summary!$D467,'BPC Data'!$B:$B,Summary!$C467)</f>
        <v>0</v>
      </c>
      <c r="I467" s="60">
        <f ca="1">SUMIFS(OFFSET('BPC Data'!$F:$F,0,Summary!I$2),'BPC Data'!$E:$E,Summary!$D467,'BPC Data'!$B:$B,Summary!$C467)</f>
        <v>0</v>
      </c>
      <c r="J467" s="53">
        <f ca="1">SUMIFS(OFFSET('BPC Data'!$F:$F,0,Summary!J$2),'BPC Data'!$E:$E,Summary!$D467,'BPC Data'!$B:$B,Summary!$C467)</f>
        <v>0</v>
      </c>
      <c r="K467" s="60">
        <f ca="1">SUMIFS(OFFSET('BPC Data'!$F:$F,0,Summary!K$2),'BPC Data'!$E:$E,Summary!$D467,'BPC Data'!$B:$B,Summary!$C467)</f>
        <v>0</v>
      </c>
      <c r="L467" s="53">
        <f ca="1">SUMIFS(OFFSET('BPC Data'!$F:$F,0,Summary!L$2),'BPC Data'!$E:$E,Summary!$D467,'BPC Data'!$B:$B,Summary!$C467)</f>
        <v>0</v>
      </c>
      <c r="M467" s="60">
        <f ca="1">SUMIFS(OFFSET('BPC Data'!$F:$F,0,Summary!M$2),'BPC Data'!$E:$E,Summary!$D467,'BPC Data'!$B:$B,Summary!$C467)</f>
        <v>0</v>
      </c>
      <c r="N467" s="53">
        <f ca="1">SUMIFS(OFFSET('BPC Data'!$F:$F,0,Summary!N$2),'BPC Data'!$E:$E,Summary!$D467,'BPC Data'!$B:$B,Summary!$C467)</f>
        <v>0</v>
      </c>
      <c r="O467" s="18">
        <f t="shared" ca="1" si="78"/>
        <v>0</v>
      </c>
    </row>
    <row r="468" spans="1:15" s="11" customFormat="1" hidden="1" outlineLevel="1" x14ac:dyDescent="0.55000000000000004">
      <c r="A468" s="11">
        <f t="shared" si="79"/>
        <v>42</v>
      </c>
      <c r="B468"/>
      <c r="C468">
        <f>$F460</f>
        <v>0</v>
      </c>
      <c r="D468" s="1" t="str">
        <f t="shared" si="72"/>
        <v>T_EBITDAR - EBITDAR</v>
      </c>
      <c r="E468"/>
      <c r="F468" s="14" t="str">
        <f>_xll.EVDES(D468)</f>
        <v>EBITDAR</v>
      </c>
      <c r="G468" s="60">
        <f ca="1">SUMIFS(OFFSET('BPC Data'!$F:$F,0,Summary!G$2),'BPC Data'!$E:$E,Summary!$D468,'BPC Data'!$B:$B,Summary!$C468)</f>
        <v>0</v>
      </c>
      <c r="H468" s="53">
        <f ca="1">SUMIFS(OFFSET('BPC Data'!$F:$F,0,Summary!H$2),'BPC Data'!$E:$E,Summary!$D468,'BPC Data'!$B:$B,Summary!$C468)</f>
        <v>0</v>
      </c>
      <c r="I468" s="60">
        <f ca="1">SUMIFS(OFFSET('BPC Data'!$F:$F,0,Summary!I$2),'BPC Data'!$E:$E,Summary!$D468,'BPC Data'!$B:$B,Summary!$C468)</f>
        <v>0</v>
      </c>
      <c r="J468" s="53">
        <f ca="1">SUMIFS(OFFSET('BPC Data'!$F:$F,0,Summary!J$2),'BPC Data'!$E:$E,Summary!$D468,'BPC Data'!$B:$B,Summary!$C468)</f>
        <v>0</v>
      </c>
      <c r="K468" s="60">
        <f ca="1">SUMIFS(OFFSET('BPC Data'!$F:$F,0,Summary!K$2),'BPC Data'!$E:$E,Summary!$D468,'BPC Data'!$B:$B,Summary!$C468)</f>
        <v>0</v>
      </c>
      <c r="L468" s="53">
        <f ca="1">SUMIFS(OFFSET('BPC Data'!$F:$F,0,Summary!L$2),'BPC Data'!$E:$E,Summary!$D468,'BPC Data'!$B:$B,Summary!$C468)</f>
        <v>0</v>
      </c>
      <c r="M468" s="60">
        <f ca="1">SUMIFS(OFFSET('BPC Data'!$F:$F,0,Summary!M$2),'BPC Data'!$E:$E,Summary!$D468,'BPC Data'!$B:$B,Summary!$C468)</f>
        <v>0</v>
      </c>
      <c r="N468" s="53">
        <f ca="1">SUMIFS(OFFSET('BPC Data'!$F:$F,0,Summary!N$2),'BPC Data'!$E:$E,Summary!$D468,'BPC Data'!$B:$B,Summary!$C468)</f>
        <v>0</v>
      </c>
      <c r="O468" s="18">
        <f t="shared" ca="1" si="78"/>
        <v>0</v>
      </c>
    </row>
    <row r="469" spans="1:15" s="11" customFormat="1" hidden="1" outlineLevel="1" x14ac:dyDescent="0.55000000000000004">
      <c r="A469" s="11">
        <f t="shared" si="79"/>
        <v>42</v>
      </c>
      <c r="B469"/>
      <c r="C469">
        <f>$F460</f>
        <v>0</v>
      </c>
      <c r="D469" s="1" t="str">
        <f t="shared" si="72"/>
        <v>T_RENT_EXP - Tenant Rent Expense</v>
      </c>
      <c r="E469"/>
      <c r="F469" s="14" t="str">
        <f>_xll.EVDES(D469)</f>
        <v>Tenant Rent Expense</v>
      </c>
      <c r="G469" s="60">
        <f ca="1">SUMIFS(OFFSET('BPC Data'!$F:$F,0,Summary!G$2),'BPC Data'!$E:$E,Summary!$D469,'BPC Data'!$B:$B,Summary!$C469)</f>
        <v>0</v>
      </c>
      <c r="H469" s="53">
        <f ca="1">SUMIFS(OFFSET('BPC Data'!$F:$F,0,Summary!H$2),'BPC Data'!$E:$E,Summary!$D469,'BPC Data'!$B:$B,Summary!$C469)</f>
        <v>0</v>
      </c>
      <c r="I469" s="60">
        <f ca="1">SUMIFS(OFFSET('BPC Data'!$F:$F,0,Summary!I$2),'BPC Data'!$E:$E,Summary!$D469,'BPC Data'!$B:$B,Summary!$C469)</f>
        <v>0</v>
      </c>
      <c r="J469" s="53">
        <f ca="1">SUMIFS(OFFSET('BPC Data'!$F:$F,0,Summary!J$2),'BPC Data'!$E:$E,Summary!$D469,'BPC Data'!$B:$B,Summary!$C469)</f>
        <v>0</v>
      </c>
      <c r="K469" s="60">
        <f ca="1">SUMIFS(OFFSET('BPC Data'!$F:$F,0,Summary!K$2),'BPC Data'!$E:$E,Summary!$D469,'BPC Data'!$B:$B,Summary!$C469)</f>
        <v>0</v>
      </c>
      <c r="L469" s="53">
        <f ca="1">SUMIFS(OFFSET('BPC Data'!$F:$F,0,Summary!L$2),'BPC Data'!$E:$E,Summary!$D469,'BPC Data'!$B:$B,Summary!$C469)</f>
        <v>0</v>
      </c>
      <c r="M469" s="60">
        <f ca="1">SUMIFS(OFFSET('BPC Data'!$F:$F,0,Summary!M$2),'BPC Data'!$E:$E,Summary!$D469,'BPC Data'!$B:$B,Summary!$C469)</f>
        <v>0</v>
      </c>
      <c r="N469" s="53">
        <f ca="1">SUMIFS(OFFSET('BPC Data'!$F:$F,0,Summary!N$2),'BPC Data'!$E:$E,Summary!$D469,'BPC Data'!$B:$B,Summary!$C469)</f>
        <v>0</v>
      </c>
      <c r="O469" s="18">
        <f t="shared" ca="1" si="78"/>
        <v>0</v>
      </c>
    </row>
    <row r="470" spans="1:15" s="11" customFormat="1" hidden="1" outlineLevel="1" x14ac:dyDescent="0.55000000000000004">
      <c r="A470" s="11">
        <f t="shared" si="79"/>
        <v>42</v>
      </c>
      <c r="B470"/>
      <c r="C470"/>
      <c r="D470" s="1" t="str">
        <f t="shared" ref="D470:D533" si="80">$D459</f>
        <v>x</v>
      </c>
      <c r="E470"/>
      <c r="F470" s="14" t="s">
        <v>0</v>
      </c>
      <c r="G470" s="61">
        <f ca="1">SUMIFS(OFFSET('BPC Data'!$F:$F,0,Summary!G$2),'BPC Data'!$E:$E,Summary!$D470,'BPC Data'!$B:$B,Summary!$C470)</f>
        <v>0</v>
      </c>
      <c r="H470" s="54">
        <f ca="1">SUMIFS(OFFSET('BPC Data'!$F:$F,0,Summary!H$2),'BPC Data'!$E:$E,Summary!$D470,'BPC Data'!$B:$B,Summary!$C470)</f>
        <v>0</v>
      </c>
      <c r="I470" s="61">
        <f ca="1">SUMIFS(OFFSET('BPC Data'!$F:$F,0,Summary!I$2),'BPC Data'!$E:$E,Summary!$D470,'BPC Data'!$B:$B,Summary!$C470)</f>
        <v>0</v>
      </c>
      <c r="J470" s="54">
        <f ca="1">SUMIFS(OFFSET('BPC Data'!$F:$F,0,Summary!J$2),'BPC Data'!$E:$E,Summary!$D470,'BPC Data'!$B:$B,Summary!$C470)</f>
        <v>0</v>
      </c>
      <c r="K470" s="61">
        <f ca="1">SUMIFS(OFFSET('BPC Data'!$F:$F,0,Summary!K$2),'BPC Data'!$E:$E,Summary!$D470,'BPC Data'!$B:$B,Summary!$C470)</f>
        <v>0</v>
      </c>
      <c r="L470" s="54">
        <f ca="1">SUMIFS(OFFSET('BPC Data'!$F:$F,0,Summary!L$2),'BPC Data'!$E:$E,Summary!$D470,'BPC Data'!$B:$B,Summary!$C470)</f>
        <v>0</v>
      </c>
      <c r="M470" s="61">
        <f ca="1">SUMIFS(OFFSET('BPC Data'!$F:$F,0,Summary!M$2),'BPC Data'!$E:$E,Summary!$D470,'BPC Data'!$B:$B,Summary!$C470)</f>
        <v>0</v>
      </c>
      <c r="N470" s="54">
        <f ca="1">SUMIFS(OFFSET('BPC Data'!$F:$F,0,Summary!N$2),'BPC Data'!$E:$E,Summary!$D470,'BPC Data'!$B:$B,Summary!$C470)</f>
        <v>0</v>
      </c>
      <c r="O470" s="18">
        <f t="shared" ca="1" si="78"/>
        <v>0</v>
      </c>
    </row>
    <row r="471" spans="1:15" s="11" customFormat="1" hidden="1" outlineLevel="1" x14ac:dyDescent="0.55000000000000004">
      <c r="A471" s="11">
        <f>IF(AND(D471&lt;&gt;"",C471=""),A470+1,A470)</f>
        <v>43</v>
      </c>
      <c r="B471" s="4"/>
      <c r="C471" s="4"/>
      <c r="D471" s="4" t="str">
        <f t="shared" si="80"/>
        <v>x</v>
      </c>
      <c r="E471" s="4"/>
      <c r="F471" s="13">
        <f>INDEX(PropertyList!$D:$D,MATCH(Summary!$A471,PropertyList!$C:$C,0))</f>
        <v>0</v>
      </c>
      <c r="G471" s="59">
        <f ca="1">SUMIFS(OFFSET('BPC Data'!$F:$F,0,Summary!G$2),'BPC Data'!$E:$E,Summary!$D471,'BPC Data'!$B:$B,Summary!$C471)</f>
        <v>0</v>
      </c>
      <c r="H471" s="52">
        <f ca="1">SUMIFS(OFFSET('BPC Data'!$F:$F,0,Summary!H$2),'BPC Data'!$E:$E,Summary!$D471,'BPC Data'!$B:$B,Summary!$C471)</f>
        <v>0</v>
      </c>
      <c r="I471" s="59">
        <f ca="1">SUMIFS(OFFSET('BPC Data'!$F:$F,0,Summary!I$2),'BPC Data'!$E:$E,Summary!$D471,'BPC Data'!$B:$B,Summary!$C471)</f>
        <v>0</v>
      </c>
      <c r="J471" s="52">
        <f ca="1">SUMIFS(OFFSET('BPC Data'!$F:$F,0,Summary!J$2),'BPC Data'!$E:$E,Summary!$D471,'BPC Data'!$B:$B,Summary!$C471)</f>
        <v>0</v>
      </c>
      <c r="K471" s="59">
        <f ca="1">SUMIFS(OFFSET('BPC Data'!$F:$F,0,Summary!K$2),'BPC Data'!$E:$E,Summary!$D471,'BPC Data'!$B:$B,Summary!$C471)</f>
        <v>0</v>
      </c>
      <c r="L471" s="52">
        <f ca="1">SUMIFS(OFFSET('BPC Data'!$F:$F,0,Summary!L$2),'BPC Data'!$E:$E,Summary!$D471,'BPC Data'!$B:$B,Summary!$C471)</f>
        <v>0</v>
      </c>
      <c r="M471" s="59">
        <f ca="1">SUMIFS(OFFSET('BPC Data'!$F:$F,0,Summary!M$2),'BPC Data'!$E:$E,Summary!$D471,'BPC Data'!$B:$B,Summary!$C471)</f>
        <v>0</v>
      </c>
      <c r="N471" s="52">
        <f ca="1">SUMIFS(OFFSET('BPC Data'!$F:$F,0,Summary!N$2),'BPC Data'!$E:$E,Summary!$D471,'BPC Data'!$B:$B,Summary!$C471)</f>
        <v>0</v>
      </c>
      <c r="O471" s="18">
        <f t="shared" ca="1" si="78"/>
        <v>0</v>
      </c>
    </row>
    <row r="472" spans="1:15" s="11" customFormat="1" hidden="1" outlineLevel="1" x14ac:dyDescent="0.55000000000000004">
      <c r="A472" s="11">
        <f>IF(AND(F472&lt;&gt;"",D472=""),A471+1,A471)</f>
        <v>43</v>
      </c>
      <c r="C472">
        <f>$F471</f>
        <v>0</v>
      </c>
      <c r="D472" s="3" t="str">
        <f t="shared" si="80"/>
        <v>PAY_PAT_DAYS - Total Payor Patient Days</v>
      </c>
      <c r="F472" s="14" t="str">
        <f>_xll.EVDES(D472)</f>
        <v>Total Payor Patient Days</v>
      </c>
      <c r="G472" s="60">
        <f ca="1">SUMIFS(OFFSET('BPC Data'!$F:$F,0,Summary!G$2),'BPC Data'!$E:$E,Summary!$D472,'BPC Data'!$B:$B,Summary!$C472)</f>
        <v>0</v>
      </c>
      <c r="H472" s="53">
        <f ca="1">SUMIFS(OFFSET('BPC Data'!$F:$F,0,Summary!H$2),'BPC Data'!$E:$E,Summary!$D472,'BPC Data'!$B:$B,Summary!$C472)</f>
        <v>0</v>
      </c>
      <c r="I472" s="60">
        <f ca="1">SUMIFS(OFFSET('BPC Data'!$F:$F,0,Summary!I$2),'BPC Data'!$E:$E,Summary!$D472,'BPC Data'!$B:$B,Summary!$C472)</f>
        <v>0</v>
      </c>
      <c r="J472" s="53">
        <f ca="1">SUMIFS(OFFSET('BPC Data'!$F:$F,0,Summary!J$2),'BPC Data'!$E:$E,Summary!$D472,'BPC Data'!$B:$B,Summary!$C472)</f>
        <v>0</v>
      </c>
      <c r="K472" s="60">
        <f ca="1">SUMIFS(OFFSET('BPC Data'!$F:$F,0,Summary!K$2),'BPC Data'!$E:$E,Summary!$D472,'BPC Data'!$B:$B,Summary!$C472)</f>
        <v>0</v>
      </c>
      <c r="L472" s="53">
        <f ca="1">SUMIFS(OFFSET('BPC Data'!$F:$F,0,Summary!L$2),'BPC Data'!$E:$E,Summary!$D472,'BPC Data'!$B:$B,Summary!$C472)</f>
        <v>0</v>
      </c>
      <c r="M472" s="60">
        <f ca="1">SUMIFS(OFFSET('BPC Data'!$F:$F,0,Summary!M$2),'BPC Data'!$E:$E,Summary!$D472,'BPC Data'!$B:$B,Summary!$C472)</f>
        <v>0</v>
      </c>
      <c r="N472" s="53">
        <f ca="1">SUMIFS(OFFSET('BPC Data'!$F:$F,0,Summary!N$2),'BPC Data'!$E:$E,Summary!$D472,'BPC Data'!$B:$B,Summary!$C472)</f>
        <v>0</v>
      </c>
      <c r="O472" s="18">
        <f t="shared" ca="1" si="78"/>
        <v>0</v>
      </c>
    </row>
    <row r="473" spans="1:15" s="11" customFormat="1" hidden="1" outlineLevel="1" x14ac:dyDescent="0.55000000000000004">
      <c r="A473" s="11">
        <f t="shared" ref="A473:A481" si="81">IF(AND(F473&lt;&gt;"",D473=""),A472+1,A472)</f>
        <v>43</v>
      </c>
      <c r="C473">
        <f>$F471</f>
        <v>0</v>
      </c>
      <c r="D473" s="3" t="str">
        <f t="shared" si="80"/>
        <v>A_BEDS_TOTAL - Total Available Beds</v>
      </c>
      <c r="F473" s="14" t="str">
        <f>_xll.EVDES(D473)</f>
        <v>Total Available Beds</v>
      </c>
      <c r="G473" s="60">
        <f ca="1">SUMIFS(OFFSET('BPC Data'!$F:$F,0,Summary!G$2),'BPC Data'!$E:$E,Summary!$D473,'BPC Data'!$B:$B,Summary!$C473)</f>
        <v>0</v>
      </c>
      <c r="H473" s="53">
        <f ca="1">SUMIFS(OFFSET('BPC Data'!$F:$F,0,Summary!H$2),'BPC Data'!$E:$E,Summary!$D473,'BPC Data'!$B:$B,Summary!$C473)</f>
        <v>0</v>
      </c>
      <c r="I473" s="60">
        <f ca="1">SUMIFS(OFFSET('BPC Data'!$F:$F,0,Summary!I$2),'BPC Data'!$E:$E,Summary!$D473,'BPC Data'!$B:$B,Summary!$C473)</f>
        <v>0</v>
      </c>
      <c r="J473" s="53">
        <f ca="1">SUMIFS(OFFSET('BPC Data'!$F:$F,0,Summary!J$2),'BPC Data'!$E:$E,Summary!$D473,'BPC Data'!$B:$B,Summary!$C473)</f>
        <v>0</v>
      </c>
      <c r="K473" s="60">
        <f ca="1">SUMIFS(OFFSET('BPC Data'!$F:$F,0,Summary!K$2),'BPC Data'!$E:$E,Summary!$D473,'BPC Data'!$B:$B,Summary!$C473)</f>
        <v>0</v>
      </c>
      <c r="L473" s="53">
        <f ca="1">SUMIFS(OFFSET('BPC Data'!$F:$F,0,Summary!L$2),'BPC Data'!$E:$E,Summary!$D473,'BPC Data'!$B:$B,Summary!$C473)</f>
        <v>0</v>
      </c>
      <c r="M473" s="60">
        <f ca="1">SUMIFS(OFFSET('BPC Data'!$F:$F,0,Summary!M$2),'BPC Data'!$E:$E,Summary!$D473,'BPC Data'!$B:$B,Summary!$C473)</f>
        <v>0</v>
      </c>
      <c r="N473" s="53">
        <f ca="1">SUMIFS(OFFSET('BPC Data'!$F:$F,0,Summary!N$2),'BPC Data'!$E:$E,Summary!$D473,'BPC Data'!$B:$B,Summary!$C473)</f>
        <v>0</v>
      </c>
      <c r="O473" s="18">
        <f t="shared" ca="1" si="78"/>
        <v>0</v>
      </c>
    </row>
    <row r="474" spans="1:15" s="11" customFormat="1" hidden="1" outlineLevel="1" x14ac:dyDescent="0.55000000000000004">
      <c r="A474" s="11">
        <f t="shared" si="81"/>
        <v>43</v>
      </c>
      <c r="B474"/>
      <c r="C474">
        <f>$F471</f>
        <v>0</v>
      </c>
      <c r="D474" s="3" t="str">
        <f t="shared" si="80"/>
        <v>T_REVENUES - Total Tenant Revenues</v>
      </c>
      <c r="E474"/>
      <c r="F474" s="14" t="str">
        <f>_xll.EVDES(D474)</f>
        <v>Total Tenant Revenues</v>
      </c>
      <c r="G474" s="60">
        <f ca="1">SUMIFS(OFFSET('BPC Data'!$F:$F,0,Summary!G$2),'BPC Data'!$E:$E,Summary!$D474,'BPC Data'!$B:$B,Summary!$C474)</f>
        <v>0</v>
      </c>
      <c r="H474" s="53">
        <f ca="1">SUMIFS(OFFSET('BPC Data'!$F:$F,0,Summary!H$2),'BPC Data'!$E:$E,Summary!$D474,'BPC Data'!$B:$B,Summary!$C474)</f>
        <v>0</v>
      </c>
      <c r="I474" s="60">
        <f ca="1">SUMIFS(OFFSET('BPC Data'!$F:$F,0,Summary!I$2),'BPC Data'!$E:$E,Summary!$D474,'BPC Data'!$B:$B,Summary!$C474)</f>
        <v>0</v>
      </c>
      <c r="J474" s="53">
        <f ca="1">SUMIFS(OFFSET('BPC Data'!$F:$F,0,Summary!J$2),'BPC Data'!$E:$E,Summary!$D474,'BPC Data'!$B:$B,Summary!$C474)</f>
        <v>0</v>
      </c>
      <c r="K474" s="60">
        <f ca="1">SUMIFS(OFFSET('BPC Data'!$F:$F,0,Summary!K$2),'BPC Data'!$E:$E,Summary!$D474,'BPC Data'!$B:$B,Summary!$C474)</f>
        <v>0</v>
      </c>
      <c r="L474" s="53">
        <f ca="1">SUMIFS(OFFSET('BPC Data'!$F:$F,0,Summary!L$2),'BPC Data'!$E:$E,Summary!$D474,'BPC Data'!$B:$B,Summary!$C474)</f>
        <v>0</v>
      </c>
      <c r="M474" s="60">
        <f ca="1">SUMIFS(OFFSET('BPC Data'!$F:$F,0,Summary!M$2),'BPC Data'!$E:$E,Summary!$D474,'BPC Data'!$B:$B,Summary!$C474)</f>
        <v>0</v>
      </c>
      <c r="N474" s="53">
        <f ca="1">SUMIFS(OFFSET('BPC Data'!$F:$F,0,Summary!N$2),'BPC Data'!$E:$E,Summary!$D474,'BPC Data'!$B:$B,Summary!$C474)</f>
        <v>0</v>
      </c>
      <c r="O474" s="18">
        <f t="shared" ca="1" si="78"/>
        <v>0</v>
      </c>
    </row>
    <row r="475" spans="1:15" s="11" customFormat="1" hidden="1" outlineLevel="1" x14ac:dyDescent="0.55000000000000004">
      <c r="A475" s="11">
        <f t="shared" si="81"/>
        <v>43</v>
      </c>
      <c r="B475"/>
      <c r="C475">
        <f>$F471</f>
        <v>0</v>
      </c>
      <c r="D475" s="3" t="str">
        <f t="shared" si="80"/>
        <v>T_OPEX - Tenant Operating Expenses</v>
      </c>
      <c r="E475"/>
      <c r="F475" s="14" t="str">
        <f>_xll.EVDES(D475)</f>
        <v>Tenant Operating Expenses</v>
      </c>
      <c r="G475" s="60">
        <f ca="1">SUMIFS(OFFSET('BPC Data'!$F:$F,0,Summary!G$2),'BPC Data'!$E:$E,Summary!$D475,'BPC Data'!$B:$B,Summary!$C475)</f>
        <v>0</v>
      </c>
      <c r="H475" s="53">
        <f ca="1">SUMIFS(OFFSET('BPC Data'!$F:$F,0,Summary!H$2),'BPC Data'!$E:$E,Summary!$D475,'BPC Data'!$B:$B,Summary!$C475)</f>
        <v>0</v>
      </c>
      <c r="I475" s="60">
        <f ca="1">SUMIFS(OFFSET('BPC Data'!$F:$F,0,Summary!I$2),'BPC Data'!$E:$E,Summary!$D475,'BPC Data'!$B:$B,Summary!$C475)</f>
        <v>0</v>
      </c>
      <c r="J475" s="53">
        <f ca="1">SUMIFS(OFFSET('BPC Data'!$F:$F,0,Summary!J$2),'BPC Data'!$E:$E,Summary!$D475,'BPC Data'!$B:$B,Summary!$C475)</f>
        <v>0</v>
      </c>
      <c r="K475" s="60">
        <f ca="1">SUMIFS(OFFSET('BPC Data'!$F:$F,0,Summary!K$2),'BPC Data'!$E:$E,Summary!$D475,'BPC Data'!$B:$B,Summary!$C475)</f>
        <v>0</v>
      </c>
      <c r="L475" s="53">
        <f ca="1">SUMIFS(OFFSET('BPC Data'!$F:$F,0,Summary!L$2),'BPC Data'!$E:$E,Summary!$D475,'BPC Data'!$B:$B,Summary!$C475)</f>
        <v>0</v>
      </c>
      <c r="M475" s="60">
        <f ca="1">SUMIFS(OFFSET('BPC Data'!$F:$F,0,Summary!M$2),'BPC Data'!$E:$E,Summary!$D475,'BPC Data'!$B:$B,Summary!$C475)</f>
        <v>0</v>
      </c>
      <c r="N475" s="53">
        <f ca="1">SUMIFS(OFFSET('BPC Data'!$F:$F,0,Summary!N$2),'BPC Data'!$E:$E,Summary!$D475,'BPC Data'!$B:$B,Summary!$C475)</f>
        <v>0</v>
      </c>
      <c r="O475" s="18">
        <f t="shared" ca="1" si="78"/>
        <v>0</v>
      </c>
    </row>
    <row r="476" spans="1:15" s="11" customFormat="1" hidden="1" outlineLevel="1" x14ac:dyDescent="0.55000000000000004">
      <c r="A476" s="11">
        <f t="shared" si="81"/>
        <v>43</v>
      </c>
      <c r="B476"/>
      <c r="C476">
        <f>$F471</f>
        <v>0</v>
      </c>
      <c r="D476" s="3" t="str">
        <f t="shared" si="80"/>
        <v>T_BAD_DEBT - Tenant Bad Debt Expense</v>
      </c>
      <c r="E476"/>
      <c r="F476" s="14" t="str">
        <f>_xll.EVDES(D476)</f>
        <v>Tenant Bad Debt Expense</v>
      </c>
      <c r="G476" s="60">
        <f ca="1">SUMIFS(OFFSET('BPC Data'!$F:$F,0,Summary!G$2),'BPC Data'!$E:$E,Summary!$D476,'BPC Data'!$B:$B,Summary!$C476)</f>
        <v>0</v>
      </c>
      <c r="H476" s="53">
        <f ca="1">SUMIFS(OFFSET('BPC Data'!$F:$F,0,Summary!H$2),'BPC Data'!$E:$E,Summary!$D476,'BPC Data'!$B:$B,Summary!$C476)</f>
        <v>0</v>
      </c>
      <c r="I476" s="60">
        <f ca="1">SUMIFS(OFFSET('BPC Data'!$F:$F,0,Summary!I$2),'BPC Data'!$E:$E,Summary!$D476,'BPC Data'!$B:$B,Summary!$C476)</f>
        <v>0</v>
      </c>
      <c r="J476" s="53">
        <f ca="1">SUMIFS(OFFSET('BPC Data'!$F:$F,0,Summary!J$2),'BPC Data'!$E:$E,Summary!$D476,'BPC Data'!$B:$B,Summary!$C476)</f>
        <v>0</v>
      </c>
      <c r="K476" s="60">
        <f ca="1">SUMIFS(OFFSET('BPC Data'!$F:$F,0,Summary!K$2),'BPC Data'!$E:$E,Summary!$D476,'BPC Data'!$B:$B,Summary!$C476)</f>
        <v>0</v>
      </c>
      <c r="L476" s="53">
        <f ca="1">SUMIFS(OFFSET('BPC Data'!$F:$F,0,Summary!L$2),'BPC Data'!$E:$E,Summary!$D476,'BPC Data'!$B:$B,Summary!$C476)</f>
        <v>0</v>
      </c>
      <c r="M476" s="60">
        <f ca="1">SUMIFS(OFFSET('BPC Data'!$F:$F,0,Summary!M$2),'BPC Data'!$E:$E,Summary!$D476,'BPC Data'!$B:$B,Summary!$C476)</f>
        <v>0</v>
      </c>
      <c r="N476" s="53">
        <f ca="1">SUMIFS(OFFSET('BPC Data'!$F:$F,0,Summary!N$2),'BPC Data'!$E:$E,Summary!$D476,'BPC Data'!$B:$B,Summary!$C476)</f>
        <v>0</v>
      </c>
      <c r="O476" s="18">
        <f t="shared" ca="1" si="78"/>
        <v>0</v>
      </c>
    </row>
    <row r="477" spans="1:15" s="11" customFormat="1" hidden="1" outlineLevel="1" x14ac:dyDescent="0.55000000000000004">
      <c r="A477" s="11">
        <f t="shared" si="81"/>
        <v>43</v>
      </c>
      <c r="B477"/>
      <c r="C477">
        <f>$F471</f>
        <v>0</v>
      </c>
      <c r="D477" s="2" t="str">
        <f t="shared" si="80"/>
        <v>T_EBITDARM - EBITDARM</v>
      </c>
      <c r="E477"/>
      <c r="F477" s="14" t="str">
        <f>_xll.EVDES(D477)</f>
        <v>EBITDARM</v>
      </c>
      <c r="G477" s="60">
        <f ca="1">SUMIFS(OFFSET('BPC Data'!$F:$F,0,Summary!G$2),'BPC Data'!$E:$E,Summary!$D477,'BPC Data'!$B:$B,Summary!$C477)</f>
        <v>0</v>
      </c>
      <c r="H477" s="53">
        <f ca="1">SUMIFS(OFFSET('BPC Data'!$F:$F,0,Summary!H$2),'BPC Data'!$E:$E,Summary!$D477,'BPC Data'!$B:$B,Summary!$C477)</f>
        <v>0</v>
      </c>
      <c r="I477" s="60">
        <f ca="1">SUMIFS(OFFSET('BPC Data'!$F:$F,0,Summary!I$2),'BPC Data'!$E:$E,Summary!$D477,'BPC Data'!$B:$B,Summary!$C477)</f>
        <v>0</v>
      </c>
      <c r="J477" s="53">
        <f ca="1">SUMIFS(OFFSET('BPC Data'!$F:$F,0,Summary!J$2),'BPC Data'!$E:$E,Summary!$D477,'BPC Data'!$B:$B,Summary!$C477)</f>
        <v>0</v>
      </c>
      <c r="K477" s="60">
        <f ca="1">SUMIFS(OFFSET('BPC Data'!$F:$F,0,Summary!K$2),'BPC Data'!$E:$E,Summary!$D477,'BPC Data'!$B:$B,Summary!$C477)</f>
        <v>0</v>
      </c>
      <c r="L477" s="53">
        <f ca="1">SUMIFS(OFFSET('BPC Data'!$F:$F,0,Summary!L$2),'BPC Data'!$E:$E,Summary!$D477,'BPC Data'!$B:$B,Summary!$C477)</f>
        <v>0</v>
      </c>
      <c r="M477" s="60">
        <f ca="1">SUMIFS(OFFSET('BPC Data'!$F:$F,0,Summary!M$2),'BPC Data'!$E:$E,Summary!$D477,'BPC Data'!$B:$B,Summary!$C477)</f>
        <v>0</v>
      </c>
      <c r="N477" s="53">
        <f ca="1">SUMIFS(OFFSET('BPC Data'!$F:$F,0,Summary!N$2),'BPC Data'!$E:$E,Summary!$D477,'BPC Data'!$B:$B,Summary!$C477)</f>
        <v>0</v>
      </c>
      <c r="O477" s="18">
        <f t="shared" ca="1" si="78"/>
        <v>0</v>
      </c>
    </row>
    <row r="478" spans="1:15" s="11" customFormat="1" hidden="1" outlineLevel="1" x14ac:dyDescent="0.55000000000000004">
      <c r="A478" s="11">
        <f t="shared" si="81"/>
        <v>43</v>
      </c>
      <c r="B478"/>
      <c r="C478">
        <f>$F471</f>
        <v>0</v>
      </c>
      <c r="D478" s="2" t="str">
        <f t="shared" si="80"/>
        <v>T_MGMT_FEE - Tenant Management Fee - Actual</v>
      </c>
      <c r="E478"/>
      <c r="F478" s="14" t="str">
        <f>_xll.EVDES(D478)</f>
        <v>Tenant Management Fee - Actual</v>
      </c>
      <c r="G478" s="60">
        <f ca="1">SUMIFS(OFFSET('BPC Data'!$F:$F,0,Summary!G$2),'BPC Data'!$E:$E,Summary!$D478,'BPC Data'!$B:$B,Summary!$C478)</f>
        <v>0</v>
      </c>
      <c r="H478" s="53">
        <f ca="1">SUMIFS(OFFSET('BPC Data'!$F:$F,0,Summary!H$2),'BPC Data'!$E:$E,Summary!$D478,'BPC Data'!$B:$B,Summary!$C478)</f>
        <v>0</v>
      </c>
      <c r="I478" s="60">
        <f ca="1">SUMIFS(OFFSET('BPC Data'!$F:$F,0,Summary!I$2),'BPC Data'!$E:$E,Summary!$D478,'BPC Data'!$B:$B,Summary!$C478)</f>
        <v>0</v>
      </c>
      <c r="J478" s="53">
        <f ca="1">SUMIFS(OFFSET('BPC Data'!$F:$F,0,Summary!J$2),'BPC Data'!$E:$E,Summary!$D478,'BPC Data'!$B:$B,Summary!$C478)</f>
        <v>0</v>
      </c>
      <c r="K478" s="60">
        <f ca="1">SUMIFS(OFFSET('BPC Data'!$F:$F,0,Summary!K$2),'BPC Data'!$E:$E,Summary!$D478,'BPC Data'!$B:$B,Summary!$C478)</f>
        <v>0</v>
      </c>
      <c r="L478" s="53">
        <f ca="1">SUMIFS(OFFSET('BPC Data'!$F:$F,0,Summary!L$2),'BPC Data'!$E:$E,Summary!$D478,'BPC Data'!$B:$B,Summary!$C478)</f>
        <v>0</v>
      </c>
      <c r="M478" s="60">
        <f ca="1">SUMIFS(OFFSET('BPC Data'!$F:$F,0,Summary!M$2),'BPC Data'!$E:$E,Summary!$D478,'BPC Data'!$B:$B,Summary!$C478)</f>
        <v>0</v>
      </c>
      <c r="N478" s="53">
        <f ca="1">SUMIFS(OFFSET('BPC Data'!$F:$F,0,Summary!N$2),'BPC Data'!$E:$E,Summary!$D478,'BPC Data'!$B:$B,Summary!$C478)</f>
        <v>0</v>
      </c>
      <c r="O478" s="18">
        <f t="shared" ca="1" si="78"/>
        <v>0</v>
      </c>
    </row>
    <row r="479" spans="1:15" s="11" customFormat="1" hidden="1" outlineLevel="1" x14ac:dyDescent="0.55000000000000004">
      <c r="A479" s="11">
        <f t="shared" si="81"/>
        <v>43</v>
      </c>
      <c r="B479"/>
      <c r="C479">
        <f>$F471</f>
        <v>0</v>
      </c>
      <c r="D479" s="1" t="str">
        <f t="shared" si="80"/>
        <v>T_EBITDAR - EBITDAR</v>
      </c>
      <c r="E479"/>
      <c r="F479" s="14" t="str">
        <f>_xll.EVDES(D479)</f>
        <v>EBITDAR</v>
      </c>
      <c r="G479" s="60">
        <f ca="1">SUMIFS(OFFSET('BPC Data'!$F:$F,0,Summary!G$2),'BPC Data'!$E:$E,Summary!$D479,'BPC Data'!$B:$B,Summary!$C479)</f>
        <v>0</v>
      </c>
      <c r="H479" s="53">
        <f ca="1">SUMIFS(OFFSET('BPC Data'!$F:$F,0,Summary!H$2),'BPC Data'!$E:$E,Summary!$D479,'BPC Data'!$B:$B,Summary!$C479)</f>
        <v>0</v>
      </c>
      <c r="I479" s="60">
        <f ca="1">SUMIFS(OFFSET('BPC Data'!$F:$F,0,Summary!I$2),'BPC Data'!$E:$E,Summary!$D479,'BPC Data'!$B:$B,Summary!$C479)</f>
        <v>0</v>
      </c>
      <c r="J479" s="53">
        <f ca="1">SUMIFS(OFFSET('BPC Data'!$F:$F,0,Summary!J$2),'BPC Data'!$E:$E,Summary!$D479,'BPC Data'!$B:$B,Summary!$C479)</f>
        <v>0</v>
      </c>
      <c r="K479" s="60">
        <f ca="1">SUMIFS(OFFSET('BPC Data'!$F:$F,0,Summary!K$2),'BPC Data'!$E:$E,Summary!$D479,'BPC Data'!$B:$B,Summary!$C479)</f>
        <v>0</v>
      </c>
      <c r="L479" s="53">
        <f ca="1">SUMIFS(OFFSET('BPC Data'!$F:$F,0,Summary!L$2),'BPC Data'!$E:$E,Summary!$D479,'BPC Data'!$B:$B,Summary!$C479)</f>
        <v>0</v>
      </c>
      <c r="M479" s="60">
        <f ca="1">SUMIFS(OFFSET('BPC Data'!$F:$F,0,Summary!M$2),'BPC Data'!$E:$E,Summary!$D479,'BPC Data'!$B:$B,Summary!$C479)</f>
        <v>0</v>
      </c>
      <c r="N479" s="53">
        <f ca="1">SUMIFS(OFFSET('BPC Data'!$F:$F,0,Summary!N$2),'BPC Data'!$E:$E,Summary!$D479,'BPC Data'!$B:$B,Summary!$C479)</f>
        <v>0</v>
      </c>
      <c r="O479" s="18">
        <f t="shared" ca="1" si="78"/>
        <v>0</v>
      </c>
    </row>
    <row r="480" spans="1:15" s="11" customFormat="1" hidden="1" outlineLevel="1" x14ac:dyDescent="0.55000000000000004">
      <c r="A480" s="11">
        <f t="shared" si="81"/>
        <v>43</v>
      </c>
      <c r="B480"/>
      <c r="C480">
        <f>$F471</f>
        <v>0</v>
      </c>
      <c r="D480" s="1" t="str">
        <f t="shared" si="80"/>
        <v>T_RENT_EXP - Tenant Rent Expense</v>
      </c>
      <c r="E480"/>
      <c r="F480" s="14" t="str">
        <f>_xll.EVDES(D480)</f>
        <v>Tenant Rent Expense</v>
      </c>
      <c r="G480" s="60">
        <f ca="1">SUMIFS(OFFSET('BPC Data'!$F:$F,0,Summary!G$2),'BPC Data'!$E:$E,Summary!$D480,'BPC Data'!$B:$B,Summary!$C480)</f>
        <v>0</v>
      </c>
      <c r="H480" s="53">
        <f ca="1">SUMIFS(OFFSET('BPC Data'!$F:$F,0,Summary!H$2),'BPC Data'!$E:$E,Summary!$D480,'BPC Data'!$B:$B,Summary!$C480)</f>
        <v>0</v>
      </c>
      <c r="I480" s="60">
        <f ca="1">SUMIFS(OFFSET('BPC Data'!$F:$F,0,Summary!I$2),'BPC Data'!$E:$E,Summary!$D480,'BPC Data'!$B:$B,Summary!$C480)</f>
        <v>0</v>
      </c>
      <c r="J480" s="53">
        <f ca="1">SUMIFS(OFFSET('BPC Data'!$F:$F,0,Summary!J$2),'BPC Data'!$E:$E,Summary!$D480,'BPC Data'!$B:$B,Summary!$C480)</f>
        <v>0</v>
      </c>
      <c r="K480" s="60">
        <f ca="1">SUMIFS(OFFSET('BPC Data'!$F:$F,0,Summary!K$2),'BPC Data'!$E:$E,Summary!$D480,'BPC Data'!$B:$B,Summary!$C480)</f>
        <v>0</v>
      </c>
      <c r="L480" s="53">
        <f ca="1">SUMIFS(OFFSET('BPC Data'!$F:$F,0,Summary!L$2),'BPC Data'!$E:$E,Summary!$D480,'BPC Data'!$B:$B,Summary!$C480)</f>
        <v>0</v>
      </c>
      <c r="M480" s="60">
        <f ca="1">SUMIFS(OFFSET('BPC Data'!$F:$F,0,Summary!M$2),'BPC Data'!$E:$E,Summary!$D480,'BPC Data'!$B:$B,Summary!$C480)</f>
        <v>0</v>
      </c>
      <c r="N480" s="53">
        <f ca="1">SUMIFS(OFFSET('BPC Data'!$F:$F,0,Summary!N$2),'BPC Data'!$E:$E,Summary!$D480,'BPC Data'!$B:$B,Summary!$C480)</f>
        <v>0</v>
      </c>
      <c r="O480" s="18">
        <f t="shared" ca="1" si="78"/>
        <v>0</v>
      </c>
    </row>
    <row r="481" spans="1:15" s="11" customFormat="1" hidden="1" outlineLevel="1" x14ac:dyDescent="0.55000000000000004">
      <c r="A481" s="11">
        <f t="shared" si="81"/>
        <v>43</v>
      </c>
      <c r="B481"/>
      <c r="C481"/>
      <c r="D481" s="1" t="str">
        <f t="shared" si="80"/>
        <v>x</v>
      </c>
      <c r="E481"/>
      <c r="F481" s="14" t="s">
        <v>0</v>
      </c>
      <c r="G481" s="61">
        <f ca="1">SUMIFS(OFFSET('BPC Data'!$F:$F,0,Summary!G$2),'BPC Data'!$E:$E,Summary!$D481,'BPC Data'!$B:$B,Summary!$C481)</f>
        <v>0</v>
      </c>
      <c r="H481" s="54">
        <f ca="1">SUMIFS(OFFSET('BPC Data'!$F:$F,0,Summary!H$2),'BPC Data'!$E:$E,Summary!$D481,'BPC Data'!$B:$B,Summary!$C481)</f>
        <v>0</v>
      </c>
      <c r="I481" s="61">
        <f ca="1">SUMIFS(OFFSET('BPC Data'!$F:$F,0,Summary!I$2),'BPC Data'!$E:$E,Summary!$D481,'BPC Data'!$B:$B,Summary!$C481)</f>
        <v>0</v>
      </c>
      <c r="J481" s="54">
        <f ca="1">SUMIFS(OFFSET('BPC Data'!$F:$F,0,Summary!J$2),'BPC Data'!$E:$E,Summary!$D481,'BPC Data'!$B:$B,Summary!$C481)</f>
        <v>0</v>
      </c>
      <c r="K481" s="61">
        <f ca="1">SUMIFS(OFFSET('BPC Data'!$F:$F,0,Summary!K$2),'BPC Data'!$E:$E,Summary!$D481,'BPC Data'!$B:$B,Summary!$C481)</f>
        <v>0</v>
      </c>
      <c r="L481" s="54">
        <f ca="1">SUMIFS(OFFSET('BPC Data'!$F:$F,0,Summary!L$2),'BPC Data'!$E:$E,Summary!$D481,'BPC Data'!$B:$B,Summary!$C481)</f>
        <v>0</v>
      </c>
      <c r="M481" s="61">
        <f ca="1">SUMIFS(OFFSET('BPC Data'!$F:$F,0,Summary!M$2),'BPC Data'!$E:$E,Summary!$D481,'BPC Data'!$B:$B,Summary!$C481)</f>
        <v>0</v>
      </c>
      <c r="N481" s="54">
        <f ca="1">SUMIFS(OFFSET('BPC Data'!$F:$F,0,Summary!N$2),'BPC Data'!$E:$E,Summary!$D481,'BPC Data'!$B:$B,Summary!$C481)</f>
        <v>0</v>
      </c>
      <c r="O481" s="18">
        <f t="shared" ca="1" si="78"/>
        <v>0</v>
      </c>
    </row>
    <row r="482" spans="1:15" s="11" customFormat="1" hidden="1" outlineLevel="1" x14ac:dyDescent="0.55000000000000004">
      <c r="A482" s="11">
        <f>IF(AND(D482&lt;&gt;"",C482=""),A481+1,A481)</f>
        <v>44</v>
      </c>
      <c r="B482" s="4"/>
      <c r="C482" s="4"/>
      <c r="D482" s="4" t="str">
        <f t="shared" si="80"/>
        <v>x</v>
      </c>
      <c r="E482" s="4"/>
      <c r="F482" s="13">
        <f>INDEX(PropertyList!$D:$D,MATCH(Summary!$A482,PropertyList!$C:$C,0))</f>
        <v>0</v>
      </c>
      <c r="G482" s="59">
        <f ca="1">SUMIFS(OFFSET('BPC Data'!$F:$F,0,Summary!G$2),'BPC Data'!$E:$E,Summary!$D482,'BPC Data'!$B:$B,Summary!$C482)</f>
        <v>0</v>
      </c>
      <c r="H482" s="52">
        <f ca="1">SUMIFS(OFFSET('BPC Data'!$F:$F,0,Summary!H$2),'BPC Data'!$E:$E,Summary!$D482,'BPC Data'!$B:$B,Summary!$C482)</f>
        <v>0</v>
      </c>
      <c r="I482" s="59">
        <f ca="1">SUMIFS(OFFSET('BPC Data'!$F:$F,0,Summary!I$2),'BPC Data'!$E:$E,Summary!$D482,'BPC Data'!$B:$B,Summary!$C482)</f>
        <v>0</v>
      </c>
      <c r="J482" s="52">
        <f ca="1">SUMIFS(OFFSET('BPC Data'!$F:$F,0,Summary!J$2),'BPC Data'!$E:$E,Summary!$D482,'BPC Data'!$B:$B,Summary!$C482)</f>
        <v>0</v>
      </c>
      <c r="K482" s="59">
        <f ca="1">SUMIFS(OFFSET('BPC Data'!$F:$F,0,Summary!K$2),'BPC Data'!$E:$E,Summary!$D482,'BPC Data'!$B:$B,Summary!$C482)</f>
        <v>0</v>
      </c>
      <c r="L482" s="52">
        <f ca="1">SUMIFS(OFFSET('BPC Data'!$F:$F,0,Summary!L$2),'BPC Data'!$E:$E,Summary!$D482,'BPC Data'!$B:$B,Summary!$C482)</f>
        <v>0</v>
      </c>
      <c r="M482" s="59">
        <f ca="1">SUMIFS(OFFSET('BPC Data'!$F:$F,0,Summary!M$2),'BPC Data'!$E:$E,Summary!$D482,'BPC Data'!$B:$B,Summary!$C482)</f>
        <v>0</v>
      </c>
      <c r="N482" s="52">
        <f ca="1">SUMIFS(OFFSET('BPC Data'!$F:$F,0,Summary!N$2),'BPC Data'!$E:$E,Summary!$D482,'BPC Data'!$B:$B,Summary!$C482)</f>
        <v>0</v>
      </c>
      <c r="O482" s="18">
        <f t="shared" ca="1" si="78"/>
        <v>0</v>
      </c>
    </row>
    <row r="483" spans="1:15" s="11" customFormat="1" hidden="1" outlineLevel="1" x14ac:dyDescent="0.55000000000000004">
      <c r="A483" s="11">
        <f>IF(AND(F483&lt;&gt;"",D483=""),A482+1,A482)</f>
        <v>44</v>
      </c>
      <c r="C483">
        <f>$F482</f>
        <v>0</v>
      </c>
      <c r="D483" s="3" t="str">
        <f t="shared" si="80"/>
        <v>PAY_PAT_DAYS - Total Payor Patient Days</v>
      </c>
      <c r="F483" s="14" t="str">
        <f>_xll.EVDES(D483)</f>
        <v>Total Payor Patient Days</v>
      </c>
      <c r="G483" s="60">
        <f ca="1">SUMIFS(OFFSET('BPC Data'!$F:$F,0,Summary!G$2),'BPC Data'!$E:$E,Summary!$D483,'BPC Data'!$B:$B,Summary!$C483)</f>
        <v>0</v>
      </c>
      <c r="H483" s="53">
        <f ca="1">SUMIFS(OFFSET('BPC Data'!$F:$F,0,Summary!H$2),'BPC Data'!$E:$E,Summary!$D483,'BPC Data'!$B:$B,Summary!$C483)</f>
        <v>0</v>
      </c>
      <c r="I483" s="60">
        <f ca="1">SUMIFS(OFFSET('BPC Data'!$F:$F,0,Summary!I$2),'BPC Data'!$E:$E,Summary!$D483,'BPC Data'!$B:$B,Summary!$C483)</f>
        <v>0</v>
      </c>
      <c r="J483" s="53">
        <f ca="1">SUMIFS(OFFSET('BPC Data'!$F:$F,0,Summary!J$2),'BPC Data'!$E:$E,Summary!$D483,'BPC Data'!$B:$B,Summary!$C483)</f>
        <v>0</v>
      </c>
      <c r="K483" s="60">
        <f ca="1">SUMIFS(OFFSET('BPC Data'!$F:$F,0,Summary!K$2),'BPC Data'!$E:$E,Summary!$D483,'BPC Data'!$B:$B,Summary!$C483)</f>
        <v>0</v>
      </c>
      <c r="L483" s="53">
        <f ca="1">SUMIFS(OFFSET('BPC Data'!$F:$F,0,Summary!L$2),'BPC Data'!$E:$E,Summary!$D483,'BPC Data'!$B:$B,Summary!$C483)</f>
        <v>0</v>
      </c>
      <c r="M483" s="60">
        <f ca="1">SUMIFS(OFFSET('BPC Data'!$F:$F,0,Summary!M$2),'BPC Data'!$E:$E,Summary!$D483,'BPC Data'!$B:$B,Summary!$C483)</f>
        <v>0</v>
      </c>
      <c r="N483" s="53">
        <f ca="1">SUMIFS(OFFSET('BPC Data'!$F:$F,0,Summary!N$2),'BPC Data'!$E:$E,Summary!$D483,'BPC Data'!$B:$B,Summary!$C483)</f>
        <v>0</v>
      </c>
      <c r="O483" s="18">
        <f t="shared" ca="1" si="78"/>
        <v>0</v>
      </c>
    </row>
    <row r="484" spans="1:15" s="11" customFormat="1" hidden="1" outlineLevel="1" x14ac:dyDescent="0.55000000000000004">
      <c r="A484" s="11">
        <f t="shared" ref="A484:A492" si="82">IF(AND(F484&lt;&gt;"",D484=""),A483+1,A483)</f>
        <v>44</v>
      </c>
      <c r="C484">
        <f>$F482</f>
        <v>0</v>
      </c>
      <c r="D484" s="3" t="str">
        <f t="shared" si="80"/>
        <v>A_BEDS_TOTAL - Total Available Beds</v>
      </c>
      <c r="F484" s="14" t="str">
        <f>_xll.EVDES(D484)</f>
        <v>Total Available Beds</v>
      </c>
      <c r="G484" s="60">
        <f ca="1">SUMIFS(OFFSET('BPC Data'!$F:$F,0,Summary!G$2),'BPC Data'!$E:$E,Summary!$D484,'BPC Data'!$B:$B,Summary!$C484)</f>
        <v>0</v>
      </c>
      <c r="H484" s="53">
        <f ca="1">SUMIFS(OFFSET('BPC Data'!$F:$F,0,Summary!H$2),'BPC Data'!$E:$E,Summary!$D484,'BPC Data'!$B:$B,Summary!$C484)</f>
        <v>0</v>
      </c>
      <c r="I484" s="60">
        <f ca="1">SUMIFS(OFFSET('BPC Data'!$F:$F,0,Summary!I$2),'BPC Data'!$E:$E,Summary!$D484,'BPC Data'!$B:$B,Summary!$C484)</f>
        <v>0</v>
      </c>
      <c r="J484" s="53">
        <f ca="1">SUMIFS(OFFSET('BPC Data'!$F:$F,0,Summary!J$2),'BPC Data'!$E:$E,Summary!$D484,'BPC Data'!$B:$B,Summary!$C484)</f>
        <v>0</v>
      </c>
      <c r="K484" s="60">
        <f ca="1">SUMIFS(OFFSET('BPC Data'!$F:$F,0,Summary!K$2),'BPC Data'!$E:$E,Summary!$D484,'BPC Data'!$B:$B,Summary!$C484)</f>
        <v>0</v>
      </c>
      <c r="L484" s="53">
        <f ca="1">SUMIFS(OFFSET('BPC Data'!$F:$F,0,Summary!L$2),'BPC Data'!$E:$E,Summary!$D484,'BPC Data'!$B:$B,Summary!$C484)</f>
        <v>0</v>
      </c>
      <c r="M484" s="60">
        <f ca="1">SUMIFS(OFFSET('BPC Data'!$F:$F,0,Summary!M$2),'BPC Data'!$E:$E,Summary!$D484,'BPC Data'!$B:$B,Summary!$C484)</f>
        <v>0</v>
      </c>
      <c r="N484" s="53">
        <f ca="1">SUMIFS(OFFSET('BPC Data'!$F:$F,0,Summary!N$2),'BPC Data'!$E:$E,Summary!$D484,'BPC Data'!$B:$B,Summary!$C484)</f>
        <v>0</v>
      </c>
      <c r="O484" s="18">
        <f t="shared" ca="1" si="78"/>
        <v>0</v>
      </c>
    </row>
    <row r="485" spans="1:15" s="11" customFormat="1" hidden="1" outlineLevel="1" x14ac:dyDescent="0.55000000000000004">
      <c r="A485" s="11">
        <f t="shared" si="82"/>
        <v>44</v>
      </c>
      <c r="B485"/>
      <c r="C485">
        <f>$F482</f>
        <v>0</v>
      </c>
      <c r="D485" s="3" t="str">
        <f t="shared" si="80"/>
        <v>T_REVENUES - Total Tenant Revenues</v>
      </c>
      <c r="E485"/>
      <c r="F485" s="14" t="str">
        <f>_xll.EVDES(D485)</f>
        <v>Total Tenant Revenues</v>
      </c>
      <c r="G485" s="60">
        <f ca="1">SUMIFS(OFFSET('BPC Data'!$F:$F,0,Summary!G$2),'BPC Data'!$E:$E,Summary!$D485,'BPC Data'!$B:$B,Summary!$C485)</f>
        <v>0</v>
      </c>
      <c r="H485" s="53">
        <f ca="1">SUMIFS(OFFSET('BPC Data'!$F:$F,0,Summary!H$2),'BPC Data'!$E:$E,Summary!$D485,'BPC Data'!$B:$B,Summary!$C485)</f>
        <v>0</v>
      </c>
      <c r="I485" s="60">
        <f ca="1">SUMIFS(OFFSET('BPC Data'!$F:$F,0,Summary!I$2),'BPC Data'!$E:$E,Summary!$D485,'BPC Data'!$B:$B,Summary!$C485)</f>
        <v>0</v>
      </c>
      <c r="J485" s="53">
        <f ca="1">SUMIFS(OFFSET('BPC Data'!$F:$F,0,Summary!J$2),'BPC Data'!$E:$E,Summary!$D485,'BPC Data'!$B:$B,Summary!$C485)</f>
        <v>0</v>
      </c>
      <c r="K485" s="60">
        <f ca="1">SUMIFS(OFFSET('BPC Data'!$F:$F,0,Summary!K$2),'BPC Data'!$E:$E,Summary!$D485,'BPC Data'!$B:$B,Summary!$C485)</f>
        <v>0</v>
      </c>
      <c r="L485" s="53">
        <f ca="1">SUMIFS(OFFSET('BPC Data'!$F:$F,0,Summary!L$2),'BPC Data'!$E:$E,Summary!$D485,'BPC Data'!$B:$B,Summary!$C485)</f>
        <v>0</v>
      </c>
      <c r="M485" s="60">
        <f ca="1">SUMIFS(OFFSET('BPC Data'!$F:$F,0,Summary!M$2),'BPC Data'!$E:$E,Summary!$D485,'BPC Data'!$B:$B,Summary!$C485)</f>
        <v>0</v>
      </c>
      <c r="N485" s="53">
        <f ca="1">SUMIFS(OFFSET('BPC Data'!$F:$F,0,Summary!N$2),'BPC Data'!$E:$E,Summary!$D485,'BPC Data'!$B:$B,Summary!$C485)</f>
        <v>0</v>
      </c>
      <c r="O485" s="18">
        <f t="shared" ca="1" si="78"/>
        <v>0</v>
      </c>
    </row>
    <row r="486" spans="1:15" s="11" customFormat="1" hidden="1" outlineLevel="1" x14ac:dyDescent="0.55000000000000004">
      <c r="A486" s="11">
        <f t="shared" si="82"/>
        <v>44</v>
      </c>
      <c r="B486"/>
      <c r="C486">
        <f>$F482</f>
        <v>0</v>
      </c>
      <c r="D486" s="3" t="str">
        <f t="shared" si="80"/>
        <v>T_OPEX - Tenant Operating Expenses</v>
      </c>
      <c r="E486"/>
      <c r="F486" s="14" t="str">
        <f>_xll.EVDES(D486)</f>
        <v>Tenant Operating Expenses</v>
      </c>
      <c r="G486" s="60">
        <f ca="1">SUMIFS(OFFSET('BPC Data'!$F:$F,0,Summary!G$2),'BPC Data'!$E:$E,Summary!$D486,'BPC Data'!$B:$B,Summary!$C486)</f>
        <v>0</v>
      </c>
      <c r="H486" s="53">
        <f ca="1">SUMIFS(OFFSET('BPC Data'!$F:$F,0,Summary!H$2),'BPC Data'!$E:$E,Summary!$D486,'BPC Data'!$B:$B,Summary!$C486)</f>
        <v>0</v>
      </c>
      <c r="I486" s="60">
        <f ca="1">SUMIFS(OFFSET('BPC Data'!$F:$F,0,Summary!I$2),'BPC Data'!$E:$E,Summary!$D486,'BPC Data'!$B:$B,Summary!$C486)</f>
        <v>0</v>
      </c>
      <c r="J486" s="53">
        <f ca="1">SUMIFS(OFFSET('BPC Data'!$F:$F,0,Summary!J$2),'BPC Data'!$E:$E,Summary!$D486,'BPC Data'!$B:$B,Summary!$C486)</f>
        <v>0</v>
      </c>
      <c r="K486" s="60">
        <f ca="1">SUMIFS(OFFSET('BPC Data'!$F:$F,0,Summary!K$2),'BPC Data'!$E:$E,Summary!$D486,'BPC Data'!$B:$B,Summary!$C486)</f>
        <v>0</v>
      </c>
      <c r="L486" s="53">
        <f ca="1">SUMIFS(OFFSET('BPC Data'!$F:$F,0,Summary!L$2),'BPC Data'!$E:$E,Summary!$D486,'BPC Data'!$B:$B,Summary!$C486)</f>
        <v>0</v>
      </c>
      <c r="M486" s="60">
        <f ca="1">SUMIFS(OFFSET('BPC Data'!$F:$F,0,Summary!M$2),'BPC Data'!$E:$E,Summary!$D486,'BPC Data'!$B:$B,Summary!$C486)</f>
        <v>0</v>
      </c>
      <c r="N486" s="53">
        <f ca="1">SUMIFS(OFFSET('BPC Data'!$F:$F,0,Summary!N$2),'BPC Data'!$E:$E,Summary!$D486,'BPC Data'!$B:$B,Summary!$C486)</f>
        <v>0</v>
      </c>
      <c r="O486" s="18">
        <f t="shared" ca="1" si="78"/>
        <v>0</v>
      </c>
    </row>
    <row r="487" spans="1:15" s="11" customFormat="1" hidden="1" outlineLevel="1" x14ac:dyDescent="0.55000000000000004">
      <c r="A487" s="11">
        <f t="shared" si="82"/>
        <v>44</v>
      </c>
      <c r="B487"/>
      <c r="C487">
        <f>$F482</f>
        <v>0</v>
      </c>
      <c r="D487" s="3" t="str">
        <f t="shared" si="80"/>
        <v>T_BAD_DEBT - Tenant Bad Debt Expense</v>
      </c>
      <c r="E487"/>
      <c r="F487" s="14" t="str">
        <f>_xll.EVDES(D487)</f>
        <v>Tenant Bad Debt Expense</v>
      </c>
      <c r="G487" s="60">
        <f ca="1">SUMIFS(OFFSET('BPC Data'!$F:$F,0,Summary!G$2),'BPC Data'!$E:$E,Summary!$D487,'BPC Data'!$B:$B,Summary!$C487)</f>
        <v>0</v>
      </c>
      <c r="H487" s="53">
        <f ca="1">SUMIFS(OFFSET('BPC Data'!$F:$F,0,Summary!H$2),'BPC Data'!$E:$E,Summary!$D487,'BPC Data'!$B:$B,Summary!$C487)</f>
        <v>0</v>
      </c>
      <c r="I487" s="60">
        <f ca="1">SUMIFS(OFFSET('BPC Data'!$F:$F,0,Summary!I$2),'BPC Data'!$E:$E,Summary!$D487,'BPC Data'!$B:$B,Summary!$C487)</f>
        <v>0</v>
      </c>
      <c r="J487" s="53">
        <f ca="1">SUMIFS(OFFSET('BPC Data'!$F:$F,0,Summary!J$2),'BPC Data'!$E:$E,Summary!$D487,'BPC Data'!$B:$B,Summary!$C487)</f>
        <v>0</v>
      </c>
      <c r="K487" s="60">
        <f ca="1">SUMIFS(OFFSET('BPC Data'!$F:$F,0,Summary!K$2),'BPC Data'!$E:$E,Summary!$D487,'BPC Data'!$B:$B,Summary!$C487)</f>
        <v>0</v>
      </c>
      <c r="L487" s="53">
        <f ca="1">SUMIFS(OFFSET('BPC Data'!$F:$F,0,Summary!L$2),'BPC Data'!$E:$E,Summary!$D487,'BPC Data'!$B:$B,Summary!$C487)</f>
        <v>0</v>
      </c>
      <c r="M487" s="60">
        <f ca="1">SUMIFS(OFFSET('BPC Data'!$F:$F,0,Summary!M$2),'BPC Data'!$E:$E,Summary!$D487,'BPC Data'!$B:$B,Summary!$C487)</f>
        <v>0</v>
      </c>
      <c r="N487" s="53">
        <f ca="1">SUMIFS(OFFSET('BPC Data'!$F:$F,0,Summary!N$2),'BPC Data'!$E:$E,Summary!$D487,'BPC Data'!$B:$B,Summary!$C487)</f>
        <v>0</v>
      </c>
      <c r="O487" s="18">
        <f t="shared" ca="1" si="78"/>
        <v>0</v>
      </c>
    </row>
    <row r="488" spans="1:15" s="11" customFormat="1" hidden="1" outlineLevel="1" x14ac:dyDescent="0.55000000000000004">
      <c r="A488" s="11">
        <f t="shared" si="82"/>
        <v>44</v>
      </c>
      <c r="B488"/>
      <c r="C488">
        <f>$F482</f>
        <v>0</v>
      </c>
      <c r="D488" s="2" t="str">
        <f t="shared" si="80"/>
        <v>T_EBITDARM - EBITDARM</v>
      </c>
      <c r="E488"/>
      <c r="F488" s="14" t="str">
        <f>_xll.EVDES(D488)</f>
        <v>EBITDARM</v>
      </c>
      <c r="G488" s="60">
        <f ca="1">SUMIFS(OFFSET('BPC Data'!$F:$F,0,Summary!G$2),'BPC Data'!$E:$E,Summary!$D488,'BPC Data'!$B:$B,Summary!$C488)</f>
        <v>0</v>
      </c>
      <c r="H488" s="53">
        <f ca="1">SUMIFS(OFFSET('BPC Data'!$F:$F,0,Summary!H$2),'BPC Data'!$E:$E,Summary!$D488,'BPC Data'!$B:$B,Summary!$C488)</f>
        <v>0</v>
      </c>
      <c r="I488" s="60">
        <f ca="1">SUMIFS(OFFSET('BPC Data'!$F:$F,0,Summary!I$2),'BPC Data'!$E:$E,Summary!$D488,'BPC Data'!$B:$B,Summary!$C488)</f>
        <v>0</v>
      </c>
      <c r="J488" s="53">
        <f ca="1">SUMIFS(OFFSET('BPC Data'!$F:$F,0,Summary!J$2),'BPC Data'!$E:$E,Summary!$D488,'BPC Data'!$B:$B,Summary!$C488)</f>
        <v>0</v>
      </c>
      <c r="K488" s="60">
        <f ca="1">SUMIFS(OFFSET('BPC Data'!$F:$F,0,Summary!K$2),'BPC Data'!$E:$E,Summary!$D488,'BPC Data'!$B:$B,Summary!$C488)</f>
        <v>0</v>
      </c>
      <c r="L488" s="53">
        <f ca="1">SUMIFS(OFFSET('BPC Data'!$F:$F,0,Summary!L$2),'BPC Data'!$E:$E,Summary!$D488,'BPC Data'!$B:$B,Summary!$C488)</f>
        <v>0</v>
      </c>
      <c r="M488" s="60">
        <f ca="1">SUMIFS(OFFSET('BPC Data'!$F:$F,0,Summary!M$2),'BPC Data'!$E:$E,Summary!$D488,'BPC Data'!$B:$B,Summary!$C488)</f>
        <v>0</v>
      </c>
      <c r="N488" s="53">
        <f ca="1">SUMIFS(OFFSET('BPC Data'!$F:$F,0,Summary!N$2),'BPC Data'!$E:$E,Summary!$D488,'BPC Data'!$B:$B,Summary!$C488)</f>
        <v>0</v>
      </c>
      <c r="O488" s="18">
        <f t="shared" ca="1" si="78"/>
        <v>0</v>
      </c>
    </row>
    <row r="489" spans="1:15" s="11" customFormat="1" hidden="1" outlineLevel="1" x14ac:dyDescent="0.55000000000000004">
      <c r="A489" s="11">
        <f t="shared" si="82"/>
        <v>44</v>
      </c>
      <c r="B489"/>
      <c r="C489">
        <f>$F482</f>
        <v>0</v>
      </c>
      <c r="D489" s="2" t="str">
        <f t="shared" si="80"/>
        <v>T_MGMT_FEE - Tenant Management Fee - Actual</v>
      </c>
      <c r="E489"/>
      <c r="F489" s="14" t="str">
        <f>_xll.EVDES(D489)</f>
        <v>Tenant Management Fee - Actual</v>
      </c>
      <c r="G489" s="60">
        <f ca="1">SUMIFS(OFFSET('BPC Data'!$F:$F,0,Summary!G$2),'BPC Data'!$E:$E,Summary!$D489,'BPC Data'!$B:$B,Summary!$C489)</f>
        <v>0</v>
      </c>
      <c r="H489" s="53">
        <f ca="1">SUMIFS(OFFSET('BPC Data'!$F:$F,0,Summary!H$2),'BPC Data'!$E:$E,Summary!$D489,'BPC Data'!$B:$B,Summary!$C489)</f>
        <v>0</v>
      </c>
      <c r="I489" s="60">
        <f ca="1">SUMIFS(OFFSET('BPC Data'!$F:$F,0,Summary!I$2),'BPC Data'!$E:$E,Summary!$D489,'BPC Data'!$B:$B,Summary!$C489)</f>
        <v>0</v>
      </c>
      <c r="J489" s="53">
        <f ca="1">SUMIFS(OFFSET('BPC Data'!$F:$F,0,Summary!J$2),'BPC Data'!$E:$E,Summary!$D489,'BPC Data'!$B:$B,Summary!$C489)</f>
        <v>0</v>
      </c>
      <c r="K489" s="60">
        <f ca="1">SUMIFS(OFFSET('BPC Data'!$F:$F,0,Summary!K$2),'BPC Data'!$E:$E,Summary!$D489,'BPC Data'!$B:$B,Summary!$C489)</f>
        <v>0</v>
      </c>
      <c r="L489" s="53">
        <f ca="1">SUMIFS(OFFSET('BPC Data'!$F:$F,0,Summary!L$2),'BPC Data'!$E:$E,Summary!$D489,'BPC Data'!$B:$B,Summary!$C489)</f>
        <v>0</v>
      </c>
      <c r="M489" s="60">
        <f ca="1">SUMIFS(OFFSET('BPC Data'!$F:$F,0,Summary!M$2),'BPC Data'!$E:$E,Summary!$D489,'BPC Data'!$B:$B,Summary!$C489)</f>
        <v>0</v>
      </c>
      <c r="N489" s="53">
        <f ca="1">SUMIFS(OFFSET('BPC Data'!$F:$F,0,Summary!N$2),'BPC Data'!$E:$E,Summary!$D489,'BPC Data'!$B:$B,Summary!$C489)</f>
        <v>0</v>
      </c>
      <c r="O489" s="18">
        <f t="shared" ca="1" si="78"/>
        <v>0</v>
      </c>
    </row>
    <row r="490" spans="1:15" s="11" customFormat="1" hidden="1" outlineLevel="1" x14ac:dyDescent="0.55000000000000004">
      <c r="A490" s="11">
        <f t="shared" si="82"/>
        <v>44</v>
      </c>
      <c r="B490"/>
      <c r="C490">
        <f>$F482</f>
        <v>0</v>
      </c>
      <c r="D490" s="1" t="str">
        <f t="shared" si="80"/>
        <v>T_EBITDAR - EBITDAR</v>
      </c>
      <c r="E490"/>
      <c r="F490" s="14" t="str">
        <f>_xll.EVDES(D490)</f>
        <v>EBITDAR</v>
      </c>
      <c r="G490" s="60">
        <f ca="1">SUMIFS(OFFSET('BPC Data'!$F:$F,0,Summary!G$2),'BPC Data'!$E:$E,Summary!$D490,'BPC Data'!$B:$B,Summary!$C490)</f>
        <v>0</v>
      </c>
      <c r="H490" s="53">
        <f ca="1">SUMIFS(OFFSET('BPC Data'!$F:$F,0,Summary!H$2),'BPC Data'!$E:$E,Summary!$D490,'BPC Data'!$B:$B,Summary!$C490)</f>
        <v>0</v>
      </c>
      <c r="I490" s="60">
        <f ca="1">SUMIFS(OFFSET('BPC Data'!$F:$F,0,Summary!I$2),'BPC Data'!$E:$E,Summary!$D490,'BPC Data'!$B:$B,Summary!$C490)</f>
        <v>0</v>
      </c>
      <c r="J490" s="53">
        <f ca="1">SUMIFS(OFFSET('BPC Data'!$F:$F,0,Summary!J$2),'BPC Data'!$E:$E,Summary!$D490,'BPC Data'!$B:$B,Summary!$C490)</f>
        <v>0</v>
      </c>
      <c r="K490" s="60">
        <f ca="1">SUMIFS(OFFSET('BPC Data'!$F:$F,0,Summary!K$2),'BPC Data'!$E:$E,Summary!$D490,'BPC Data'!$B:$B,Summary!$C490)</f>
        <v>0</v>
      </c>
      <c r="L490" s="53">
        <f ca="1">SUMIFS(OFFSET('BPC Data'!$F:$F,0,Summary!L$2),'BPC Data'!$E:$E,Summary!$D490,'BPC Data'!$B:$B,Summary!$C490)</f>
        <v>0</v>
      </c>
      <c r="M490" s="60">
        <f ca="1">SUMIFS(OFFSET('BPC Data'!$F:$F,0,Summary!M$2),'BPC Data'!$E:$E,Summary!$D490,'BPC Data'!$B:$B,Summary!$C490)</f>
        <v>0</v>
      </c>
      <c r="N490" s="53">
        <f ca="1">SUMIFS(OFFSET('BPC Data'!$F:$F,0,Summary!N$2),'BPC Data'!$E:$E,Summary!$D490,'BPC Data'!$B:$B,Summary!$C490)</f>
        <v>0</v>
      </c>
      <c r="O490" s="18">
        <f t="shared" ca="1" si="78"/>
        <v>0</v>
      </c>
    </row>
    <row r="491" spans="1:15" s="11" customFormat="1" hidden="1" outlineLevel="1" x14ac:dyDescent="0.55000000000000004">
      <c r="A491" s="11">
        <f t="shared" si="82"/>
        <v>44</v>
      </c>
      <c r="B491"/>
      <c r="C491">
        <f>$F482</f>
        <v>0</v>
      </c>
      <c r="D491" s="1" t="str">
        <f t="shared" si="80"/>
        <v>T_RENT_EXP - Tenant Rent Expense</v>
      </c>
      <c r="E491"/>
      <c r="F491" s="14" t="str">
        <f>_xll.EVDES(D491)</f>
        <v>Tenant Rent Expense</v>
      </c>
      <c r="G491" s="60">
        <f ca="1">SUMIFS(OFFSET('BPC Data'!$F:$F,0,Summary!G$2),'BPC Data'!$E:$E,Summary!$D491,'BPC Data'!$B:$B,Summary!$C491)</f>
        <v>0</v>
      </c>
      <c r="H491" s="53">
        <f ca="1">SUMIFS(OFFSET('BPC Data'!$F:$F,0,Summary!H$2),'BPC Data'!$E:$E,Summary!$D491,'BPC Data'!$B:$B,Summary!$C491)</f>
        <v>0</v>
      </c>
      <c r="I491" s="60">
        <f ca="1">SUMIFS(OFFSET('BPC Data'!$F:$F,0,Summary!I$2),'BPC Data'!$E:$E,Summary!$D491,'BPC Data'!$B:$B,Summary!$C491)</f>
        <v>0</v>
      </c>
      <c r="J491" s="53">
        <f ca="1">SUMIFS(OFFSET('BPC Data'!$F:$F,0,Summary!J$2),'BPC Data'!$E:$E,Summary!$D491,'BPC Data'!$B:$B,Summary!$C491)</f>
        <v>0</v>
      </c>
      <c r="K491" s="60">
        <f ca="1">SUMIFS(OFFSET('BPC Data'!$F:$F,0,Summary!K$2),'BPC Data'!$E:$E,Summary!$D491,'BPC Data'!$B:$B,Summary!$C491)</f>
        <v>0</v>
      </c>
      <c r="L491" s="53">
        <f ca="1">SUMIFS(OFFSET('BPC Data'!$F:$F,0,Summary!L$2),'BPC Data'!$E:$E,Summary!$D491,'BPC Data'!$B:$B,Summary!$C491)</f>
        <v>0</v>
      </c>
      <c r="M491" s="60">
        <f ca="1">SUMIFS(OFFSET('BPC Data'!$F:$F,0,Summary!M$2),'BPC Data'!$E:$E,Summary!$D491,'BPC Data'!$B:$B,Summary!$C491)</f>
        <v>0</v>
      </c>
      <c r="N491" s="53">
        <f ca="1">SUMIFS(OFFSET('BPC Data'!$F:$F,0,Summary!N$2),'BPC Data'!$E:$E,Summary!$D491,'BPC Data'!$B:$B,Summary!$C491)</f>
        <v>0</v>
      </c>
      <c r="O491" s="18">
        <f t="shared" ca="1" si="78"/>
        <v>0</v>
      </c>
    </row>
    <row r="492" spans="1:15" s="11" customFormat="1" hidden="1" outlineLevel="1" x14ac:dyDescent="0.55000000000000004">
      <c r="A492" s="11">
        <f t="shared" si="82"/>
        <v>44</v>
      </c>
      <c r="B492"/>
      <c r="C492"/>
      <c r="D492" s="1" t="str">
        <f t="shared" si="80"/>
        <v>x</v>
      </c>
      <c r="E492"/>
      <c r="F492" s="14" t="s">
        <v>0</v>
      </c>
      <c r="G492" s="61">
        <f ca="1">SUMIFS(OFFSET('BPC Data'!$F:$F,0,Summary!G$2),'BPC Data'!$E:$E,Summary!$D492,'BPC Data'!$B:$B,Summary!$C492)</f>
        <v>0</v>
      </c>
      <c r="H492" s="54">
        <f ca="1">SUMIFS(OFFSET('BPC Data'!$F:$F,0,Summary!H$2),'BPC Data'!$E:$E,Summary!$D492,'BPC Data'!$B:$B,Summary!$C492)</f>
        <v>0</v>
      </c>
      <c r="I492" s="61">
        <f ca="1">SUMIFS(OFFSET('BPC Data'!$F:$F,0,Summary!I$2),'BPC Data'!$E:$E,Summary!$D492,'BPC Data'!$B:$B,Summary!$C492)</f>
        <v>0</v>
      </c>
      <c r="J492" s="54">
        <f ca="1">SUMIFS(OFFSET('BPC Data'!$F:$F,0,Summary!J$2),'BPC Data'!$E:$E,Summary!$D492,'BPC Data'!$B:$B,Summary!$C492)</f>
        <v>0</v>
      </c>
      <c r="K492" s="61">
        <f ca="1">SUMIFS(OFFSET('BPC Data'!$F:$F,0,Summary!K$2),'BPC Data'!$E:$E,Summary!$D492,'BPC Data'!$B:$B,Summary!$C492)</f>
        <v>0</v>
      </c>
      <c r="L492" s="54">
        <f ca="1">SUMIFS(OFFSET('BPC Data'!$F:$F,0,Summary!L$2),'BPC Data'!$E:$E,Summary!$D492,'BPC Data'!$B:$B,Summary!$C492)</f>
        <v>0</v>
      </c>
      <c r="M492" s="61">
        <f ca="1">SUMIFS(OFFSET('BPC Data'!$F:$F,0,Summary!M$2),'BPC Data'!$E:$E,Summary!$D492,'BPC Data'!$B:$B,Summary!$C492)</f>
        <v>0</v>
      </c>
      <c r="N492" s="54">
        <f ca="1">SUMIFS(OFFSET('BPC Data'!$F:$F,0,Summary!N$2),'BPC Data'!$E:$E,Summary!$D492,'BPC Data'!$B:$B,Summary!$C492)</f>
        <v>0</v>
      </c>
      <c r="O492" s="18">
        <f t="shared" ca="1" si="78"/>
        <v>0</v>
      </c>
    </row>
    <row r="493" spans="1:15" s="11" customFormat="1" hidden="1" outlineLevel="1" x14ac:dyDescent="0.55000000000000004">
      <c r="A493" s="11">
        <f>IF(AND(D493&lt;&gt;"",C493=""),A492+1,A492)</f>
        <v>45</v>
      </c>
      <c r="B493" s="4"/>
      <c r="C493" s="4"/>
      <c r="D493" s="4" t="str">
        <f t="shared" si="80"/>
        <v>x</v>
      </c>
      <c r="E493" s="4"/>
      <c r="F493" s="13">
        <f>INDEX(PropertyList!$D:$D,MATCH(Summary!$A493,PropertyList!$C:$C,0))</f>
        <v>0</v>
      </c>
      <c r="G493" s="59">
        <f ca="1">SUMIFS(OFFSET('BPC Data'!$F:$F,0,Summary!G$2),'BPC Data'!$E:$E,Summary!$D493,'BPC Data'!$B:$B,Summary!$C493)</f>
        <v>0</v>
      </c>
      <c r="H493" s="52">
        <f ca="1">SUMIFS(OFFSET('BPC Data'!$F:$F,0,Summary!H$2),'BPC Data'!$E:$E,Summary!$D493,'BPC Data'!$B:$B,Summary!$C493)</f>
        <v>0</v>
      </c>
      <c r="I493" s="59">
        <f ca="1">SUMIFS(OFFSET('BPC Data'!$F:$F,0,Summary!I$2),'BPC Data'!$E:$E,Summary!$D493,'BPC Data'!$B:$B,Summary!$C493)</f>
        <v>0</v>
      </c>
      <c r="J493" s="52">
        <f ca="1">SUMIFS(OFFSET('BPC Data'!$F:$F,0,Summary!J$2),'BPC Data'!$E:$E,Summary!$D493,'BPC Data'!$B:$B,Summary!$C493)</f>
        <v>0</v>
      </c>
      <c r="K493" s="59">
        <f ca="1">SUMIFS(OFFSET('BPC Data'!$F:$F,0,Summary!K$2),'BPC Data'!$E:$E,Summary!$D493,'BPC Data'!$B:$B,Summary!$C493)</f>
        <v>0</v>
      </c>
      <c r="L493" s="52">
        <f ca="1">SUMIFS(OFFSET('BPC Data'!$F:$F,0,Summary!L$2),'BPC Data'!$E:$E,Summary!$D493,'BPC Data'!$B:$B,Summary!$C493)</f>
        <v>0</v>
      </c>
      <c r="M493" s="59">
        <f ca="1">SUMIFS(OFFSET('BPC Data'!$F:$F,0,Summary!M$2),'BPC Data'!$E:$E,Summary!$D493,'BPC Data'!$B:$B,Summary!$C493)</f>
        <v>0</v>
      </c>
      <c r="N493" s="52">
        <f ca="1">SUMIFS(OFFSET('BPC Data'!$F:$F,0,Summary!N$2),'BPC Data'!$E:$E,Summary!$D493,'BPC Data'!$B:$B,Summary!$C493)</f>
        <v>0</v>
      </c>
      <c r="O493" s="18">
        <f t="shared" ca="1" si="78"/>
        <v>0</v>
      </c>
    </row>
    <row r="494" spans="1:15" s="11" customFormat="1" hidden="1" outlineLevel="1" x14ac:dyDescent="0.55000000000000004">
      <c r="A494" s="11">
        <f>IF(AND(F494&lt;&gt;"",D494=""),A493+1,A493)</f>
        <v>45</v>
      </c>
      <c r="C494">
        <f>$F493</f>
        <v>0</v>
      </c>
      <c r="D494" s="3" t="str">
        <f t="shared" si="80"/>
        <v>PAY_PAT_DAYS - Total Payor Patient Days</v>
      </c>
      <c r="F494" s="14" t="str">
        <f>_xll.EVDES(D494)</f>
        <v>Total Payor Patient Days</v>
      </c>
      <c r="G494" s="60">
        <f ca="1">SUMIFS(OFFSET('BPC Data'!$F:$F,0,Summary!G$2),'BPC Data'!$E:$E,Summary!$D494,'BPC Data'!$B:$B,Summary!$C494)</f>
        <v>0</v>
      </c>
      <c r="H494" s="53">
        <f ca="1">SUMIFS(OFFSET('BPC Data'!$F:$F,0,Summary!H$2),'BPC Data'!$E:$E,Summary!$D494,'BPC Data'!$B:$B,Summary!$C494)</f>
        <v>0</v>
      </c>
      <c r="I494" s="60">
        <f ca="1">SUMIFS(OFFSET('BPC Data'!$F:$F,0,Summary!I$2),'BPC Data'!$E:$E,Summary!$D494,'BPC Data'!$B:$B,Summary!$C494)</f>
        <v>0</v>
      </c>
      <c r="J494" s="53">
        <f ca="1">SUMIFS(OFFSET('BPC Data'!$F:$F,0,Summary!J$2),'BPC Data'!$E:$E,Summary!$D494,'BPC Data'!$B:$B,Summary!$C494)</f>
        <v>0</v>
      </c>
      <c r="K494" s="60">
        <f ca="1">SUMIFS(OFFSET('BPC Data'!$F:$F,0,Summary!K$2),'BPC Data'!$E:$E,Summary!$D494,'BPC Data'!$B:$B,Summary!$C494)</f>
        <v>0</v>
      </c>
      <c r="L494" s="53">
        <f ca="1">SUMIFS(OFFSET('BPC Data'!$F:$F,0,Summary!L$2),'BPC Data'!$E:$E,Summary!$D494,'BPC Data'!$B:$B,Summary!$C494)</f>
        <v>0</v>
      </c>
      <c r="M494" s="60">
        <f ca="1">SUMIFS(OFFSET('BPC Data'!$F:$F,0,Summary!M$2),'BPC Data'!$E:$E,Summary!$D494,'BPC Data'!$B:$B,Summary!$C494)</f>
        <v>0</v>
      </c>
      <c r="N494" s="53">
        <f ca="1">SUMIFS(OFFSET('BPC Data'!$F:$F,0,Summary!N$2),'BPC Data'!$E:$E,Summary!$D494,'BPC Data'!$B:$B,Summary!$C494)</f>
        <v>0</v>
      </c>
      <c r="O494" s="18">
        <f t="shared" ca="1" si="78"/>
        <v>0</v>
      </c>
    </row>
    <row r="495" spans="1:15" s="11" customFormat="1" hidden="1" outlineLevel="1" x14ac:dyDescent="0.55000000000000004">
      <c r="A495" s="11">
        <f t="shared" ref="A495:A503" si="83">IF(AND(F495&lt;&gt;"",D495=""),A494+1,A494)</f>
        <v>45</v>
      </c>
      <c r="C495">
        <f>$F493</f>
        <v>0</v>
      </c>
      <c r="D495" s="3" t="str">
        <f t="shared" si="80"/>
        <v>A_BEDS_TOTAL - Total Available Beds</v>
      </c>
      <c r="F495" s="14" t="str">
        <f>_xll.EVDES(D495)</f>
        <v>Total Available Beds</v>
      </c>
      <c r="G495" s="60">
        <f ca="1">SUMIFS(OFFSET('BPC Data'!$F:$F,0,Summary!G$2),'BPC Data'!$E:$E,Summary!$D495,'BPC Data'!$B:$B,Summary!$C495)</f>
        <v>0</v>
      </c>
      <c r="H495" s="53">
        <f ca="1">SUMIFS(OFFSET('BPC Data'!$F:$F,0,Summary!H$2),'BPC Data'!$E:$E,Summary!$D495,'BPC Data'!$B:$B,Summary!$C495)</f>
        <v>0</v>
      </c>
      <c r="I495" s="60">
        <f ca="1">SUMIFS(OFFSET('BPC Data'!$F:$F,0,Summary!I$2),'BPC Data'!$E:$E,Summary!$D495,'BPC Data'!$B:$B,Summary!$C495)</f>
        <v>0</v>
      </c>
      <c r="J495" s="53">
        <f ca="1">SUMIFS(OFFSET('BPC Data'!$F:$F,0,Summary!J$2),'BPC Data'!$E:$E,Summary!$D495,'BPC Data'!$B:$B,Summary!$C495)</f>
        <v>0</v>
      </c>
      <c r="K495" s="60">
        <f ca="1">SUMIFS(OFFSET('BPC Data'!$F:$F,0,Summary!K$2),'BPC Data'!$E:$E,Summary!$D495,'BPC Data'!$B:$B,Summary!$C495)</f>
        <v>0</v>
      </c>
      <c r="L495" s="53">
        <f ca="1">SUMIFS(OFFSET('BPC Data'!$F:$F,0,Summary!L$2),'BPC Data'!$E:$E,Summary!$D495,'BPC Data'!$B:$B,Summary!$C495)</f>
        <v>0</v>
      </c>
      <c r="M495" s="60">
        <f ca="1">SUMIFS(OFFSET('BPC Data'!$F:$F,0,Summary!M$2),'BPC Data'!$E:$E,Summary!$D495,'BPC Data'!$B:$B,Summary!$C495)</f>
        <v>0</v>
      </c>
      <c r="N495" s="53">
        <f ca="1">SUMIFS(OFFSET('BPC Data'!$F:$F,0,Summary!N$2),'BPC Data'!$E:$E,Summary!$D495,'BPC Data'!$B:$B,Summary!$C495)</f>
        <v>0</v>
      </c>
      <c r="O495" s="18">
        <f t="shared" ca="1" si="78"/>
        <v>0</v>
      </c>
    </row>
    <row r="496" spans="1:15" s="11" customFormat="1" hidden="1" outlineLevel="1" x14ac:dyDescent="0.55000000000000004">
      <c r="A496" s="11">
        <f t="shared" si="83"/>
        <v>45</v>
      </c>
      <c r="B496"/>
      <c r="C496">
        <f>$F493</f>
        <v>0</v>
      </c>
      <c r="D496" s="3" t="str">
        <f t="shared" si="80"/>
        <v>T_REVENUES - Total Tenant Revenues</v>
      </c>
      <c r="E496"/>
      <c r="F496" s="14" t="str">
        <f>_xll.EVDES(D496)</f>
        <v>Total Tenant Revenues</v>
      </c>
      <c r="G496" s="60">
        <f ca="1">SUMIFS(OFFSET('BPC Data'!$F:$F,0,Summary!G$2),'BPC Data'!$E:$E,Summary!$D496,'BPC Data'!$B:$B,Summary!$C496)</f>
        <v>0</v>
      </c>
      <c r="H496" s="53">
        <f ca="1">SUMIFS(OFFSET('BPC Data'!$F:$F,0,Summary!H$2),'BPC Data'!$E:$E,Summary!$D496,'BPC Data'!$B:$B,Summary!$C496)</f>
        <v>0</v>
      </c>
      <c r="I496" s="60">
        <f ca="1">SUMIFS(OFFSET('BPC Data'!$F:$F,0,Summary!I$2),'BPC Data'!$E:$E,Summary!$D496,'BPC Data'!$B:$B,Summary!$C496)</f>
        <v>0</v>
      </c>
      <c r="J496" s="53">
        <f ca="1">SUMIFS(OFFSET('BPC Data'!$F:$F,0,Summary!J$2),'BPC Data'!$E:$E,Summary!$D496,'BPC Data'!$B:$B,Summary!$C496)</f>
        <v>0</v>
      </c>
      <c r="K496" s="60">
        <f ca="1">SUMIFS(OFFSET('BPC Data'!$F:$F,0,Summary!K$2),'BPC Data'!$E:$E,Summary!$D496,'BPC Data'!$B:$B,Summary!$C496)</f>
        <v>0</v>
      </c>
      <c r="L496" s="53">
        <f ca="1">SUMIFS(OFFSET('BPC Data'!$F:$F,0,Summary!L$2),'BPC Data'!$E:$E,Summary!$D496,'BPC Data'!$B:$B,Summary!$C496)</f>
        <v>0</v>
      </c>
      <c r="M496" s="60">
        <f ca="1">SUMIFS(OFFSET('BPC Data'!$F:$F,0,Summary!M$2),'BPC Data'!$E:$E,Summary!$D496,'BPC Data'!$B:$B,Summary!$C496)</f>
        <v>0</v>
      </c>
      <c r="N496" s="53">
        <f ca="1">SUMIFS(OFFSET('BPC Data'!$F:$F,0,Summary!N$2),'BPC Data'!$E:$E,Summary!$D496,'BPC Data'!$B:$B,Summary!$C496)</f>
        <v>0</v>
      </c>
      <c r="O496" s="18">
        <f t="shared" ca="1" si="78"/>
        <v>0</v>
      </c>
    </row>
    <row r="497" spans="1:15" s="11" customFormat="1" hidden="1" outlineLevel="1" x14ac:dyDescent="0.55000000000000004">
      <c r="A497" s="11">
        <f t="shared" si="83"/>
        <v>45</v>
      </c>
      <c r="B497"/>
      <c r="C497">
        <f>$F493</f>
        <v>0</v>
      </c>
      <c r="D497" s="3" t="str">
        <f t="shared" si="80"/>
        <v>T_OPEX - Tenant Operating Expenses</v>
      </c>
      <c r="E497"/>
      <c r="F497" s="14" t="str">
        <f>_xll.EVDES(D497)</f>
        <v>Tenant Operating Expenses</v>
      </c>
      <c r="G497" s="60">
        <f ca="1">SUMIFS(OFFSET('BPC Data'!$F:$F,0,Summary!G$2),'BPC Data'!$E:$E,Summary!$D497,'BPC Data'!$B:$B,Summary!$C497)</f>
        <v>0</v>
      </c>
      <c r="H497" s="53">
        <f ca="1">SUMIFS(OFFSET('BPC Data'!$F:$F,0,Summary!H$2),'BPC Data'!$E:$E,Summary!$D497,'BPC Data'!$B:$B,Summary!$C497)</f>
        <v>0</v>
      </c>
      <c r="I497" s="60">
        <f ca="1">SUMIFS(OFFSET('BPC Data'!$F:$F,0,Summary!I$2),'BPC Data'!$E:$E,Summary!$D497,'BPC Data'!$B:$B,Summary!$C497)</f>
        <v>0</v>
      </c>
      <c r="J497" s="53">
        <f ca="1">SUMIFS(OFFSET('BPC Data'!$F:$F,0,Summary!J$2),'BPC Data'!$E:$E,Summary!$D497,'BPC Data'!$B:$B,Summary!$C497)</f>
        <v>0</v>
      </c>
      <c r="K497" s="60">
        <f ca="1">SUMIFS(OFFSET('BPC Data'!$F:$F,0,Summary!K$2),'BPC Data'!$E:$E,Summary!$D497,'BPC Data'!$B:$B,Summary!$C497)</f>
        <v>0</v>
      </c>
      <c r="L497" s="53">
        <f ca="1">SUMIFS(OFFSET('BPC Data'!$F:$F,0,Summary!L$2),'BPC Data'!$E:$E,Summary!$D497,'BPC Data'!$B:$B,Summary!$C497)</f>
        <v>0</v>
      </c>
      <c r="M497" s="60">
        <f ca="1">SUMIFS(OFFSET('BPC Data'!$F:$F,0,Summary!M$2),'BPC Data'!$E:$E,Summary!$D497,'BPC Data'!$B:$B,Summary!$C497)</f>
        <v>0</v>
      </c>
      <c r="N497" s="53">
        <f ca="1">SUMIFS(OFFSET('BPC Data'!$F:$F,0,Summary!N$2),'BPC Data'!$E:$E,Summary!$D497,'BPC Data'!$B:$B,Summary!$C497)</f>
        <v>0</v>
      </c>
      <c r="O497" s="18">
        <f t="shared" ca="1" si="78"/>
        <v>0</v>
      </c>
    </row>
    <row r="498" spans="1:15" s="11" customFormat="1" hidden="1" outlineLevel="1" x14ac:dyDescent="0.55000000000000004">
      <c r="A498" s="11">
        <f t="shared" si="83"/>
        <v>45</v>
      </c>
      <c r="B498"/>
      <c r="C498">
        <f>$F493</f>
        <v>0</v>
      </c>
      <c r="D498" s="3" t="str">
        <f t="shared" si="80"/>
        <v>T_BAD_DEBT - Tenant Bad Debt Expense</v>
      </c>
      <c r="E498"/>
      <c r="F498" s="14" t="str">
        <f>_xll.EVDES(D498)</f>
        <v>Tenant Bad Debt Expense</v>
      </c>
      <c r="G498" s="60">
        <f ca="1">SUMIFS(OFFSET('BPC Data'!$F:$F,0,Summary!G$2),'BPC Data'!$E:$E,Summary!$D498,'BPC Data'!$B:$B,Summary!$C498)</f>
        <v>0</v>
      </c>
      <c r="H498" s="53">
        <f ca="1">SUMIFS(OFFSET('BPC Data'!$F:$F,0,Summary!H$2),'BPC Data'!$E:$E,Summary!$D498,'BPC Data'!$B:$B,Summary!$C498)</f>
        <v>0</v>
      </c>
      <c r="I498" s="60">
        <f ca="1">SUMIFS(OFFSET('BPC Data'!$F:$F,0,Summary!I$2),'BPC Data'!$E:$E,Summary!$D498,'BPC Data'!$B:$B,Summary!$C498)</f>
        <v>0</v>
      </c>
      <c r="J498" s="53">
        <f ca="1">SUMIFS(OFFSET('BPC Data'!$F:$F,0,Summary!J$2),'BPC Data'!$E:$E,Summary!$D498,'BPC Data'!$B:$B,Summary!$C498)</f>
        <v>0</v>
      </c>
      <c r="K498" s="60">
        <f ca="1">SUMIFS(OFFSET('BPC Data'!$F:$F,0,Summary!K$2),'BPC Data'!$E:$E,Summary!$D498,'BPC Data'!$B:$B,Summary!$C498)</f>
        <v>0</v>
      </c>
      <c r="L498" s="53">
        <f ca="1">SUMIFS(OFFSET('BPC Data'!$F:$F,0,Summary!L$2),'BPC Data'!$E:$E,Summary!$D498,'BPC Data'!$B:$B,Summary!$C498)</f>
        <v>0</v>
      </c>
      <c r="M498" s="60">
        <f ca="1">SUMIFS(OFFSET('BPC Data'!$F:$F,0,Summary!M$2),'BPC Data'!$E:$E,Summary!$D498,'BPC Data'!$B:$B,Summary!$C498)</f>
        <v>0</v>
      </c>
      <c r="N498" s="53">
        <f ca="1">SUMIFS(OFFSET('BPC Data'!$F:$F,0,Summary!N$2),'BPC Data'!$E:$E,Summary!$D498,'BPC Data'!$B:$B,Summary!$C498)</f>
        <v>0</v>
      </c>
      <c r="O498" s="18">
        <f t="shared" ca="1" si="78"/>
        <v>0</v>
      </c>
    </row>
    <row r="499" spans="1:15" s="11" customFormat="1" hidden="1" outlineLevel="1" x14ac:dyDescent="0.55000000000000004">
      <c r="A499" s="11">
        <f t="shared" si="83"/>
        <v>45</v>
      </c>
      <c r="B499"/>
      <c r="C499">
        <f>$F493</f>
        <v>0</v>
      </c>
      <c r="D499" s="2" t="str">
        <f t="shared" si="80"/>
        <v>T_EBITDARM - EBITDARM</v>
      </c>
      <c r="E499"/>
      <c r="F499" s="14" t="str">
        <f>_xll.EVDES(D499)</f>
        <v>EBITDARM</v>
      </c>
      <c r="G499" s="60">
        <f ca="1">SUMIFS(OFFSET('BPC Data'!$F:$F,0,Summary!G$2),'BPC Data'!$E:$E,Summary!$D499,'BPC Data'!$B:$B,Summary!$C499)</f>
        <v>0</v>
      </c>
      <c r="H499" s="53">
        <f ca="1">SUMIFS(OFFSET('BPC Data'!$F:$F,0,Summary!H$2),'BPC Data'!$E:$E,Summary!$D499,'BPC Data'!$B:$B,Summary!$C499)</f>
        <v>0</v>
      </c>
      <c r="I499" s="60">
        <f ca="1">SUMIFS(OFFSET('BPC Data'!$F:$F,0,Summary!I$2),'BPC Data'!$E:$E,Summary!$D499,'BPC Data'!$B:$B,Summary!$C499)</f>
        <v>0</v>
      </c>
      <c r="J499" s="53">
        <f ca="1">SUMIFS(OFFSET('BPC Data'!$F:$F,0,Summary!J$2),'BPC Data'!$E:$E,Summary!$D499,'BPC Data'!$B:$B,Summary!$C499)</f>
        <v>0</v>
      </c>
      <c r="K499" s="60">
        <f ca="1">SUMIFS(OFFSET('BPC Data'!$F:$F,0,Summary!K$2),'BPC Data'!$E:$E,Summary!$D499,'BPC Data'!$B:$B,Summary!$C499)</f>
        <v>0</v>
      </c>
      <c r="L499" s="53">
        <f ca="1">SUMIFS(OFFSET('BPC Data'!$F:$F,0,Summary!L$2),'BPC Data'!$E:$E,Summary!$D499,'BPC Data'!$B:$B,Summary!$C499)</f>
        <v>0</v>
      </c>
      <c r="M499" s="60">
        <f ca="1">SUMIFS(OFFSET('BPC Data'!$F:$F,0,Summary!M$2),'BPC Data'!$E:$E,Summary!$D499,'BPC Data'!$B:$B,Summary!$C499)</f>
        <v>0</v>
      </c>
      <c r="N499" s="53">
        <f ca="1">SUMIFS(OFFSET('BPC Data'!$F:$F,0,Summary!N$2),'BPC Data'!$E:$E,Summary!$D499,'BPC Data'!$B:$B,Summary!$C499)</f>
        <v>0</v>
      </c>
      <c r="O499" s="18">
        <f t="shared" ca="1" si="78"/>
        <v>0</v>
      </c>
    </row>
    <row r="500" spans="1:15" s="11" customFormat="1" hidden="1" outlineLevel="1" x14ac:dyDescent="0.55000000000000004">
      <c r="A500" s="11">
        <f t="shared" si="83"/>
        <v>45</v>
      </c>
      <c r="B500"/>
      <c r="C500">
        <f>$F493</f>
        <v>0</v>
      </c>
      <c r="D500" s="2" t="str">
        <f t="shared" si="80"/>
        <v>T_MGMT_FEE - Tenant Management Fee - Actual</v>
      </c>
      <c r="E500"/>
      <c r="F500" s="14" t="str">
        <f>_xll.EVDES(D500)</f>
        <v>Tenant Management Fee - Actual</v>
      </c>
      <c r="G500" s="60">
        <f ca="1">SUMIFS(OFFSET('BPC Data'!$F:$F,0,Summary!G$2),'BPC Data'!$E:$E,Summary!$D500,'BPC Data'!$B:$B,Summary!$C500)</f>
        <v>0</v>
      </c>
      <c r="H500" s="53">
        <f ca="1">SUMIFS(OFFSET('BPC Data'!$F:$F,0,Summary!H$2),'BPC Data'!$E:$E,Summary!$D500,'BPC Data'!$B:$B,Summary!$C500)</f>
        <v>0</v>
      </c>
      <c r="I500" s="60">
        <f ca="1">SUMIFS(OFFSET('BPC Data'!$F:$F,0,Summary!I$2),'BPC Data'!$E:$E,Summary!$D500,'BPC Data'!$B:$B,Summary!$C500)</f>
        <v>0</v>
      </c>
      <c r="J500" s="53">
        <f ca="1">SUMIFS(OFFSET('BPC Data'!$F:$F,0,Summary!J$2),'BPC Data'!$E:$E,Summary!$D500,'BPC Data'!$B:$B,Summary!$C500)</f>
        <v>0</v>
      </c>
      <c r="K500" s="60">
        <f ca="1">SUMIFS(OFFSET('BPC Data'!$F:$F,0,Summary!K$2),'BPC Data'!$E:$E,Summary!$D500,'BPC Data'!$B:$B,Summary!$C500)</f>
        <v>0</v>
      </c>
      <c r="L500" s="53">
        <f ca="1">SUMIFS(OFFSET('BPC Data'!$F:$F,0,Summary!L$2),'BPC Data'!$E:$E,Summary!$D500,'BPC Data'!$B:$B,Summary!$C500)</f>
        <v>0</v>
      </c>
      <c r="M500" s="60">
        <f ca="1">SUMIFS(OFFSET('BPC Data'!$F:$F,0,Summary!M$2),'BPC Data'!$E:$E,Summary!$D500,'BPC Data'!$B:$B,Summary!$C500)</f>
        <v>0</v>
      </c>
      <c r="N500" s="53">
        <f ca="1">SUMIFS(OFFSET('BPC Data'!$F:$F,0,Summary!N$2),'BPC Data'!$E:$E,Summary!$D500,'BPC Data'!$B:$B,Summary!$C500)</f>
        <v>0</v>
      </c>
      <c r="O500" s="18">
        <f t="shared" ca="1" si="78"/>
        <v>0</v>
      </c>
    </row>
    <row r="501" spans="1:15" s="11" customFormat="1" hidden="1" outlineLevel="1" x14ac:dyDescent="0.55000000000000004">
      <c r="A501" s="11">
        <f t="shared" si="83"/>
        <v>45</v>
      </c>
      <c r="B501"/>
      <c r="C501">
        <f>$F493</f>
        <v>0</v>
      </c>
      <c r="D501" s="1" t="str">
        <f t="shared" si="80"/>
        <v>T_EBITDAR - EBITDAR</v>
      </c>
      <c r="E501"/>
      <c r="F501" s="14" t="str">
        <f>_xll.EVDES(D501)</f>
        <v>EBITDAR</v>
      </c>
      <c r="G501" s="60">
        <f ca="1">SUMIFS(OFFSET('BPC Data'!$F:$F,0,Summary!G$2),'BPC Data'!$E:$E,Summary!$D501,'BPC Data'!$B:$B,Summary!$C501)</f>
        <v>0</v>
      </c>
      <c r="H501" s="53">
        <f ca="1">SUMIFS(OFFSET('BPC Data'!$F:$F,0,Summary!H$2),'BPC Data'!$E:$E,Summary!$D501,'BPC Data'!$B:$B,Summary!$C501)</f>
        <v>0</v>
      </c>
      <c r="I501" s="60">
        <f ca="1">SUMIFS(OFFSET('BPC Data'!$F:$F,0,Summary!I$2),'BPC Data'!$E:$E,Summary!$D501,'BPC Data'!$B:$B,Summary!$C501)</f>
        <v>0</v>
      </c>
      <c r="J501" s="53">
        <f ca="1">SUMIFS(OFFSET('BPC Data'!$F:$F,0,Summary!J$2),'BPC Data'!$E:$E,Summary!$D501,'BPC Data'!$B:$B,Summary!$C501)</f>
        <v>0</v>
      </c>
      <c r="K501" s="60">
        <f ca="1">SUMIFS(OFFSET('BPC Data'!$F:$F,0,Summary!K$2),'BPC Data'!$E:$E,Summary!$D501,'BPC Data'!$B:$B,Summary!$C501)</f>
        <v>0</v>
      </c>
      <c r="L501" s="53">
        <f ca="1">SUMIFS(OFFSET('BPC Data'!$F:$F,0,Summary!L$2),'BPC Data'!$E:$E,Summary!$D501,'BPC Data'!$B:$B,Summary!$C501)</f>
        <v>0</v>
      </c>
      <c r="M501" s="60">
        <f ca="1">SUMIFS(OFFSET('BPC Data'!$F:$F,0,Summary!M$2),'BPC Data'!$E:$E,Summary!$D501,'BPC Data'!$B:$B,Summary!$C501)</f>
        <v>0</v>
      </c>
      <c r="N501" s="53">
        <f ca="1">SUMIFS(OFFSET('BPC Data'!$F:$F,0,Summary!N$2),'BPC Data'!$E:$E,Summary!$D501,'BPC Data'!$B:$B,Summary!$C501)</f>
        <v>0</v>
      </c>
      <c r="O501" s="18">
        <f t="shared" ca="1" si="78"/>
        <v>0</v>
      </c>
    </row>
    <row r="502" spans="1:15" s="11" customFormat="1" hidden="1" outlineLevel="1" x14ac:dyDescent="0.55000000000000004">
      <c r="A502" s="11">
        <f t="shared" si="83"/>
        <v>45</v>
      </c>
      <c r="B502"/>
      <c r="C502">
        <f>$F493</f>
        <v>0</v>
      </c>
      <c r="D502" s="1" t="str">
        <f t="shared" si="80"/>
        <v>T_RENT_EXP - Tenant Rent Expense</v>
      </c>
      <c r="E502"/>
      <c r="F502" s="14" t="str">
        <f>_xll.EVDES(D502)</f>
        <v>Tenant Rent Expense</v>
      </c>
      <c r="G502" s="60">
        <f ca="1">SUMIFS(OFFSET('BPC Data'!$F:$F,0,Summary!G$2),'BPC Data'!$E:$E,Summary!$D502,'BPC Data'!$B:$B,Summary!$C502)</f>
        <v>0</v>
      </c>
      <c r="H502" s="53">
        <f ca="1">SUMIFS(OFFSET('BPC Data'!$F:$F,0,Summary!H$2),'BPC Data'!$E:$E,Summary!$D502,'BPC Data'!$B:$B,Summary!$C502)</f>
        <v>0</v>
      </c>
      <c r="I502" s="60">
        <f ca="1">SUMIFS(OFFSET('BPC Data'!$F:$F,0,Summary!I$2),'BPC Data'!$E:$E,Summary!$D502,'BPC Data'!$B:$B,Summary!$C502)</f>
        <v>0</v>
      </c>
      <c r="J502" s="53">
        <f ca="1">SUMIFS(OFFSET('BPC Data'!$F:$F,0,Summary!J$2),'BPC Data'!$E:$E,Summary!$D502,'BPC Data'!$B:$B,Summary!$C502)</f>
        <v>0</v>
      </c>
      <c r="K502" s="60">
        <f ca="1">SUMIFS(OFFSET('BPC Data'!$F:$F,0,Summary!K$2),'BPC Data'!$E:$E,Summary!$D502,'BPC Data'!$B:$B,Summary!$C502)</f>
        <v>0</v>
      </c>
      <c r="L502" s="53">
        <f ca="1">SUMIFS(OFFSET('BPC Data'!$F:$F,0,Summary!L$2),'BPC Data'!$E:$E,Summary!$D502,'BPC Data'!$B:$B,Summary!$C502)</f>
        <v>0</v>
      </c>
      <c r="M502" s="60">
        <f ca="1">SUMIFS(OFFSET('BPC Data'!$F:$F,0,Summary!M$2),'BPC Data'!$E:$E,Summary!$D502,'BPC Data'!$B:$B,Summary!$C502)</f>
        <v>0</v>
      </c>
      <c r="N502" s="53">
        <f ca="1">SUMIFS(OFFSET('BPC Data'!$F:$F,0,Summary!N$2),'BPC Data'!$E:$E,Summary!$D502,'BPC Data'!$B:$B,Summary!$C502)</f>
        <v>0</v>
      </c>
      <c r="O502" s="18">
        <f t="shared" ca="1" si="78"/>
        <v>0</v>
      </c>
    </row>
    <row r="503" spans="1:15" s="11" customFormat="1" hidden="1" outlineLevel="1" x14ac:dyDescent="0.55000000000000004">
      <c r="A503" s="11">
        <f t="shared" si="83"/>
        <v>45</v>
      </c>
      <c r="B503"/>
      <c r="C503"/>
      <c r="D503" s="1" t="str">
        <f t="shared" si="80"/>
        <v>x</v>
      </c>
      <c r="E503"/>
      <c r="F503" s="14" t="s">
        <v>0</v>
      </c>
      <c r="G503" s="61">
        <f ca="1">SUMIFS(OFFSET('BPC Data'!$F:$F,0,Summary!G$2),'BPC Data'!$E:$E,Summary!$D503,'BPC Data'!$B:$B,Summary!$C503)</f>
        <v>0</v>
      </c>
      <c r="H503" s="54">
        <f ca="1">SUMIFS(OFFSET('BPC Data'!$F:$F,0,Summary!H$2),'BPC Data'!$E:$E,Summary!$D503,'BPC Data'!$B:$B,Summary!$C503)</f>
        <v>0</v>
      </c>
      <c r="I503" s="61">
        <f ca="1">SUMIFS(OFFSET('BPC Data'!$F:$F,0,Summary!I$2),'BPC Data'!$E:$E,Summary!$D503,'BPC Data'!$B:$B,Summary!$C503)</f>
        <v>0</v>
      </c>
      <c r="J503" s="54">
        <f ca="1">SUMIFS(OFFSET('BPC Data'!$F:$F,0,Summary!J$2),'BPC Data'!$E:$E,Summary!$D503,'BPC Data'!$B:$B,Summary!$C503)</f>
        <v>0</v>
      </c>
      <c r="K503" s="61">
        <f ca="1">SUMIFS(OFFSET('BPC Data'!$F:$F,0,Summary!K$2),'BPC Data'!$E:$E,Summary!$D503,'BPC Data'!$B:$B,Summary!$C503)</f>
        <v>0</v>
      </c>
      <c r="L503" s="54">
        <f ca="1">SUMIFS(OFFSET('BPC Data'!$F:$F,0,Summary!L$2),'BPC Data'!$E:$E,Summary!$D503,'BPC Data'!$B:$B,Summary!$C503)</f>
        <v>0</v>
      </c>
      <c r="M503" s="61">
        <f ca="1">SUMIFS(OFFSET('BPC Data'!$F:$F,0,Summary!M$2),'BPC Data'!$E:$E,Summary!$D503,'BPC Data'!$B:$B,Summary!$C503)</f>
        <v>0</v>
      </c>
      <c r="N503" s="54">
        <f ca="1">SUMIFS(OFFSET('BPC Data'!$F:$F,0,Summary!N$2),'BPC Data'!$E:$E,Summary!$D503,'BPC Data'!$B:$B,Summary!$C503)</f>
        <v>0</v>
      </c>
      <c r="O503" s="18">
        <f t="shared" ca="1" si="78"/>
        <v>0</v>
      </c>
    </row>
    <row r="504" spans="1:15" s="11" customFormat="1" hidden="1" outlineLevel="1" x14ac:dyDescent="0.55000000000000004">
      <c r="A504" s="11">
        <f>IF(AND(D504&lt;&gt;"",C504=""),A503+1,A503)</f>
        <v>46</v>
      </c>
      <c r="B504" s="4"/>
      <c r="C504" s="4"/>
      <c r="D504" s="4" t="str">
        <f t="shared" si="80"/>
        <v>x</v>
      </c>
      <c r="E504" s="4"/>
      <c r="F504" s="13">
        <f>INDEX(PropertyList!$D:$D,MATCH(Summary!$A504,PropertyList!$C:$C,0))</f>
        <v>0</v>
      </c>
      <c r="G504" s="59">
        <f ca="1">SUMIFS(OFFSET('BPC Data'!$F:$F,0,Summary!G$2),'BPC Data'!$E:$E,Summary!$D504,'BPC Data'!$B:$B,Summary!$C504)</f>
        <v>0</v>
      </c>
      <c r="H504" s="52">
        <f ca="1">SUMIFS(OFFSET('BPC Data'!$F:$F,0,Summary!H$2),'BPC Data'!$E:$E,Summary!$D504,'BPC Data'!$B:$B,Summary!$C504)</f>
        <v>0</v>
      </c>
      <c r="I504" s="59">
        <f ca="1">SUMIFS(OFFSET('BPC Data'!$F:$F,0,Summary!I$2),'BPC Data'!$E:$E,Summary!$D504,'BPC Data'!$B:$B,Summary!$C504)</f>
        <v>0</v>
      </c>
      <c r="J504" s="52">
        <f ca="1">SUMIFS(OFFSET('BPC Data'!$F:$F,0,Summary!J$2),'BPC Data'!$E:$E,Summary!$D504,'BPC Data'!$B:$B,Summary!$C504)</f>
        <v>0</v>
      </c>
      <c r="K504" s="59">
        <f ca="1">SUMIFS(OFFSET('BPC Data'!$F:$F,0,Summary!K$2),'BPC Data'!$E:$E,Summary!$D504,'BPC Data'!$B:$B,Summary!$C504)</f>
        <v>0</v>
      </c>
      <c r="L504" s="52">
        <f ca="1">SUMIFS(OFFSET('BPC Data'!$F:$F,0,Summary!L$2),'BPC Data'!$E:$E,Summary!$D504,'BPC Data'!$B:$B,Summary!$C504)</f>
        <v>0</v>
      </c>
      <c r="M504" s="59">
        <f ca="1">SUMIFS(OFFSET('BPC Data'!$F:$F,0,Summary!M$2),'BPC Data'!$E:$E,Summary!$D504,'BPC Data'!$B:$B,Summary!$C504)</f>
        <v>0</v>
      </c>
      <c r="N504" s="52">
        <f ca="1">SUMIFS(OFFSET('BPC Data'!$F:$F,0,Summary!N$2),'BPC Data'!$E:$E,Summary!$D504,'BPC Data'!$B:$B,Summary!$C504)</f>
        <v>0</v>
      </c>
      <c r="O504" s="18">
        <f t="shared" ca="1" si="78"/>
        <v>0</v>
      </c>
    </row>
    <row r="505" spans="1:15" s="11" customFormat="1" hidden="1" outlineLevel="1" x14ac:dyDescent="0.55000000000000004">
      <c r="A505" s="11">
        <f>IF(AND(F505&lt;&gt;"",D505=""),A504+1,A504)</f>
        <v>46</v>
      </c>
      <c r="C505">
        <f>$F504</f>
        <v>0</v>
      </c>
      <c r="D505" s="3" t="str">
        <f t="shared" si="80"/>
        <v>PAY_PAT_DAYS - Total Payor Patient Days</v>
      </c>
      <c r="F505" s="14" t="str">
        <f>_xll.EVDES(D505)</f>
        <v>Total Payor Patient Days</v>
      </c>
      <c r="G505" s="60">
        <f ca="1">SUMIFS(OFFSET('BPC Data'!$F:$F,0,Summary!G$2),'BPC Data'!$E:$E,Summary!$D505,'BPC Data'!$B:$B,Summary!$C505)</f>
        <v>0</v>
      </c>
      <c r="H505" s="53">
        <f ca="1">SUMIFS(OFFSET('BPC Data'!$F:$F,0,Summary!H$2),'BPC Data'!$E:$E,Summary!$D505,'BPC Data'!$B:$B,Summary!$C505)</f>
        <v>0</v>
      </c>
      <c r="I505" s="60">
        <f ca="1">SUMIFS(OFFSET('BPC Data'!$F:$F,0,Summary!I$2),'BPC Data'!$E:$E,Summary!$D505,'BPC Data'!$B:$B,Summary!$C505)</f>
        <v>0</v>
      </c>
      <c r="J505" s="53">
        <f ca="1">SUMIFS(OFFSET('BPC Data'!$F:$F,0,Summary!J$2),'BPC Data'!$E:$E,Summary!$D505,'BPC Data'!$B:$B,Summary!$C505)</f>
        <v>0</v>
      </c>
      <c r="K505" s="60">
        <f ca="1">SUMIFS(OFFSET('BPC Data'!$F:$F,0,Summary!K$2),'BPC Data'!$E:$E,Summary!$D505,'BPC Data'!$B:$B,Summary!$C505)</f>
        <v>0</v>
      </c>
      <c r="L505" s="53">
        <f ca="1">SUMIFS(OFFSET('BPC Data'!$F:$F,0,Summary!L$2),'BPC Data'!$E:$E,Summary!$D505,'BPC Data'!$B:$B,Summary!$C505)</f>
        <v>0</v>
      </c>
      <c r="M505" s="60">
        <f ca="1">SUMIFS(OFFSET('BPC Data'!$F:$F,0,Summary!M$2),'BPC Data'!$E:$E,Summary!$D505,'BPC Data'!$B:$B,Summary!$C505)</f>
        <v>0</v>
      </c>
      <c r="N505" s="53">
        <f ca="1">SUMIFS(OFFSET('BPC Data'!$F:$F,0,Summary!N$2),'BPC Data'!$E:$E,Summary!$D505,'BPC Data'!$B:$B,Summary!$C505)</f>
        <v>0</v>
      </c>
      <c r="O505" s="18">
        <f t="shared" ca="1" si="78"/>
        <v>0</v>
      </c>
    </row>
    <row r="506" spans="1:15" s="11" customFormat="1" hidden="1" outlineLevel="1" x14ac:dyDescent="0.55000000000000004">
      <c r="A506" s="11">
        <f t="shared" ref="A506:A514" si="84">IF(AND(F506&lt;&gt;"",D506=""),A505+1,A505)</f>
        <v>46</v>
      </c>
      <c r="C506">
        <f>$F504</f>
        <v>0</v>
      </c>
      <c r="D506" s="3" t="str">
        <f t="shared" si="80"/>
        <v>A_BEDS_TOTAL - Total Available Beds</v>
      </c>
      <c r="F506" s="14" t="str">
        <f>_xll.EVDES(D506)</f>
        <v>Total Available Beds</v>
      </c>
      <c r="G506" s="60">
        <f ca="1">SUMIFS(OFFSET('BPC Data'!$F:$F,0,Summary!G$2),'BPC Data'!$E:$E,Summary!$D506,'BPC Data'!$B:$B,Summary!$C506)</f>
        <v>0</v>
      </c>
      <c r="H506" s="53">
        <f ca="1">SUMIFS(OFFSET('BPC Data'!$F:$F,0,Summary!H$2),'BPC Data'!$E:$E,Summary!$D506,'BPC Data'!$B:$B,Summary!$C506)</f>
        <v>0</v>
      </c>
      <c r="I506" s="60">
        <f ca="1">SUMIFS(OFFSET('BPC Data'!$F:$F,0,Summary!I$2),'BPC Data'!$E:$E,Summary!$D506,'BPC Data'!$B:$B,Summary!$C506)</f>
        <v>0</v>
      </c>
      <c r="J506" s="53">
        <f ca="1">SUMIFS(OFFSET('BPC Data'!$F:$F,0,Summary!J$2),'BPC Data'!$E:$E,Summary!$D506,'BPC Data'!$B:$B,Summary!$C506)</f>
        <v>0</v>
      </c>
      <c r="K506" s="60">
        <f ca="1">SUMIFS(OFFSET('BPC Data'!$F:$F,0,Summary!K$2),'BPC Data'!$E:$E,Summary!$D506,'BPC Data'!$B:$B,Summary!$C506)</f>
        <v>0</v>
      </c>
      <c r="L506" s="53">
        <f ca="1">SUMIFS(OFFSET('BPC Data'!$F:$F,0,Summary!L$2),'BPC Data'!$E:$E,Summary!$D506,'BPC Data'!$B:$B,Summary!$C506)</f>
        <v>0</v>
      </c>
      <c r="M506" s="60">
        <f ca="1">SUMIFS(OFFSET('BPC Data'!$F:$F,0,Summary!M$2),'BPC Data'!$E:$E,Summary!$D506,'BPC Data'!$B:$B,Summary!$C506)</f>
        <v>0</v>
      </c>
      <c r="N506" s="53">
        <f ca="1">SUMIFS(OFFSET('BPC Data'!$F:$F,0,Summary!N$2),'BPC Data'!$E:$E,Summary!$D506,'BPC Data'!$B:$B,Summary!$C506)</f>
        <v>0</v>
      </c>
      <c r="O506" s="18">
        <f t="shared" ca="1" si="78"/>
        <v>0</v>
      </c>
    </row>
    <row r="507" spans="1:15" s="11" customFormat="1" hidden="1" outlineLevel="1" x14ac:dyDescent="0.55000000000000004">
      <c r="A507" s="11">
        <f t="shared" si="84"/>
        <v>46</v>
      </c>
      <c r="B507"/>
      <c r="C507">
        <f>$F504</f>
        <v>0</v>
      </c>
      <c r="D507" s="3" t="str">
        <f t="shared" si="80"/>
        <v>T_REVENUES - Total Tenant Revenues</v>
      </c>
      <c r="E507"/>
      <c r="F507" s="14" t="str">
        <f>_xll.EVDES(D507)</f>
        <v>Total Tenant Revenues</v>
      </c>
      <c r="G507" s="60">
        <f ca="1">SUMIFS(OFFSET('BPC Data'!$F:$F,0,Summary!G$2),'BPC Data'!$E:$E,Summary!$D507,'BPC Data'!$B:$B,Summary!$C507)</f>
        <v>0</v>
      </c>
      <c r="H507" s="53">
        <f ca="1">SUMIFS(OFFSET('BPC Data'!$F:$F,0,Summary!H$2),'BPC Data'!$E:$E,Summary!$D507,'BPC Data'!$B:$B,Summary!$C507)</f>
        <v>0</v>
      </c>
      <c r="I507" s="60">
        <f ca="1">SUMIFS(OFFSET('BPC Data'!$F:$F,0,Summary!I$2),'BPC Data'!$E:$E,Summary!$D507,'BPC Data'!$B:$B,Summary!$C507)</f>
        <v>0</v>
      </c>
      <c r="J507" s="53">
        <f ca="1">SUMIFS(OFFSET('BPC Data'!$F:$F,0,Summary!J$2),'BPC Data'!$E:$E,Summary!$D507,'BPC Data'!$B:$B,Summary!$C507)</f>
        <v>0</v>
      </c>
      <c r="K507" s="60">
        <f ca="1">SUMIFS(OFFSET('BPC Data'!$F:$F,0,Summary!K$2),'BPC Data'!$E:$E,Summary!$D507,'BPC Data'!$B:$B,Summary!$C507)</f>
        <v>0</v>
      </c>
      <c r="L507" s="53">
        <f ca="1">SUMIFS(OFFSET('BPC Data'!$F:$F,0,Summary!L$2),'BPC Data'!$E:$E,Summary!$D507,'BPC Data'!$B:$B,Summary!$C507)</f>
        <v>0</v>
      </c>
      <c r="M507" s="60">
        <f ca="1">SUMIFS(OFFSET('BPC Data'!$F:$F,0,Summary!M$2),'BPC Data'!$E:$E,Summary!$D507,'BPC Data'!$B:$B,Summary!$C507)</f>
        <v>0</v>
      </c>
      <c r="N507" s="53">
        <f ca="1">SUMIFS(OFFSET('BPC Data'!$F:$F,0,Summary!N$2),'BPC Data'!$E:$E,Summary!$D507,'BPC Data'!$B:$B,Summary!$C507)</f>
        <v>0</v>
      </c>
      <c r="O507" s="18">
        <f t="shared" ca="1" si="78"/>
        <v>0</v>
      </c>
    </row>
    <row r="508" spans="1:15" s="11" customFormat="1" hidden="1" outlineLevel="1" x14ac:dyDescent="0.55000000000000004">
      <c r="A508" s="11">
        <f t="shared" si="84"/>
        <v>46</v>
      </c>
      <c r="B508"/>
      <c r="C508">
        <f>$F504</f>
        <v>0</v>
      </c>
      <c r="D508" s="3" t="str">
        <f t="shared" si="80"/>
        <v>T_OPEX - Tenant Operating Expenses</v>
      </c>
      <c r="E508"/>
      <c r="F508" s="14" t="str">
        <f>_xll.EVDES(D508)</f>
        <v>Tenant Operating Expenses</v>
      </c>
      <c r="G508" s="60">
        <f ca="1">SUMIFS(OFFSET('BPC Data'!$F:$F,0,Summary!G$2),'BPC Data'!$E:$E,Summary!$D508,'BPC Data'!$B:$B,Summary!$C508)</f>
        <v>0</v>
      </c>
      <c r="H508" s="53">
        <f ca="1">SUMIFS(OFFSET('BPC Data'!$F:$F,0,Summary!H$2),'BPC Data'!$E:$E,Summary!$D508,'BPC Data'!$B:$B,Summary!$C508)</f>
        <v>0</v>
      </c>
      <c r="I508" s="60">
        <f ca="1">SUMIFS(OFFSET('BPC Data'!$F:$F,0,Summary!I$2),'BPC Data'!$E:$E,Summary!$D508,'BPC Data'!$B:$B,Summary!$C508)</f>
        <v>0</v>
      </c>
      <c r="J508" s="53">
        <f ca="1">SUMIFS(OFFSET('BPC Data'!$F:$F,0,Summary!J$2),'BPC Data'!$E:$E,Summary!$D508,'BPC Data'!$B:$B,Summary!$C508)</f>
        <v>0</v>
      </c>
      <c r="K508" s="60">
        <f ca="1">SUMIFS(OFFSET('BPC Data'!$F:$F,0,Summary!K$2),'BPC Data'!$E:$E,Summary!$D508,'BPC Data'!$B:$B,Summary!$C508)</f>
        <v>0</v>
      </c>
      <c r="L508" s="53">
        <f ca="1">SUMIFS(OFFSET('BPC Data'!$F:$F,0,Summary!L$2),'BPC Data'!$E:$E,Summary!$D508,'BPC Data'!$B:$B,Summary!$C508)</f>
        <v>0</v>
      </c>
      <c r="M508" s="60">
        <f ca="1">SUMIFS(OFFSET('BPC Data'!$F:$F,0,Summary!M$2),'BPC Data'!$E:$E,Summary!$D508,'BPC Data'!$B:$B,Summary!$C508)</f>
        <v>0</v>
      </c>
      <c r="N508" s="53">
        <f ca="1">SUMIFS(OFFSET('BPC Data'!$F:$F,0,Summary!N$2),'BPC Data'!$E:$E,Summary!$D508,'BPC Data'!$B:$B,Summary!$C508)</f>
        <v>0</v>
      </c>
      <c r="O508" s="18">
        <f t="shared" ca="1" si="78"/>
        <v>0</v>
      </c>
    </row>
    <row r="509" spans="1:15" s="11" customFormat="1" hidden="1" outlineLevel="1" x14ac:dyDescent="0.55000000000000004">
      <c r="A509" s="11">
        <f t="shared" si="84"/>
        <v>46</v>
      </c>
      <c r="B509"/>
      <c r="C509">
        <f>$F504</f>
        <v>0</v>
      </c>
      <c r="D509" s="3" t="str">
        <f t="shared" si="80"/>
        <v>T_BAD_DEBT - Tenant Bad Debt Expense</v>
      </c>
      <c r="E509"/>
      <c r="F509" s="14" t="str">
        <f>_xll.EVDES(D509)</f>
        <v>Tenant Bad Debt Expense</v>
      </c>
      <c r="G509" s="60">
        <f ca="1">SUMIFS(OFFSET('BPC Data'!$F:$F,0,Summary!G$2),'BPC Data'!$E:$E,Summary!$D509,'BPC Data'!$B:$B,Summary!$C509)</f>
        <v>0</v>
      </c>
      <c r="H509" s="53">
        <f ca="1">SUMIFS(OFFSET('BPC Data'!$F:$F,0,Summary!H$2),'BPC Data'!$E:$E,Summary!$D509,'BPC Data'!$B:$B,Summary!$C509)</f>
        <v>0</v>
      </c>
      <c r="I509" s="60">
        <f ca="1">SUMIFS(OFFSET('BPC Data'!$F:$F,0,Summary!I$2),'BPC Data'!$E:$E,Summary!$D509,'BPC Data'!$B:$B,Summary!$C509)</f>
        <v>0</v>
      </c>
      <c r="J509" s="53">
        <f ca="1">SUMIFS(OFFSET('BPC Data'!$F:$F,0,Summary!J$2),'BPC Data'!$E:$E,Summary!$D509,'BPC Data'!$B:$B,Summary!$C509)</f>
        <v>0</v>
      </c>
      <c r="K509" s="60">
        <f ca="1">SUMIFS(OFFSET('BPC Data'!$F:$F,0,Summary!K$2),'BPC Data'!$E:$E,Summary!$D509,'BPC Data'!$B:$B,Summary!$C509)</f>
        <v>0</v>
      </c>
      <c r="L509" s="53">
        <f ca="1">SUMIFS(OFFSET('BPC Data'!$F:$F,0,Summary!L$2),'BPC Data'!$E:$E,Summary!$D509,'BPC Data'!$B:$B,Summary!$C509)</f>
        <v>0</v>
      </c>
      <c r="M509" s="60">
        <f ca="1">SUMIFS(OFFSET('BPC Data'!$F:$F,0,Summary!M$2),'BPC Data'!$E:$E,Summary!$D509,'BPC Data'!$B:$B,Summary!$C509)</f>
        <v>0</v>
      </c>
      <c r="N509" s="53">
        <f ca="1">SUMIFS(OFFSET('BPC Data'!$F:$F,0,Summary!N$2),'BPC Data'!$E:$E,Summary!$D509,'BPC Data'!$B:$B,Summary!$C509)</f>
        <v>0</v>
      </c>
      <c r="O509" s="18">
        <f t="shared" ca="1" si="78"/>
        <v>0</v>
      </c>
    </row>
    <row r="510" spans="1:15" s="11" customFormat="1" hidden="1" outlineLevel="1" x14ac:dyDescent="0.55000000000000004">
      <c r="A510" s="11">
        <f t="shared" si="84"/>
        <v>46</v>
      </c>
      <c r="B510"/>
      <c r="C510">
        <f>$F504</f>
        <v>0</v>
      </c>
      <c r="D510" s="2" t="str">
        <f t="shared" si="80"/>
        <v>T_EBITDARM - EBITDARM</v>
      </c>
      <c r="E510"/>
      <c r="F510" s="14" t="str">
        <f>_xll.EVDES(D510)</f>
        <v>EBITDARM</v>
      </c>
      <c r="G510" s="60">
        <f ca="1">SUMIFS(OFFSET('BPC Data'!$F:$F,0,Summary!G$2),'BPC Data'!$E:$E,Summary!$D510,'BPC Data'!$B:$B,Summary!$C510)</f>
        <v>0</v>
      </c>
      <c r="H510" s="53">
        <f ca="1">SUMIFS(OFFSET('BPC Data'!$F:$F,0,Summary!H$2),'BPC Data'!$E:$E,Summary!$D510,'BPC Data'!$B:$B,Summary!$C510)</f>
        <v>0</v>
      </c>
      <c r="I510" s="60">
        <f ca="1">SUMIFS(OFFSET('BPC Data'!$F:$F,0,Summary!I$2),'BPC Data'!$E:$E,Summary!$D510,'BPC Data'!$B:$B,Summary!$C510)</f>
        <v>0</v>
      </c>
      <c r="J510" s="53">
        <f ca="1">SUMIFS(OFFSET('BPC Data'!$F:$F,0,Summary!J$2),'BPC Data'!$E:$E,Summary!$D510,'BPC Data'!$B:$B,Summary!$C510)</f>
        <v>0</v>
      </c>
      <c r="K510" s="60">
        <f ca="1">SUMIFS(OFFSET('BPC Data'!$F:$F,0,Summary!K$2),'BPC Data'!$E:$E,Summary!$D510,'BPC Data'!$B:$B,Summary!$C510)</f>
        <v>0</v>
      </c>
      <c r="L510" s="53">
        <f ca="1">SUMIFS(OFFSET('BPC Data'!$F:$F,0,Summary!L$2),'BPC Data'!$E:$E,Summary!$D510,'BPC Data'!$B:$B,Summary!$C510)</f>
        <v>0</v>
      </c>
      <c r="M510" s="60">
        <f ca="1">SUMIFS(OFFSET('BPC Data'!$F:$F,0,Summary!M$2),'BPC Data'!$E:$E,Summary!$D510,'BPC Data'!$B:$B,Summary!$C510)</f>
        <v>0</v>
      </c>
      <c r="N510" s="53">
        <f ca="1">SUMIFS(OFFSET('BPC Data'!$F:$F,0,Summary!N$2),'BPC Data'!$E:$E,Summary!$D510,'BPC Data'!$B:$B,Summary!$C510)</f>
        <v>0</v>
      </c>
      <c r="O510" s="18">
        <f t="shared" ca="1" si="78"/>
        <v>0</v>
      </c>
    </row>
    <row r="511" spans="1:15" s="11" customFormat="1" hidden="1" outlineLevel="1" x14ac:dyDescent="0.55000000000000004">
      <c r="A511" s="11">
        <f t="shared" si="84"/>
        <v>46</v>
      </c>
      <c r="B511"/>
      <c r="C511">
        <f>$F504</f>
        <v>0</v>
      </c>
      <c r="D511" s="2" t="str">
        <f t="shared" si="80"/>
        <v>T_MGMT_FEE - Tenant Management Fee - Actual</v>
      </c>
      <c r="E511"/>
      <c r="F511" s="14" t="str">
        <f>_xll.EVDES(D511)</f>
        <v>Tenant Management Fee - Actual</v>
      </c>
      <c r="G511" s="60">
        <f ca="1">SUMIFS(OFFSET('BPC Data'!$F:$F,0,Summary!G$2),'BPC Data'!$E:$E,Summary!$D511,'BPC Data'!$B:$B,Summary!$C511)</f>
        <v>0</v>
      </c>
      <c r="H511" s="53">
        <f ca="1">SUMIFS(OFFSET('BPC Data'!$F:$F,0,Summary!H$2),'BPC Data'!$E:$E,Summary!$D511,'BPC Data'!$B:$B,Summary!$C511)</f>
        <v>0</v>
      </c>
      <c r="I511" s="60">
        <f ca="1">SUMIFS(OFFSET('BPC Data'!$F:$F,0,Summary!I$2),'BPC Data'!$E:$E,Summary!$D511,'BPC Data'!$B:$B,Summary!$C511)</f>
        <v>0</v>
      </c>
      <c r="J511" s="53">
        <f ca="1">SUMIFS(OFFSET('BPC Data'!$F:$F,0,Summary!J$2),'BPC Data'!$E:$E,Summary!$D511,'BPC Data'!$B:$B,Summary!$C511)</f>
        <v>0</v>
      </c>
      <c r="K511" s="60">
        <f ca="1">SUMIFS(OFFSET('BPC Data'!$F:$F,0,Summary!K$2),'BPC Data'!$E:$E,Summary!$D511,'BPC Data'!$B:$B,Summary!$C511)</f>
        <v>0</v>
      </c>
      <c r="L511" s="53">
        <f ca="1">SUMIFS(OFFSET('BPC Data'!$F:$F,0,Summary!L$2),'BPC Data'!$E:$E,Summary!$D511,'BPC Data'!$B:$B,Summary!$C511)</f>
        <v>0</v>
      </c>
      <c r="M511" s="60">
        <f ca="1">SUMIFS(OFFSET('BPC Data'!$F:$F,0,Summary!M$2),'BPC Data'!$E:$E,Summary!$D511,'BPC Data'!$B:$B,Summary!$C511)</f>
        <v>0</v>
      </c>
      <c r="N511" s="53">
        <f ca="1">SUMIFS(OFFSET('BPC Data'!$F:$F,0,Summary!N$2),'BPC Data'!$E:$E,Summary!$D511,'BPC Data'!$B:$B,Summary!$C511)</f>
        <v>0</v>
      </c>
      <c r="O511" s="18">
        <f t="shared" ca="1" si="78"/>
        <v>0</v>
      </c>
    </row>
    <row r="512" spans="1:15" s="11" customFormat="1" hidden="1" outlineLevel="1" x14ac:dyDescent="0.55000000000000004">
      <c r="A512" s="11">
        <f t="shared" si="84"/>
        <v>46</v>
      </c>
      <c r="B512"/>
      <c r="C512">
        <f>$F504</f>
        <v>0</v>
      </c>
      <c r="D512" s="1" t="str">
        <f t="shared" si="80"/>
        <v>T_EBITDAR - EBITDAR</v>
      </c>
      <c r="E512"/>
      <c r="F512" s="14" t="str">
        <f>_xll.EVDES(D512)</f>
        <v>EBITDAR</v>
      </c>
      <c r="G512" s="60">
        <f ca="1">SUMIFS(OFFSET('BPC Data'!$F:$F,0,Summary!G$2),'BPC Data'!$E:$E,Summary!$D512,'BPC Data'!$B:$B,Summary!$C512)</f>
        <v>0</v>
      </c>
      <c r="H512" s="53">
        <f ca="1">SUMIFS(OFFSET('BPC Data'!$F:$F,0,Summary!H$2),'BPC Data'!$E:$E,Summary!$D512,'BPC Data'!$B:$B,Summary!$C512)</f>
        <v>0</v>
      </c>
      <c r="I512" s="60">
        <f ca="1">SUMIFS(OFFSET('BPC Data'!$F:$F,0,Summary!I$2),'BPC Data'!$E:$E,Summary!$D512,'BPC Data'!$B:$B,Summary!$C512)</f>
        <v>0</v>
      </c>
      <c r="J512" s="53">
        <f ca="1">SUMIFS(OFFSET('BPC Data'!$F:$F,0,Summary!J$2),'BPC Data'!$E:$E,Summary!$D512,'BPC Data'!$B:$B,Summary!$C512)</f>
        <v>0</v>
      </c>
      <c r="K512" s="60">
        <f ca="1">SUMIFS(OFFSET('BPC Data'!$F:$F,0,Summary!K$2),'BPC Data'!$E:$E,Summary!$D512,'BPC Data'!$B:$B,Summary!$C512)</f>
        <v>0</v>
      </c>
      <c r="L512" s="53">
        <f ca="1">SUMIFS(OFFSET('BPC Data'!$F:$F,0,Summary!L$2),'BPC Data'!$E:$E,Summary!$D512,'BPC Data'!$B:$B,Summary!$C512)</f>
        <v>0</v>
      </c>
      <c r="M512" s="60">
        <f ca="1">SUMIFS(OFFSET('BPC Data'!$F:$F,0,Summary!M$2),'BPC Data'!$E:$E,Summary!$D512,'BPC Data'!$B:$B,Summary!$C512)</f>
        <v>0</v>
      </c>
      <c r="N512" s="53">
        <f ca="1">SUMIFS(OFFSET('BPC Data'!$F:$F,0,Summary!N$2),'BPC Data'!$E:$E,Summary!$D512,'BPC Data'!$B:$B,Summary!$C512)</f>
        <v>0</v>
      </c>
      <c r="O512" s="18">
        <f t="shared" ca="1" si="78"/>
        <v>0</v>
      </c>
    </row>
    <row r="513" spans="1:15" s="11" customFormat="1" hidden="1" outlineLevel="1" x14ac:dyDescent="0.55000000000000004">
      <c r="A513" s="11">
        <f t="shared" si="84"/>
        <v>46</v>
      </c>
      <c r="B513"/>
      <c r="C513">
        <f>$F504</f>
        <v>0</v>
      </c>
      <c r="D513" s="1" t="str">
        <f t="shared" si="80"/>
        <v>T_RENT_EXP - Tenant Rent Expense</v>
      </c>
      <c r="E513"/>
      <c r="F513" s="14" t="str">
        <f>_xll.EVDES(D513)</f>
        <v>Tenant Rent Expense</v>
      </c>
      <c r="G513" s="60">
        <f ca="1">SUMIFS(OFFSET('BPC Data'!$F:$F,0,Summary!G$2),'BPC Data'!$E:$E,Summary!$D513,'BPC Data'!$B:$B,Summary!$C513)</f>
        <v>0</v>
      </c>
      <c r="H513" s="53">
        <f ca="1">SUMIFS(OFFSET('BPC Data'!$F:$F,0,Summary!H$2),'BPC Data'!$E:$E,Summary!$D513,'BPC Data'!$B:$B,Summary!$C513)</f>
        <v>0</v>
      </c>
      <c r="I513" s="60">
        <f ca="1">SUMIFS(OFFSET('BPC Data'!$F:$F,0,Summary!I$2),'BPC Data'!$E:$E,Summary!$D513,'BPC Data'!$B:$B,Summary!$C513)</f>
        <v>0</v>
      </c>
      <c r="J513" s="53">
        <f ca="1">SUMIFS(OFFSET('BPC Data'!$F:$F,0,Summary!J$2),'BPC Data'!$E:$E,Summary!$D513,'BPC Data'!$B:$B,Summary!$C513)</f>
        <v>0</v>
      </c>
      <c r="K513" s="60">
        <f ca="1">SUMIFS(OFFSET('BPC Data'!$F:$F,0,Summary!K$2),'BPC Data'!$E:$E,Summary!$D513,'BPC Data'!$B:$B,Summary!$C513)</f>
        <v>0</v>
      </c>
      <c r="L513" s="53">
        <f ca="1">SUMIFS(OFFSET('BPC Data'!$F:$F,0,Summary!L$2),'BPC Data'!$E:$E,Summary!$D513,'BPC Data'!$B:$B,Summary!$C513)</f>
        <v>0</v>
      </c>
      <c r="M513" s="60">
        <f ca="1">SUMIFS(OFFSET('BPC Data'!$F:$F,0,Summary!M$2),'BPC Data'!$E:$E,Summary!$D513,'BPC Data'!$B:$B,Summary!$C513)</f>
        <v>0</v>
      </c>
      <c r="N513" s="53">
        <f ca="1">SUMIFS(OFFSET('BPC Data'!$F:$F,0,Summary!N$2),'BPC Data'!$E:$E,Summary!$D513,'BPC Data'!$B:$B,Summary!$C513)</f>
        <v>0</v>
      </c>
      <c r="O513" s="18">
        <f t="shared" ca="1" si="78"/>
        <v>0</v>
      </c>
    </row>
    <row r="514" spans="1:15" s="11" customFormat="1" hidden="1" outlineLevel="1" x14ac:dyDescent="0.55000000000000004">
      <c r="A514" s="11">
        <f t="shared" si="84"/>
        <v>46</v>
      </c>
      <c r="B514"/>
      <c r="C514"/>
      <c r="D514" s="1" t="str">
        <f t="shared" si="80"/>
        <v>x</v>
      </c>
      <c r="E514"/>
      <c r="F514" s="14" t="s">
        <v>0</v>
      </c>
      <c r="G514" s="61">
        <f ca="1">SUMIFS(OFFSET('BPC Data'!$F:$F,0,Summary!G$2),'BPC Data'!$E:$E,Summary!$D514,'BPC Data'!$B:$B,Summary!$C514)</f>
        <v>0</v>
      </c>
      <c r="H514" s="54">
        <f ca="1">SUMIFS(OFFSET('BPC Data'!$F:$F,0,Summary!H$2),'BPC Data'!$E:$E,Summary!$D514,'BPC Data'!$B:$B,Summary!$C514)</f>
        <v>0</v>
      </c>
      <c r="I514" s="61">
        <f ca="1">SUMIFS(OFFSET('BPC Data'!$F:$F,0,Summary!I$2),'BPC Data'!$E:$E,Summary!$D514,'BPC Data'!$B:$B,Summary!$C514)</f>
        <v>0</v>
      </c>
      <c r="J514" s="54">
        <f ca="1">SUMIFS(OFFSET('BPC Data'!$F:$F,0,Summary!J$2),'BPC Data'!$E:$E,Summary!$D514,'BPC Data'!$B:$B,Summary!$C514)</f>
        <v>0</v>
      </c>
      <c r="K514" s="61">
        <f ca="1">SUMIFS(OFFSET('BPC Data'!$F:$F,0,Summary!K$2),'BPC Data'!$E:$E,Summary!$D514,'BPC Data'!$B:$B,Summary!$C514)</f>
        <v>0</v>
      </c>
      <c r="L514" s="54">
        <f ca="1">SUMIFS(OFFSET('BPC Data'!$F:$F,0,Summary!L$2),'BPC Data'!$E:$E,Summary!$D514,'BPC Data'!$B:$B,Summary!$C514)</f>
        <v>0</v>
      </c>
      <c r="M514" s="61">
        <f ca="1">SUMIFS(OFFSET('BPC Data'!$F:$F,0,Summary!M$2),'BPC Data'!$E:$E,Summary!$D514,'BPC Data'!$B:$B,Summary!$C514)</f>
        <v>0</v>
      </c>
      <c r="N514" s="54">
        <f ca="1">SUMIFS(OFFSET('BPC Data'!$F:$F,0,Summary!N$2),'BPC Data'!$E:$E,Summary!$D514,'BPC Data'!$B:$B,Summary!$C514)</f>
        <v>0</v>
      </c>
      <c r="O514" s="18">
        <f t="shared" ca="1" si="78"/>
        <v>0</v>
      </c>
    </row>
    <row r="515" spans="1:15" s="11" customFormat="1" hidden="1" outlineLevel="1" x14ac:dyDescent="0.55000000000000004">
      <c r="A515" s="11">
        <f>IF(AND(D515&lt;&gt;"",C515=""),A514+1,A514)</f>
        <v>47</v>
      </c>
      <c r="B515" s="4"/>
      <c r="C515" s="4"/>
      <c r="D515" s="4" t="str">
        <f t="shared" si="80"/>
        <v>x</v>
      </c>
      <c r="E515" s="4"/>
      <c r="F515" s="13">
        <f>INDEX(PropertyList!$D:$D,MATCH(Summary!$A515,PropertyList!$C:$C,0))</f>
        <v>0</v>
      </c>
      <c r="G515" s="59">
        <f ca="1">SUMIFS(OFFSET('BPC Data'!$F:$F,0,Summary!G$2),'BPC Data'!$E:$E,Summary!$D515,'BPC Data'!$B:$B,Summary!$C515)</f>
        <v>0</v>
      </c>
      <c r="H515" s="52">
        <f ca="1">SUMIFS(OFFSET('BPC Data'!$F:$F,0,Summary!H$2),'BPC Data'!$E:$E,Summary!$D515,'BPC Data'!$B:$B,Summary!$C515)</f>
        <v>0</v>
      </c>
      <c r="I515" s="59">
        <f ca="1">SUMIFS(OFFSET('BPC Data'!$F:$F,0,Summary!I$2),'BPC Data'!$E:$E,Summary!$D515,'BPC Data'!$B:$B,Summary!$C515)</f>
        <v>0</v>
      </c>
      <c r="J515" s="52">
        <f ca="1">SUMIFS(OFFSET('BPC Data'!$F:$F,0,Summary!J$2),'BPC Data'!$E:$E,Summary!$D515,'BPC Data'!$B:$B,Summary!$C515)</f>
        <v>0</v>
      </c>
      <c r="K515" s="59">
        <f ca="1">SUMIFS(OFFSET('BPC Data'!$F:$F,0,Summary!K$2),'BPC Data'!$E:$E,Summary!$D515,'BPC Data'!$B:$B,Summary!$C515)</f>
        <v>0</v>
      </c>
      <c r="L515" s="52">
        <f ca="1">SUMIFS(OFFSET('BPC Data'!$F:$F,0,Summary!L$2),'BPC Data'!$E:$E,Summary!$D515,'BPC Data'!$B:$B,Summary!$C515)</f>
        <v>0</v>
      </c>
      <c r="M515" s="59">
        <f ca="1">SUMIFS(OFFSET('BPC Data'!$F:$F,0,Summary!M$2),'BPC Data'!$E:$E,Summary!$D515,'BPC Data'!$B:$B,Summary!$C515)</f>
        <v>0</v>
      </c>
      <c r="N515" s="52">
        <f ca="1">SUMIFS(OFFSET('BPC Data'!$F:$F,0,Summary!N$2),'BPC Data'!$E:$E,Summary!$D515,'BPC Data'!$B:$B,Summary!$C515)</f>
        <v>0</v>
      </c>
      <c r="O515" s="18">
        <f t="shared" ca="1" si="78"/>
        <v>0</v>
      </c>
    </row>
    <row r="516" spans="1:15" s="11" customFormat="1" hidden="1" outlineLevel="1" x14ac:dyDescent="0.55000000000000004">
      <c r="A516" s="11">
        <f>IF(AND(F516&lt;&gt;"",D516=""),A515+1,A515)</f>
        <v>47</v>
      </c>
      <c r="C516">
        <f>$F515</f>
        <v>0</v>
      </c>
      <c r="D516" s="3" t="str">
        <f t="shared" si="80"/>
        <v>PAY_PAT_DAYS - Total Payor Patient Days</v>
      </c>
      <c r="F516" s="14" t="str">
        <f>_xll.EVDES(D516)</f>
        <v>Total Payor Patient Days</v>
      </c>
      <c r="G516" s="60">
        <f ca="1">SUMIFS(OFFSET('BPC Data'!$F:$F,0,Summary!G$2),'BPC Data'!$E:$E,Summary!$D516,'BPC Data'!$B:$B,Summary!$C516)</f>
        <v>0</v>
      </c>
      <c r="H516" s="53">
        <f ca="1">SUMIFS(OFFSET('BPC Data'!$F:$F,0,Summary!H$2),'BPC Data'!$E:$E,Summary!$D516,'BPC Data'!$B:$B,Summary!$C516)</f>
        <v>0</v>
      </c>
      <c r="I516" s="60">
        <f ca="1">SUMIFS(OFFSET('BPC Data'!$F:$F,0,Summary!I$2),'BPC Data'!$E:$E,Summary!$D516,'BPC Data'!$B:$B,Summary!$C516)</f>
        <v>0</v>
      </c>
      <c r="J516" s="53">
        <f ca="1">SUMIFS(OFFSET('BPC Data'!$F:$F,0,Summary!J$2),'BPC Data'!$E:$E,Summary!$D516,'BPC Data'!$B:$B,Summary!$C516)</f>
        <v>0</v>
      </c>
      <c r="K516" s="60">
        <f ca="1">SUMIFS(OFFSET('BPC Data'!$F:$F,0,Summary!K$2),'BPC Data'!$E:$E,Summary!$D516,'BPC Data'!$B:$B,Summary!$C516)</f>
        <v>0</v>
      </c>
      <c r="L516" s="53">
        <f ca="1">SUMIFS(OFFSET('BPC Data'!$F:$F,0,Summary!L$2),'BPC Data'!$E:$E,Summary!$D516,'BPC Data'!$B:$B,Summary!$C516)</f>
        <v>0</v>
      </c>
      <c r="M516" s="60">
        <f ca="1">SUMIFS(OFFSET('BPC Data'!$F:$F,0,Summary!M$2),'BPC Data'!$E:$E,Summary!$D516,'BPC Data'!$B:$B,Summary!$C516)</f>
        <v>0</v>
      </c>
      <c r="N516" s="53">
        <f ca="1">SUMIFS(OFFSET('BPC Data'!$F:$F,0,Summary!N$2),'BPC Data'!$E:$E,Summary!$D516,'BPC Data'!$B:$B,Summary!$C516)</f>
        <v>0</v>
      </c>
      <c r="O516" s="18">
        <f t="shared" ca="1" si="78"/>
        <v>0</v>
      </c>
    </row>
    <row r="517" spans="1:15" s="11" customFormat="1" hidden="1" outlineLevel="1" x14ac:dyDescent="0.55000000000000004">
      <c r="A517" s="11">
        <f t="shared" ref="A517:A525" si="85">IF(AND(F517&lt;&gt;"",D517=""),A516+1,A516)</f>
        <v>47</v>
      </c>
      <c r="C517">
        <f>$F515</f>
        <v>0</v>
      </c>
      <c r="D517" s="3" t="str">
        <f t="shared" si="80"/>
        <v>A_BEDS_TOTAL - Total Available Beds</v>
      </c>
      <c r="F517" s="14" t="str">
        <f>_xll.EVDES(D517)</f>
        <v>Total Available Beds</v>
      </c>
      <c r="G517" s="60">
        <f ca="1">SUMIFS(OFFSET('BPC Data'!$F:$F,0,Summary!G$2),'BPC Data'!$E:$E,Summary!$D517,'BPC Data'!$B:$B,Summary!$C517)</f>
        <v>0</v>
      </c>
      <c r="H517" s="53">
        <f ca="1">SUMIFS(OFFSET('BPC Data'!$F:$F,0,Summary!H$2),'BPC Data'!$E:$E,Summary!$D517,'BPC Data'!$B:$B,Summary!$C517)</f>
        <v>0</v>
      </c>
      <c r="I517" s="60">
        <f ca="1">SUMIFS(OFFSET('BPC Data'!$F:$F,0,Summary!I$2),'BPC Data'!$E:$E,Summary!$D517,'BPC Data'!$B:$B,Summary!$C517)</f>
        <v>0</v>
      </c>
      <c r="J517" s="53">
        <f ca="1">SUMIFS(OFFSET('BPC Data'!$F:$F,0,Summary!J$2),'BPC Data'!$E:$E,Summary!$D517,'BPC Data'!$B:$B,Summary!$C517)</f>
        <v>0</v>
      </c>
      <c r="K517" s="60">
        <f ca="1">SUMIFS(OFFSET('BPC Data'!$F:$F,0,Summary!K$2),'BPC Data'!$E:$E,Summary!$D517,'BPC Data'!$B:$B,Summary!$C517)</f>
        <v>0</v>
      </c>
      <c r="L517" s="53">
        <f ca="1">SUMIFS(OFFSET('BPC Data'!$F:$F,0,Summary!L$2),'BPC Data'!$E:$E,Summary!$D517,'BPC Data'!$B:$B,Summary!$C517)</f>
        <v>0</v>
      </c>
      <c r="M517" s="60">
        <f ca="1">SUMIFS(OFFSET('BPC Data'!$F:$F,0,Summary!M$2),'BPC Data'!$E:$E,Summary!$D517,'BPC Data'!$B:$B,Summary!$C517)</f>
        <v>0</v>
      </c>
      <c r="N517" s="53">
        <f ca="1">SUMIFS(OFFSET('BPC Data'!$F:$F,0,Summary!N$2),'BPC Data'!$E:$E,Summary!$D517,'BPC Data'!$B:$B,Summary!$C517)</f>
        <v>0</v>
      </c>
      <c r="O517" s="18">
        <f t="shared" ca="1" si="78"/>
        <v>0</v>
      </c>
    </row>
    <row r="518" spans="1:15" s="11" customFormat="1" hidden="1" outlineLevel="1" x14ac:dyDescent="0.55000000000000004">
      <c r="A518" s="11">
        <f t="shared" si="85"/>
        <v>47</v>
      </c>
      <c r="B518"/>
      <c r="C518">
        <f>$F515</f>
        <v>0</v>
      </c>
      <c r="D518" s="3" t="str">
        <f t="shared" si="80"/>
        <v>T_REVENUES - Total Tenant Revenues</v>
      </c>
      <c r="E518"/>
      <c r="F518" s="14" t="str">
        <f>_xll.EVDES(D518)</f>
        <v>Total Tenant Revenues</v>
      </c>
      <c r="G518" s="60">
        <f ca="1">SUMIFS(OFFSET('BPC Data'!$F:$F,0,Summary!G$2),'BPC Data'!$E:$E,Summary!$D518,'BPC Data'!$B:$B,Summary!$C518)</f>
        <v>0</v>
      </c>
      <c r="H518" s="53">
        <f ca="1">SUMIFS(OFFSET('BPC Data'!$F:$F,0,Summary!H$2),'BPC Data'!$E:$E,Summary!$D518,'BPC Data'!$B:$B,Summary!$C518)</f>
        <v>0</v>
      </c>
      <c r="I518" s="60">
        <f ca="1">SUMIFS(OFFSET('BPC Data'!$F:$F,0,Summary!I$2),'BPC Data'!$E:$E,Summary!$D518,'BPC Data'!$B:$B,Summary!$C518)</f>
        <v>0</v>
      </c>
      <c r="J518" s="53">
        <f ca="1">SUMIFS(OFFSET('BPC Data'!$F:$F,0,Summary!J$2),'BPC Data'!$E:$E,Summary!$D518,'BPC Data'!$B:$B,Summary!$C518)</f>
        <v>0</v>
      </c>
      <c r="K518" s="60">
        <f ca="1">SUMIFS(OFFSET('BPC Data'!$F:$F,0,Summary!K$2),'BPC Data'!$E:$E,Summary!$D518,'BPC Data'!$B:$B,Summary!$C518)</f>
        <v>0</v>
      </c>
      <c r="L518" s="53">
        <f ca="1">SUMIFS(OFFSET('BPC Data'!$F:$F,0,Summary!L$2),'BPC Data'!$E:$E,Summary!$D518,'BPC Data'!$B:$B,Summary!$C518)</f>
        <v>0</v>
      </c>
      <c r="M518" s="60">
        <f ca="1">SUMIFS(OFFSET('BPC Data'!$F:$F,0,Summary!M$2),'BPC Data'!$E:$E,Summary!$D518,'BPC Data'!$B:$B,Summary!$C518)</f>
        <v>0</v>
      </c>
      <c r="N518" s="53">
        <f ca="1">SUMIFS(OFFSET('BPC Data'!$F:$F,0,Summary!N$2),'BPC Data'!$E:$E,Summary!$D518,'BPC Data'!$B:$B,Summary!$C518)</f>
        <v>0</v>
      </c>
      <c r="O518" s="18">
        <f t="shared" ca="1" si="78"/>
        <v>0</v>
      </c>
    </row>
    <row r="519" spans="1:15" s="11" customFormat="1" hidden="1" outlineLevel="1" x14ac:dyDescent="0.55000000000000004">
      <c r="A519" s="11">
        <f t="shared" si="85"/>
        <v>47</v>
      </c>
      <c r="B519"/>
      <c r="C519">
        <f>$F515</f>
        <v>0</v>
      </c>
      <c r="D519" s="3" t="str">
        <f t="shared" si="80"/>
        <v>T_OPEX - Tenant Operating Expenses</v>
      </c>
      <c r="E519"/>
      <c r="F519" s="14" t="str">
        <f>_xll.EVDES(D519)</f>
        <v>Tenant Operating Expenses</v>
      </c>
      <c r="G519" s="60">
        <f ca="1">SUMIFS(OFFSET('BPC Data'!$F:$F,0,Summary!G$2),'BPC Data'!$E:$E,Summary!$D519,'BPC Data'!$B:$B,Summary!$C519)</f>
        <v>0</v>
      </c>
      <c r="H519" s="53">
        <f ca="1">SUMIFS(OFFSET('BPC Data'!$F:$F,0,Summary!H$2),'BPC Data'!$E:$E,Summary!$D519,'BPC Data'!$B:$B,Summary!$C519)</f>
        <v>0</v>
      </c>
      <c r="I519" s="60">
        <f ca="1">SUMIFS(OFFSET('BPC Data'!$F:$F,0,Summary!I$2),'BPC Data'!$E:$E,Summary!$D519,'BPC Data'!$B:$B,Summary!$C519)</f>
        <v>0</v>
      </c>
      <c r="J519" s="53">
        <f ca="1">SUMIFS(OFFSET('BPC Data'!$F:$F,0,Summary!J$2),'BPC Data'!$E:$E,Summary!$D519,'BPC Data'!$B:$B,Summary!$C519)</f>
        <v>0</v>
      </c>
      <c r="K519" s="60">
        <f ca="1">SUMIFS(OFFSET('BPC Data'!$F:$F,0,Summary!K$2),'BPC Data'!$E:$E,Summary!$D519,'BPC Data'!$B:$B,Summary!$C519)</f>
        <v>0</v>
      </c>
      <c r="L519" s="53">
        <f ca="1">SUMIFS(OFFSET('BPC Data'!$F:$F,0,Summary!L$2),'BPC Data'!$E:$E,Summary!$D519,'BPC Data'!$B:$B,Summary!$C519)</f>
        <v>0</v>
      </c>
      <c r="M519" s="60">
        <f ca="1">SUMIFS(OFFSET('BPC Data'!$F:$F,0,Summary!M$2),'BPC Data'!$E:$E,Summary!$D519,'BPC Data'!$B:$B,Summary!$C519)</f>
        <v>0</v>
      </c>
      <c r="N519" s="53">
        <f ca="1">SUMIFS(OFFSET('BPC Data'!$F:$F,0,Summary!N$2),'BPC Data'!$E:$E,Summary!$D519,'BPC Data'!$B:$B,Summary!$C519)</f>
        <v>0</v>
      </c>
      <c r="O519" s="18">
        <f t="shared" ca="1" si="78"/>
        <v>0</v>
      </c>
    </row>
    <row r="520" spans="1:15" s="11" customFormat="1" hidden="1" outlineLevel="1" x14ac:dyDescent="0.55000000000000004">
      <c r="A520" s="11">
        <f t="shared" si="85"/>
        <v>47</v>
      </c>
      <c r="B520"/>
      <c r="C520">
        <f>$F515</f>
        <v>0</v>
      </c>
      <c r="D520" s="3" t="str">
        <f t="shared" si="80"/>
        <v>T_BAD_DEBT - Tenant Bad Debt Expense</v>
      </c>
      <c r="E520"/>
      <c r="F520" s="14" t="str">
        <f>_xll.EVDES(D520)</f>
        <v>Tenant Bad Debt Expense</v>
      </c>
      <c r="G520" s="60">
        <f ca="1">SUMIFS(OFFSET('BPC Data'!$F:$F,0,Summary!G$2),'BPC Data'!$E:$E,Summary!$D520,'BPC Data'!$B:$B,Summary!$C520)</f>
        <v>0</v>
      </c>
      <c r="H520" s="53">
        <f ca="1">SUMIFS(OFFSET('BPC Data'!$F:$F,0,Summary!H$2),'BPC Data'!$E:$E,Summary!$D520,'BPC Data'!$B:$B,Summary!$C520)</f>
        <v>0</v>
      </c>
      <c r="I520" s="60">
        <f ca="1">SUMIFS(OFFSET('BPC Data'!$F:$F,0,Summary!I$2),'BPC Data'!$E:$E,Summary!$D520,'BPC Data'!$B:$B,Summary!$C520)</f>
        <v>0</v>
      </c>
      <c r="J520" s="53">
        <f ca="1">SUMIFS(OFFSET('BPC Data'!$F:$F,0,Summary!J$2),'BPC Data'!$E:$E,Summary!$D520,'BPC Data'!$B:$B,Summary!$C520)</f>
        <v>0</v>
      </c>
      <c r="K520" s="60">
        <f ca="1">SUMIFS(OFFSET('BPC Data'!$F:$F,0,Summary!K$2),'BPC Data'!$E:$E,Summary!$D520,'BPC Data'!$B:$B,Summary!$C520)</f>
        <v>0</v>
      </c>
      <c r="L520" s="53">
        <f ca="1">SUMIFS(OFFSET('BPC Data'!$F:$F,0,Summary!L$2),'BPC Data'!$E:$E,Summary!$D520,'BPC Data'!$B:$B,Summary!$C520)</f>
        <v>0</v>
      </c>
      <c r="M520" s="60">
        <f ca="1">SUMIFS(OFFSET('BPC Data'!$F:$F,0,Summary!M$2),'BPC Data'!$E:$E,Summary!$D520,'BPC Data'!$B:$B,Summary!$C520)</f>
        <v>0</v>
      </c>
      <c r="N520" s="53">
        <f ca="1">SUMIFS(OFFSET('BPC Data'!$F:$F,0,Summary!N$2),'BPC Data'!$E:$E,Summary!$D520,'BPC Data'!$B:$B,Summary!$C520)</f>
        <v>0</v>
      </c>
      <c r="O520" s="18">
        <f t="shared" ca="1" si="78"/>
        <v>0</v>
      </c>
    </row>
    <row r="521" spans="1:15" s="11" customFormat="1" hidden="1" outlineLevel="1" x14ac:dyDescent="0.55000000000000004">
      <c r="A521" s="11">
        <f t="shared" si="85"/>
        <v>47</v>
      </c>
      <c r="B521"/>
      <c r="C521">
        <f>$F515</f>
        <v>0</v>
      </c>
      <c r="D521" s="2" t="str">
        <f t="shared" si="80"/>
        <v>T_EBITDARM - EBITDARM</v>
      </c>
      <c r="E521"/>
      <c r="F521" s="14" t="str">
        <f>_xll.EVDES(D521)</f>
        <v>EBITDARM</v>
      </c>
      <c r="G521" s="60">
        <f ca="1">SUMIFS(OFFSET('BPC Data'!$F:$F,0,Summary!G$2),'BPC Data'!$E:$E,Summary!$D521,'BPC Data'!$B:$B,Summary!$C521)</f>
        <v>0</v>
      </c>
      <c r="H521" s="53">
        <f ca="1">SUMIFS(OFFSET('BPC Data'!$F:$F,0,Summary!H$2),'BPC Data'!$E:$E,Summary!$D521,'BPC Data'!$B:$B,Summary!$C521)</f>
        <v>0</v>
      </c>
      <c r="I521" s="60">
        <f ca="1">SUMIFS(OFFSET('BPC Data'!$F:$F,0,Summary!I$2),'BPC Data'!$E:$E,Summary!$D521,'BPC Data'!$B:$B,Summary!$C521)</f>
        <v>0</v>
      </c>
      <c r="J521" s="53">
        <f ca="1">SUMIFS(OFFSET('BPC Data'!$F:$F,0,Summary!J$2),'BPC Data'!$E:$E,Summary!$D521,'BPC Data'!$B:$B,Summary!$C521)</f>
        <v>0</v>
      </c>
      <c r="K521" s="60">
        <f ca="1">SUMIFS(OFFSET('BPC Data'!$F:$F,0,Summary!K$2),'BPC Data'!$E:$E,Summary!$D521,'BPC Data'!$B:$B,Summary!$C521)</f>
        <v>0</v>
      </c>
      <c r="L521" s="53">
        <f ca="1">SUMIFS(OFFSET('BPC Data'!$F:$F,0,Summary!L$2),'BPC Data'!$E:$E,Summary!$D521,'BPC Data'!$B:$B,Summary!$C521)</f>
        <v>0</v>
      </c>
      <c r="M521" s="60">
        <f ca="1">SUMIFS(OFFSET('BPC Data'!$F:$F,0,Summary!M$2),'BPC Data'!$E:$E,Summary!$D521,'BPC Data'!$B:$B,Summary!$C521)</f>
        <v>0</v>
      </c>
      <c r="N521" s="53">
        <f ca="1">SUMIFS(OFFSET('BPC Data'!$F:$F,0,Summary!N$2),'BPC Data'!$E:$E,Summary!$D521,'BPC Data'!$B:$B,Summary!$C521)</f>
        <v>0</v>
      </c>
      <c r="O521" s="18">
        <f t="shared" ref="O521:O550" ca="1" si="86">SUM(G521:N521)</f>
        <v>0</v>
      </c>
    </row>
    <row r="522" spans="1:15" s="11" customFormat="1" hidden="1" outlineLevel="1" x14ac:dyDescent="0.55000000000000004">
      <c r="A522" s="11">
        <f t="shared" si="85"/>
        <v>47</v>
      </c>
      <c r="B522"/>
      <c r="C522">
        <f>$F515</f>
        <v>0</v>
      </c>
      <c r="D522" s="2" t="str">
        <f t="shared" si="80"/>
        <v>T_MGMT_FEE - Tenant Management Fee - Actual</v>
      </c>
      <c r="E522"/>
      <c r="F522" s="14" t="str">
        <f>_xll.EVDES(D522)</f>
        <v>Tenant Management Fee - Actual</v>
      </c>
      <c r="G522" s="60">
        <f ca="1">SUMIFS(OFFSET('BPC Data'!$F:$F,0,Summary!G$2),'BPC Data'!$E:$E,Summary!$D522,'BPC Data'!$B:$B,Summary!$C522)</f>
        <v>0</v>
      </c>
      <c r="H522" s="53">
        <f ca="1">SUMIFS(OFFSET('BPC Data'!$F:$F,0,Summary!H$2),'BPC Data'!$E:$E,Summary!$D522,'BPC Data'!$B:$B,Summary!$C522)</f>
        <v>0</v>
      </c>
      <c r="I522" s="60">
        <f ca="1">SUMIFS(OFFSET('BPC Data'!$F:$F,0,Summary!I$2),'BPC Data'!$E:$E,Summary!$D522,'BPC Data'!$B:$B,Summary!$C522)</f>
        <v>0</v>
      </c>
      <c r="J522" s="53">
        <f ca="1">SUMIFS(OFFSET('BPC Data'!$F:$F,0,Summary!J$2),'BPC Data'!$E:$E,Summary!$D522,'BPC Data'!$B:$B,Summary!$C522)</f>
        <v>0</v>
      </c>
      <c r="K522" s="60">
        <f ca="1">SUMIFS(OFFSET('BPC Data'!$F:$F,0,Summary!K$2),'BPC Data'!$E:$E,Summary!$D522,'BPC Data'!$B:$B,Summary!$C522)</f>
        <v>0</v>
      </c>
      <c r="L522" s="53">
        <f ca="1">SUMIFS(OFFSET('BPC Data'!$F:$F,0,Summary!L$2),'BPC Data'!$E:$E,Summary!$D522,'BPC Data'!$B:$B,Summary!$C522)</f>
        <v>0</v>
      </c>
      <c r="M522" s="60">
        <f ca="1">SUMIFS(OFFSET('BPC Data'!$F:$F,0,Summary!M$2),'BPC Data'!$E:$E,Summary!$D522,'BPC Data'!$B:$B,Summary!$C522)</f>
        <v>0</v>
      </c>
      <c r="N522" s="53">
        <f ca="1">SUMIFS(OFFSET('BPC Data'!$F:$F,0,Summary!N$2),'BPC Data'!$E:$E,Summary!$D522,'BPC Data'!$B:$B,Summary!$C522)</f>
        <v>0</v>
      </c>
      <c r="O522" s="18">
        <f t="shared" ca="1" si="86"/>
        <v>0</v>
      </c>
    </row>
    <row r="523" spans="1:15" s="11" customFormat="1" hidden="1" outlineLevel="1" x14ac:dyDescent="0.55000000000000004">
      <c r="A523" s="11">
        <f t="shared" si="85"/>
        <v>47</v>
      </c>
      <c r="B523"/>
      <c r="C523">
        <f>$F515</f>
        <v>0</v>
      </c>
      <c r="D523" s="1" t="str">
        <f t="shared" si="80"/>
        <v>T_EBITDAR - EBITDAR</v>
      </c>
      <c r="E523"/>
      <c r="F523" s="14" t="str">
        <f>_xll.EVDES(D523)</f>
        <v>EBITDAR</v>
      </c>
      <c r="G523" s="60">
        <f ca="1">SUMIFS(OFFSET('BPC Data'!$F:$F,0,Summary!G$2),'BPC Data'!$E:$E,Summary!$D523,'BPC Data'!$B:$B,Summary!$C523)</f>
        <v>0</v>
      </c>
      <c r="H523" s="53">
        <f ca="1">SUMIFS(OFFSET('BPC Data'!$F:$F,0,Summary!H$2),'BPC Data'!$E:$E,Summary!$D523,'BPC Data'!$B:$B,Summary!$C523)</f>
        <v>0</v>
      </c>
      <c r="I523" s="60">
        <f ca="1">SUMIFS(OFFSET('BPC Data'!$F:$F,0,Summary!I$2),'BPC Data'!$E:$E,Summary!$D523,'BPC Data'!$B:$B,Summary!$C523)</f>
        <v>0</v>
      </c>
      <c r="J523" s="53">
        <f ca="1">SUMIFS(OFFSET('BPC Data'!$F:$F,0,Summary!J$2),'BPC Data'!$E:$E,Summary!$D523,'BPC Data'!$B:$B,Summary!$C523)</f>
        <v>0</v>
      </c>
      <c r="K523" s="60">
        <f ca="1">SUMIFS(OFFSET('BPC Data'!$F:$F,0,Summary!K$2),'BPC Data'!$E:$E,Summary!$D523,'BPC Data'!$B:$B,Summary!$C523)</f>
        <v>0</v>
      </c>
      <c r="L523" s="53">
        <f ca="1">SUMIFS(OFFSET('BPC Data'!$F:$F,0,Summary!L$2),'BPC Data'!$E:$E,Summary!$D523,'BPC Data'!$B:$B,Summary!$C523)</f>
        <v>0</v>
      </c>
      <c r="M523" s="60">
        <f ca="1">SUMIFS(OFFSET('BPC Data'!$F:$F,0,Summary!M$2),'BPC Data'!$E:$E,Summary!$D523,'BPC Data'!$B:$B,Summary!$C523)</f>
        <v>0</v>
      </c>
      <c r="N523" s="53">
        <f ca="1">SUMIFS(OFFSET('BPC Data'!$F:$F,0,Summary!N$2),'BPC Data'!$E:$E,Summary!$D523,'BPC Data'!$B:$B,Summary!$C523)</f>
        <v>0</v>
      </c>
      <c r="O523" s="18">
        <f t="shared" ca="1" si="86"/>
        <v>0</v>
      </c>
    </row>
    <row r="524" spans="1:15" s="11" customFormat="1" hidden="1" outlineLevel="1" x14ac:dyDescent="0.55000000000000004">
      <c r="A524" s="11">
        <f t="shared" si="85"/>
        <v>47</v>
      </c>
      <c r="B524"/>
      <c r="C524">
        <f>$F515</f>
        <v>0</v>
      </c>
      <c r="D524" s="1" t="str">
        <f t="shared" si="80"/>
        <v>T_RENT_EXP - Tenant Rent Expense</v>
      </c>
      <c r="E524"/>
      <c r="F524" s="14" t="str">
        <f>_xll.EVDES(D524)</f>
        <v>Tenant Rent Expense</v>
      </c>
      <c r="G524" s="60">
        <f ca="1">SUMIFS(OFFSET('BPC Data'!$F:$F,0,Summary!G$2),'BPC Data'!$E:$E,Summary!$D524,'BPC Data'!$B:$B,Summary!$C524)</f>
        <v>0</v>
      </c>
      <c r="H524" s="53">
        <f ca="1">SUMIFS(OFFSET('BPC Data'!$F:$F,0,Summary!H$2),'BPC Data'!$E:$E,Summary!$D524,'BPC Data'!$B:$B,Summary!$C524)</f>
        <v>0</v>
      </c>
      <c r="I524" s="60">
        <f ca="1">SUMIFS(OFFSET('BPC Data'!$F:$F,0,Summary!I$2),'BPC Data'!$E:$E,Summary!$D524,'BPC Data'!$B:$B,Summary!$C524)</f>
        <v>0</v>
      </c>
      <c r="J524" s="53">
        <f ca="1">SUMIFS(OFFSET('BPC Data'!$F:$F,0,Summary!J$2),'BPC Data'!$E:$E,Summary!$D524,'BPC Data'!$B:$B,Summary!$C524)</f>
        <v>0</v>
      </c>
      <c r="K524" s="60">
        <f ca="1">SUMIFS(OFFSET('BPC Data'!$F:$F,0,Summary!K$2),'BPC Data'!$E:$E,Summary!$D524,'BPC Data'!$B:$B,Summary!$C524)</f>
        <v>0</v>
      </c>
      <c r="L524" s="53">
        <f ca="1">SUMIFS(OFFSET('BPC Data'!$F:$F,0,Summary!L$2),'BPC Data'!$E:$E,Summary!$D524,'BPC Data'!$B:$B,Summary!$C524)</f>
        <v>0</v>
      </c>
      <c r="M524" s="60">
        <f ca="1">SUMIFS(OFFSET('BPC Data'!$F:$F,0,Summary!M$2),'BPC Data'!$E:$E,Summary!$D524,'BPC Data'!$B:$B,Summary!$C524)</f>
        <v>0</v>
      </c>
      <c r="N524" s="53">
        <f ca="1">SUMIFS(OFFSET('BPC Data'!$F:$F,0,Summary!N$2),'BPC Data'!$E:$E,Summary!$D524,'BPC Data'!$B:$B,Summary!$C524)</f>
        <v>0</v>
      </c>
      <c r="O524" s="18">
        <f t="shared" ca="1" si="86"/>
        <v>0</v>
      </c>
    </row>
    <row r="525" spans="1:15" s="11" customFormat="1" hidden="1" outlineLevel="1" x14ac:dyDescent="0.55000000000000004">
      <c r="A525" s="11">
        <f t="shared" si="85"/>
        <v>47</v>
      </c>
      <c r="B525"/>
      <c r="C525"/>
      <c r="D525" s="1" t="str">
        <f t="shared" si="80"/>
        <v>x</v>
      </c>
      <c r="E525"/>
      <c r="F525" s="14" t="s">
        <v>0</v>
      </c>
      <c r="G525" s="61">
        <f ca="1">SUMIFS(OFFSET('BPC Data'!$F:$F,0,Summary!G$2),'BPC Data'!$E:$E,Summary!$D525,'BPC Data'!$B:$B,Summary!$C525)</f>
        <v>0</v>
      </c>
      <c r="H525" s="54">
        <f ca="1">SUMIFS(OFFSET('BPC Data'!$F:$F,0,Summary!H$2),'BPC Data'!$E:$E,Summary!$D525,'BPC Data'!$B:$B,Summary!$C525)</f>
        <v>0</v>
      </c>
      <c r="I525" s="61">
        <f ca="1">SUMIFS(OFFSET('BPC Data'!$F:$F,0,Summary!I$2),'BPC Data'!$E:$E,Summary!$D525,'BPC Data'!$B:$B,Summary!$C525)</f>
        <v>0</v>
      </c>
      <c r="J525" s="54">
        <f ca="1">SUMIFS(OFFSET('BPC Data'!$F:$F,0,Summary!J$2),'BPC Data'!$E:$E,Summary!$D525,'BPC Data'!$B:$B,Summary!$C525)</f>
        <v>0</v>
      </c>
      <c r="K525" s="61">
        <f ca="1">SUMIFS(OFFSET('BPC Data'!$F:$F,0,Summary!K$2),'BPC Data'!$E:$E,Summary!$D525,'BPC Data'!$B:$B,Summary!$C525)</f>
        <v>0</v>
      </c>
      <c r="L525" s="54">
        <f ca="1">SUMIFS(OFFSET('BPC Data'!$F:$F,0,Summary!L$2),'BPC Data'!$E:$E,Summary!$D525,'BPC Data'!$B:$B,Summary!$C525)</f>
        <v>0</v>
      </c>
      <c r="M525" s="61">
        <f ca="1">SUMIFS(OFFSET('BPC Data'!$F:$F,0,Summary!M$2),'BPC Data'!$E:$E,Summary!$D525,'BPC Data'!$B:$B,Summary!$C525)</f>
        <v>0</v>
      </c>
      <c r="N525" s="54">
        <f ca="1">SUMIFS(OFFSET('BPC Data'!$F:$F,0,Summary!N$2),'BPC Data'!$E:$E,Summary!$D525,'BPC Data'!$B:$B,Summary!$C525)</f>
        <v>0</v>
      </c>
      <c r="O525" s="18">
        <f t="shared" ca="1" si="86"/>
        <v>0</v>
      </c>
    </row>
    <row r="526" spans="1:15" s="11" customFormat="1" hidden="1" outlineLevel="1" x14ac:dyDescent="0.55000000000000004">
      <c r="A526" s="11">
        <f>IF(AND(D526&lt;&gt;"",C526=""),A525+1,A525)</f>
        <v>48</v>
      </c>
      <c r="B526" s="4"/>
      <c r="C526" s="4"/>
      <c r="D526" s="4" t="str">
        <f t="shared" si="80"/>
        <v>x</v>
      </c>
      <c r="E526" s="4"/>
      <c r="F526" s="13">
        <f>INDEX(PropertyList!$D:$D,MATCH(Summary!$A526,PropertyList!$C:$C,0))</f>
        <v>0</v>
      </c>
      <c r="G526" s="59">
        <f ca="1">SUMIFS(OFFSET('BPC Data'!$F:$F,0,Summary!G$2),'BPC Data'!$E:$E,Summary!$D526,'BPC Data'!$B:$B,Summary!$C526)</f>
        <v>0</v>
      </c>
      <c r="H526" s="52">
        <f ca="1">SUMIFS(OFFSET('BPC Data'!$F:$F,0,Summary!H$2),'BPC Data'!$E:$E,Summary!$D526,'BPC Data'!$B:$B,Summary!$C526)</f>
        <v>0</v>
      </c>
      <c r="I526" s="59">
        <f ca="1">SUMIFS(OFFSET('BPC Data'!$F:$F,0,Summary!I$2),'BPC Data'!$E:$E,Summary!$D526,'BPC Data'!$B:$B,Summary!$C526)</f>
        <v>0</v>
      </c>
      <c r="J526" s="52">
        <f ca="1">SUMIFS(OFFSET('BPC Data'!$F:$F,0,Summary!J$2),'BPC Data'!$E:$E,Summary!$D526,'BPC Data'!$B:$B,Summary!$C526)</f>
        <v>0</v>
      </c>
      <c r="K526" s="59">
        <f ca="1">SUMIFS(OFFSET('BPC Data'!$F:$F,0,Summary!K$2),'BPC Data'!$E:$E,Summary!$D526,'BPC Data'!$B:$B,Summary!$C526)</f>
        <v>0</v>
      </c>
      <c r="L526" s="52">
        <f ca="1">SUMIFS(OFFSET('BPC Data'!$F:$F,0,Summary!L$2),'BPC Data'!$E:$E,Summary!$D526,'BPC Data'!$B:$B,Summary!$C526)</f>
        <v>0</v>
      </c>
      <c r="M526" s="59">
        <f ca="1">SUMIFS(OFFSET('BPC Data'!$F:$F,0,Summary!M$2),'BPC Data'!$E:$E,Summary!$D526,'BPC Data'!$B:$B,Summary!$C526)</f>
        <v>0</v>
      </c>
      <c r="N526" s="52">
        <f ca="1">SUMIFS(OFFSET('BPC Data'!$F:$F,0,Summary!N$2),'BPC Data'!$E:$E,Summary!$D526,'BPC Data'!$B:$B,Summary!$C526)</f>
        <v>0</v>
      </c>
      <c r="O526" s="18">
        <f t="shared" ca="1" si="86"/>
        <v>0</v>
      </c>
    </row>
    <row r="527" spans="1:15" s="11" customFormat="1" hidden="1" outlineLevel="1" x14ac:dyDescent="0.55000000000000004">
      <c r="A527" s="11">
        <f>IF(AND(F527&lt;&gt;"",D527=""),A526+1,A526)</f>
        <v>48</v>
      </c>
      <c r="C527">
        <f>$F526</f>
        <v>0</v>
      </c>
      <c r="D527" s="3" t="str">
        <f t="shared" si="80"/>
        <v>PAY_PAT_DAYS - Total Payor Patient Days</v>
      </c>
      <c r="F527" s="14" t="str">
        <f>_xll.EVDES(D527)</f>
        <v>Total Payor Patient Days</v>
      </c>
      <c r="G527" s="60">
        <f ca="1">SUMIFS(OFFSET('BPC Data'!$F:$F,0,Summary!G$2),'BPC Data'!$E:$E,Summary!$D527,'BPC Data'!$B:$B,Summary!$C527)</f>
        <v>0</v>
      </c>
      <c r="H527" s="53">
        <f ca="1">SUMIFS(OFFSET('BPC Data'!$F:$F,0,Summary!H$2),'BPC Data'!$E:$E,Summary!$D527,'BPC Data'!$B:$B,Summary!$C527)</f>
        <v>0</v>
      </c>
      <c r="I527" s="60">
        <f ca="1">SUMIFS(OFFSET('BPC Data'!$F:$F,0,Summary!I$2),'BPC Data'!$E:$E,Summary!$D527,'BPC Data'!$B:$B,Summary!$C527)</f>
        <v>0</v>
      </c>
      <c r="J527" s="53">
        <f ca="1">SUMIFS(OFFSET('BPC Data'!$F:$F,0,Summary!J$2),'BPC Data'!$E:$E,Summary!$D527,'BPC Data'!$B:$B,Summary!$C527)</f>
        <v>0</v>
      </c>
      <c r="K527" s="60">
        <f ca="1">SUMIFS(OFFSET('BPC Data'!$F:$F,0,Summary!K$2),'BPC Data'!$E:$E,Summary!$D527,'BPC Data'!$B:$B,Summary!$C527)</f>
        <v>0</v>
      </c>
      <c r="L527" s="53">
        <f ca="1">SUMIFS(OFFSET('BPC Data'!$F:$F,0,Summary!L$2),'BPC Data'!$E:$E,Summary!$D527,'BPC Data'!$B:$B,Summary!$C527)</f>
        <v>0</v>
      </c>
      <c r="M527" s="60">
        <f ca="1">SUMIFS(OFFSET('BPC Data'!$F:$F,0,Summary!M$2),'BPC Data'!$E:$E,Summary!$D527,'BPC Data'!$B:$B,Summary!$C527)</f>
        <v>0</v>
      </c>
      <c r="N527" s="53">
        <f ca="1">SUMIFS(OFFSET('BPC Data'!$F:$F,0,Summary!N$2),'BPC Data'!$E:$E,Summary!$D527,'BPC Data'!$B:$B,Summary!$C527)</f>
        <v>0</v>
      </c>
      <c r="O527" s="18">
        <f t="shared" ca="1" si="86"/>
        <v>0</v>
      </c>
    </row>
    <row r="528" spans="1:15" s="11" customFormat="1" hidden="1" outlineLevel="1" x14ac:dyDescent="0.55000000000000004">
      <c r="A528" s="11">
        <f t="shared" ref="A528:A536" si="87">IF(AND(F528&lt;&gt;"",D528=""),A527+1,A527)</f>
        <v>48</v>
      </c>
      <c r="C528">
        <f>$F526</f>
        <v>0</v>
      </c>
      <c r="D528" s="3" t="str">
        <f t="shared" si="80"/>
        <v>A_BEDS_TOTAL - Total Available Beds</v>
      </c>
      <c r="F528" s="14" t="str">
        <f>_xll.EVDES(D528)</f>
        <v>Total Available Beds</v>
      </c>
      <c r="G528" s="60">
        <f ca="1">SUMIFS(OFFSET('BPC Data'!$F:$F,0,Summary!G$2),'BPC Data'!$E:$E,Summary!$D528,'BPC Data'!$B:$B,Summary!$C528)</f>
        <v>0</v>
      </c>
      <c r="H528" s="53">
        <f ca="1">SUMIFS(OFFSET('BPC Data'!$F:$F,0,Summary!H$2),'BPC Data'!$E:$E,Summary!$D528,'BPC Data'!$B:$B,Summary!$C528)</f>
        <v>0</v>
      </c>
      <c r="I528" s="60">
        <f ca="1">SUMIFS(OFFSET('BPC Data'!$F:$F,0,Summary!I$2),'BPC Data'!$E:$E,Summary!$D528,'BPC Data'!$B:$B,Summary!$C528)</f>
        <v>0</v>
      </c>
      <c r="J528" s="53">
        <f ca="1">SUMIFS(OFFSET('BPC Data'!$F:$F,0,Summary!J$2),'BPC Data'!$E:$E,Summary!$D528,'BPC Data'!$B:$B,Summary!$C528)</f>
        <v>0</v>
      </c>
      <c r="K528" s="60">
        <f ca="1">SUMIFS(OFFSET('BPC Data'!$F:$F,0,Summary!K$2),'BPC Data'!$E:$E,Summary!$D528,'BPC Data'!$B:$B,Summary!$C528)</f>
        <v>0</v>
      </c>
      <c r="L528" s="53">
        <f ca="1">SUMIFS(OFFSET('BPC Data'!$F:$F,0,Summary!L$2),'BPC Data'!$E:$E,Summary!$D528,'BPC Data'!$B:$B,Summary!$C528)</f>
        <v>0</v>
      </c>
      <c r="M528" s="60">
        <f ca="1">SUMIFS(OFFSET('BPC Data'!$F:$F,0,Summary!M$2),'BPC Data'!$E:$E,Summary!$D528,'BPC Data'!$B:$B,Summary!$C528)</f>
        <v>0</v>
      </c>
      <c r="N528" s="53">
        <f ca="1">SUMIFS(OFFSET('BPC Data'!$F:$F,0,Summary!N$2),'BPC Data'!$E:$E,Summary!$D528,'BPC Data'!$B:$B,Summary!$C528)</f>
        <v>0</v>
      </c>
      <c r="O528" s="18">
        <f t="shared" ca="1" si="86"/>
        <v>0</v>
      </c>
    </row>
    <row r="529" spans="1:15" s="11" customFormat="1" hidden="1" outlineLevel="1" x14ac:dyDescent="0.55000000000000004">
      <c r="A529" s="11">
        <f t="shared" si="87"/>
        <v>48</v>
      </c>
      <c r="B529"/>
      <c r="C529">
        <f>$F526</f>
        <v>0</v>
      </c>
      <c r="D529" s="3" t="str">
        <f t="shared" si="80"/>
        <v>T_REVENUES - Total Tenant Revenues</v>
      </c>
      <c r="E529"/>
      <c r="F529" s="14" t="str">
        <f>_xll.EVDES(D529)</f>
        <v>Total Tenant Revenues</v>
      </c>
      <c r="G529" s="60">
        <f ca="1">SUMIFS(OFFSET('BPC Data'!$F:$F,0,Summary!G$2),'BPC Data'!$E:$E,Summary!$D529,'BPC Data'!$B:$B,Summary!$C529)</f>
        <v>0</v>
      </c>
      <c r="H529" s="53">
        <f ca="1">SUMIFS(OFFSET('BPC Data'!$F:$F,0,Summary!H$2),'BPC Data'!$E:$E,Summary!$D529,'BPC Data'!$B:$B,Summary!$C529)</f>
        <v>0</v>
      </c>
      <c r="I529" s="60">
        <f ca="1">SUMIFS(OFFSET('BPC Data'!$F:$F,0,Summary!I$2),'BPC Data'!$E:$E,Summary!$D529,'BPC Data'!$B:$B,Summary!$C529)</f>
        <v>0</v>
      </c>
      <c r="J529" s="53">
        <f ca="1">SUMIFS(OFFSET('BPC Data'!$F:$F,0,Summary!J$2),'BPC Data'!$E:$E,Summary!$D529,'BPC Data'!$B:$B,Summary!$C529)</f>
        <v>0</v>
      </c>
      <c r="K529" s="60">
        <f ca="1">SUMIFS(OFFSET('BPC Data'!$F:$F,0,Summary!K$2),'BPC Data'!$E:$E,Summary!$D529,'BPC Data'!$B:$B,Summary!$C529)</f>
        <v>0</v>
      </c>
      <c r="L529" s="53">
        <f ca="1">SUMIFS(OFFSET('BPC Data'!$F:$F,0,Summary!L$2),'BPC Data'!$E:$E,Summary!$D529,'BPC Data'!$B:$B,Summary!$C529)</f>
        <v>0</v>
      </c>
      <c r="M529" s="60">
        <f ca="1">SUMIFS(OFFSET('BPC Data'!$F:$F,0,Summary!M$2),'BPC Data'!$E:$E,Summary!$D529,'BPC Data'!$B:$B,Summary!$C529)</f>
        <v>0</v>
      </c>
      <c r="N529" s="53">
        <f ca="1">SUMIFS(OFFSET('BPC Data'!$F:$F,0,Summary!N$2),'BPC Data'!$E:$E,Summary!$D529,'BPC Data'!$B:$B,Summary!$C529)</f>
        <v>0</v>
      </c>
      <c r="O529" s="18">
        <f t="shared" ca="1" si="86"/>
        <v>0</v>
      </c>
    </row>
    <row r="530" spans="1:15" s="11" customFormat="1" hidden="1" outlineLevel="1" x14ac:dyDescent="0.55000000000000004">
      <c r="A530" s="11">
        <f t="shared" si="87"/>
        <v>48</v>
      </c>
      <c r="B530"/>
      <c r="C530">
        <f>$F526</f>
        <v>0</v>
      </c>
      <c r="D530" s="3" t="str">
        <f t="shared" si="80"/>
        <v>T_OPEX - Tenant Operating Expenses</v>
      </c>
      <c r="E530"/>
      <c r="F530" s="14" t="str">
        <f>_xll.EVDES(D530)</f>
        <v>Tenant Operating Expenses</v>
      </c>
      <c r="G530" s="60">
        <f ca="1">SUMIFS(OFFSET('BPC Data'!$F:$F,0,Summary!G$2),'BPC Data'!$E:$E,Summary!$D530,'BPC Data'!$B:$B,Summary!$C530)</f>
        <v>0</v>
      </c>
      <c r="H530" s="53">
        <f ca="1">SUMIFS(OFFSET('BPC Data'!$F:$F,0,Summary!H$2),'BPC Data'!$E:$E,Summary!$D530,'BPC Data'!$B:$B,Summary!$C530)</f>
        <v>0</v>
      </c>
      <c r="I530" s="60">
        <f ca="1">SUMIFS(OFFSET('BPC Data'!$F:$F,0,Summary!I$2),'BPC Data'!$E:$E,Summary!$D530,'BPC Data'!$B:$B,Summary!$C530)</f>
        <v>0</v>
      </c>
      <c r="J530" s="53">
        <f ca="1">SUMIFS(OFFSET('BPC Data'!$F:$F,0,Summary!J$2),'BPC Data'!$E:$E,Summary!$D530,'BPC Data'!$B:$B,Summary!$C530)</f>
        <v>0</v>
      </c>
      <c r="K530" s="60">
        <f ca="1">SUMIFS(OFFSET('BPC Data'!$F:$F,0,Summary!K$2),'BPC Data'!$E:$E,Summary!$D530,'BPC Data'!$B:$B,Summary!$C530)</f>
        <v>0</v>
      </c>
      <c r="L530" s="53">
        <f ca="1">SUMIFS(OFFSET('BPC Data'!$F:$F,0,Summary!L$2),'BPC Data'!$E:$E,Summary!$D530,'BPC Data'!$B:$B,Summary!$C530)</f>
        <v>0</v>
      </c>
      <c r="M530" s="60">
        <f ca="1">SUMIFS(OFFSET('BPC Data'!$F:$F,0,Summary!M$2),'BPC Data'!$E:$E,Summary!$D530,'BPC Data'!$B:$B,Summary!$C530)</f>
        <v>0</v>
      </c>
      <c r="N530" s="53">
        <f ca="1">SUMIFS(OFFSET('BPC Data'!$F:$F,0,Summary!N$2),'BPC Data'!$E:$E,Summary!$D530,'BPC Data'!$B:$B,Summary!$C530)</f>
        <v>0</v>
      </c>
      <c r="O530" s="18">
        <f t="shared" ca="1" si="86"/>
        <v>0</v>
      </c>
    </row>
    <row r="531" spans="1:15" s="11" customFormat="1" hidden="1" outlineLevel="1" x14ac:dyDescent="0.55000000000000004">
      <c r="A531" s="11">
        <f t="shared" si="87"/>
        <v>48</v>
      </c>
      <c r="B531"/>
      <c r="C531">
        <f>$F526</f>
        <v>0</v>
      </c>
      <c r="D531" s="3" t="str">
        <f t="shared" si="80"/>
        <v>T_BAD_DEBT - Tenant Bad Debt Expense</v>
      </c>
      <c r="E531"/>
      <c r="F531" s="14" t="str">
        <f>_xll.EVDES(D531)</f>
        <v>Tenant Bad Debt Expense</v>
      </c>
      <c r="G531" s="60">
        <f ca="1">SUMIFS(OFFSET('BPC Data'!$F:$F,0,Summary!G$2),'BPC Data'!$E:$E,Summary!$D531,'BPC Data'!$B:$B,Summary!$C531)</f>
        <v>0</v>
      </c>
      <c r="H531" s="53">
        <f ca="1">SUMIFS(OFFSET('BPC Data'!$F:$F,0,Summary!H$2),'BPC Data'!$E:$E,Summary!$D531,'BPC Data'!$B:$B,Summary!$C531)</f>
        <v>0</v>
      </c>
      <c r="I531" s="60">
        <f ca="1">SUMIFS(OFFSET('BPC Data'!$F:$F,0,Summary!I$2),'BPC Data'!$E:$E,Summary!$D531,'BPC Data'!$B:$B,Summary!$C531)</f>
        <v>0</v>
      </c>
      <c r="J531" s="53">
        <f ca="1">SUMIFS(OFFSET('BPC Data'!$F:$F,0,Summary!J$2),'BPC Data'!$E:$E,Summary!$D531,'BPC Data'!$B:$B,Summary!$C531)</f>
        <v>0</v>
      </c>
      <c r="K531" s="60">
        <f ca="1">SUMIFS(OFFSET('BPC Data'!$F:$F,0,Summary!K$2),'BPC Data'!$E:$E,Summary!$D531,'BPC Data'!$B:$B,Summary!$C531)</f>
        <v>0</v>
      </c>
      <c r="L531" s="53">
        <f ca="1">SUMIFS(OFFSET('BPC Data'!$F:$F,0,Summary!L$2),'BPC Data'!$E:$E,Summary!$D531,'BPC Data'!$B:$B,Summary!$C531)</f>
        <v>0</v>
      </c>
      <c r="M531" s="60">
        <f ca="1">SUMIFS(OFFSET('BPC Data'!$F:$F,0,Summary!M$2),'BPC Data'!$E:$E,Summary!$D531,'BPC Data'!$B:$B,Summary!$C531)</f>
        <v>0</v>
      </c>
      <c r="N531" s="53">
        <f ca="1">SUMIFS(OFFSET('BPC Data'!$F:$F,0,Summary!N$2),'BPC Data'!$E:$E,Summary!$D531,'BPC Data'!$B:$B,Summary!$C531)</f>
        <v>0</v>
      </c>
      <c r="O531" s="18">
        <f t="shared" ca="1" si="86"/>
        <v>0</v>
      </c>
    </row>
    <row r="532" spans="1:15" s="11" customFormat="1" hidden="1" outlineLevel="1" x14ac:dyDescent="0.55000000000000004">
      <c r="A532" s="11">
        <f t="shared" si="87"/>
        <v>48</v>
      </c>
      <c r="B532"/>
      <c r="C532">
        <f>$F526</f>
        <v>0</v>
      </c>
      <c r="D532" s="2" t="str">
        <f t="shared" si="80"/>
        <v>T_EBITDARM - EBITDARM</v>
      </c>
      <c r="E532"/>
      <c r="F532" s="14" t="str">
        <f>_xll.EVDES(D532)</f>
        <v>EBITDARM</v>
      </c>
      <c r="G532" s="60">
        <f ca="1">SUMIFS(OFFSET('BPC Data'!$F:$F,0,Summary!G$2),'BPC Data'!$E:$E,Summary!$D532,'BPC Data'!$B:$B,Summary!$C532)</f>
        <v>0</v>
      </c>
      <c r="H532" s="53">
        <f ca="1">SUMIFS(OFFSET('BPC Data'!$F:$F,0,Summary!H$2),'BPC Data'!$E:$E,Summary!$D532,'BPC Data'!$B:$B,Summary!$C532)</f>
        <v>0</v>
      </c>
      <c r="I532" s="60">
        <f ca="1">SUMIFS(OFFSET('BPC Data'!$F:$F,0,Summary!I$2),'BPC Data'!$E:$E,Summary!$D532,'BPC Data'!$B:$B,Summary!$C532)</f>
        <v>0</v>
      </c>
      <c r="J532" s="53">
        <f ca="1">SUMIFS(OFFSET('BPC Data'!$F:$F,0,Summary!J$2),'BPC Data'!$E:$E,Summary!$D532,'BPC Data'!$B:$B,Summary!$C532)</f>
        <v>0</v>
      </c>
      <c r="K532" s="60">
        <f ca="1">SUMIFS(OFFSET('BPC Data'!$F:$F,0,Summary!K$2),'BPC Data'!$E:$E,Summary!$D532,'BPC Data'!$B:$B,Summary!$C532)</f>
        <v>0</v>
      </c>
      <c r="L532" s="53">
        <f ca="1">SUMIFS(OFFSET('BPC Data'!$F:$F,0,Summary!L$2),'BPC Data'!$E:$E,Summary!$D532,'BPC Data'!$B:$B,Summary!$C532)</f>
        <v>0</v>
      </c>
      <c r="M532" s="60">
        <f ca="1">SUMIFS(OFFSET('BPC Data'!$F:$F,0,Summary!M$2),'BPC Data'!$E:$E,Summary!$D532,'BPC Data'!$B:$B,Summary!$C532)</f>
        <v>0</v>
      </c>
      <c r="N532" s="53">
        <f ca="1">SUMIFS(OFFSET('BPC Data'!$F:$F,0,Summary!N$2),'BPC Data'!$E:$E,Summary!$D532,'BPC Data'!$B:$B,Summary!$C532)</f>
        <v>0</v>
      </c>
      <c r="O532" s="18">
        <f t="shared" ca="1" si="86"/>
        <v>0</v>
      </c>
    </row>
    <row r="533" spans="1:15" s="11" customFormat="1" hidden="1" outlineLevel="1" x14ac:dyDescent="0.55000000000000004">
      <c r="A533" s="11">
        <f t="shared" si="87"/>
        <v>48</v>
      </c>
      <c r="B533"/>
      <c r="C533">
        <f>$F526</f>
        <v>0</v>
      </c>
      <c r="D533" s="2" t="str">
        <f t="shared" si="80"/>
        <v>T_MGMT_FEE - Tenant Management Fee - Actual</v>
      </c>
      <c r="E533"/>
      <c r="F533" s="14" t="str">
        <f>_xll.EVDES(D533)</f>
        <v>Tenant Management Fee - Actual</v>
      </c>
      <c r="G533" s="60">
        <f ca="1">SUMIFS(OFFSET('BPC Data'!$F:$F,0,Summary!G$2),'BPC Data'!$E:$E,Summary!$D533,'BPC Data'!$B:$B,Summary!$C533)</f>
        <v>0</v>
      </c>
      <c r="H533" s="53">
        <f ca="1">SUMIFS(OFFSET('BPC Data'!$F:$F,0,Summary!H$2),'BPC Data'!$E:$E,Summary!$D533,'BPC Data'!$B:$B,Summary!$C533)</f>
        <v>0</v>
      </c>
      <c r="I533" s="60">
        <f ca="1">SUMIFS(OFFSET('BPC Data'!$F:$F,0,Summary!I$2),'BPC Data'!$E:$E,Summary!$D533,'BPC Data'!$B:$B,Summary!$C533)</f>
        <v>0</v>
      </c>
      <c r="J533" s="53">
        <f ca="1">SUMIFS(OFFSET('BPC Data'!$F:$F,0,Summary!J$2),'BPC Data'!$E:$E,Summary!$D533,'BPC Data'!$B:$B,Summary!$C533)</f>
        <v>0</v>
      </c>
      <c r="K533" s="60">
        <f ca="1">SUMIFS(OFFSET('BPC Data'!$F:$F,0,Summary!K$2),'BPC Data'!$E:$E,Summary!$D533,'BPC Data'!$B:$B,Summary!$C533)</f>
        <v>0</v>
      </c>
      <c r="L533" s="53">
        <f ca="1">SUMIFS(OFFSET('BPC Data'!$F:$F,0,Summary!L$2),'BPC Data'!$E:$E,Summary!$D533,'BPC Data'!$B:$B,Summary!$C533)</f>
        <v>0</v>
      </c>
      <c r="M533" s="60">
        <f ca="1">SUMIFS(OFFSET('BPC Data'!$F:$F,0,Summary!M$2),'BPC Data'!$E:$E,Summary!$D533,'BPC Data'!$B:$B,Summary!$C533)</f>
        <v>0</v>
      </c>
      <c r="N533" s="53">
        <f ca="1">SUMIFS(OFFSET('BPC Data'!$F:$F,0,Summary!N$2),'BPC Data'!$E:$E,Summary!$D533,'BPC Data'!$B:$B,Summary!$C533)</f>
        <v>0</v>
      </c>
      <c r="O533" s="18">
        <f t="shared" ca="1" si="86"/>
        <v>0</v>
      </c>
    </row>
    <row r="534" spans="1:15" s="11" customFormat="1" hidden="1" outlineLevel="1" x14ac:dyDescent="0.55000000000000004">
      <c r="A534" s="11">
        <f t="shared" si="87"/>
        <v>48</v>
      </c>
      <c r="B534"/>
      <c r="C534">
        <f>$F526</f>
        <v>0</v>
      </c>
      <c r="D534" s="1" t="str">
        <f t="shared" ref="D534:D537" si="88">$D523</f>
        <v>T_EBITDAR - EBITDAR</v>
      </c>
      <c r="E534"/>
      <c r="F534" s="14" t="str">
        <f>_xll.EVDES(D534)</f>
        <v>EBITDAR</v>
      </c>
      <c r="G534" s="60">
        <f ca="1">SUMIFS(OFFSET('BPC Data'!$F:$F,0,Summary!G$2),'BPC Data'!$E:$E,Summary!$D534,'BPC Data'!$B:$B,Summary!$C534)</f>
        <v>0</v>
      </c>
      <c r="H534" s="53">
        <f ca="1">SUMIFS(OFFSET('BPC Data'!$F:$F,0,Summary!H$2),'BPC Data'!$E:$E,Summary!$D534,'BPC Data'!$B:$B,Summary!$C534)</f>
        <v>0</v>
      </c>
      <c r="I534" s="60">
        <f ca="1">SUMIFS(OFFSET('BPC Data'!$F:$F,0,Summary!I$2),'BPC Data'!$E:$E,Summary!$D534,'BPC Data'!$B:$B,Summary!$C534)</f>
        <v>0</v>
      </c>
      <c r="J534" s="53">
        <f ca="1">SUMIFS(OFFSET('BPC Data'!$F:$F,0,Summary!J$2),'BPC Data'!$E:$E,Summary!$D534,'BPC Data'!$B:$B,Summary!$C534)</f>
        <v>0</v>
      </c>
      <c r="K534" s="60">
        <f ca="1">SUMIFS(OFFSET('BPC Data'!$F:$F,0,Summary!K$2),'BPC Data'!$E:$E,Summary!$D534,'BPC Data'!$B:$B,Summary!$C534)</f>
        <v>0</v>
      </c>
      <c r="L534" s="53">
        <f ca="1">SUMIFS(OFFSET('BPC Data'!$F:$F,0,Summary!L$2),'BPC Data'!$E:$E,Summary!$D534,'BPC Data'!$B:$B,Summary!$C534)</f>
        <v>0</v>
      </c>
      <c r="M534" s="60">
        <f ca="1">SUMIFS(OFFSET('BPC Data'!$F:$F,0,Summary!M$2),'BPC Data'!$E:$E,Summary!$D534,'BPC Data'!$B:$B,Summary!$C534)</f>
        <v>0</v>
      </c>
      <c r="N534" s="53">
        <f ca="1">SUMIFS(OFFSET('BPC Data'!$F:$F,0,Summary!N$2),'BPC Data'!$E:$E,Summary!$D534,'BPC Data'!$B:$B,Summary!$C534)</f>
        <v>0</v>
      </c>
      <c r="O534" s="18">
        <f t="shared" ca="1" si="86"/>
        <v>0</v>
      </c>
    </row>
    <row r="535" spans="1:15" s="11" customFormat="1" hidden="1" outlineLevel="1" x14ac:dyDescent="0.55000000000000004">
      <c r="A535" s="11">
        <f t="shared" si="87"/>
        <v>48</v>
      </c>
      <c r="B535"/>
      <c r="C535">
        <f>$F526</f>
        <v>0</v>
      </c>
      <c r="D535" s="1" t="str">
        <f t="shared" si="88"/>
        <v>T_RENT_EXP - Tenant Rent Expense</v>
      </c>
      <c r="E535"/>
      <c r="F535" s="14" t="str">
        <f>_xll.EVDES(D535)</f>
        <v>Tenant Rent Expense</v>
      </c>
      <c r="G535" s="60">
        <f ca="1">SUMIFS(OFFSET('BPC Data'!$F:$F,0,Summary!G$2),'BPC Data'!$E:$E,Summary!$D535,'BPC Data'!$B:$B,Summary!$C535)</f>
        <v>0</v>
      </c>
      <c r="H535" s="53">
        <f ca="1">SUMIFS(OFFSET('BPC Data'!$F:$F,0,Summary!H$2),'BPC Data'!$E:$E,Summary!$D535,'BPC Data'!$B:$B,Summary!$C535)</f>
        <v>0</v>
      </c>
      <c r="I535" s="60">
        <f ca="1">SUMIFS(OFFSET('BPC Data'!$F:$F,0,Summary!I$2),'BPC Data'!$E:$E,Summary!$D535,'BPC Data'!$B:$B,Summary!$C535)</f>
        <v>0</v>
      </c>
      <c r="J535" s="53">
        <f ca="1">SUMIFS(OFFSET('BPC Data'!$F:$F,0,Summary!J$2),'BPC Data'!$E:$E,Summary!$D535,'BPC Data'!$B:$B,Summary!$C535)</f>
        <v>0</v>
      </c>
      <c r="K535" s="60">
        <f ca="1">SUMIFS(OFFSET('BPC Data'!$F:$F,0,Summary!K$2),'BPC Data'!$E:$E,Summary!$D535,'BPC Data'!$B:$B,Summary!$C535)</f>
        <v>0</v>
      </c>
      <c r="L535" s="53">
        <f ca="1">SUMIFS(OFFSET('BPC Data'!$F:$F,0,Summary!L$2),'BPC Data'!$E:$E,Summary!$D535,'BPC Data'!$B:$B,Summary!$C535)</f>
        <v>0</v>
      </c>
      <c r="M535" s="60">
        <f ca="1">SUMIFS(OFFSET('BPC Data'!$F:$F,0,Summary!M$2),'BPC Data'!$E:$E,Summary!$D535,'BPC Data'!$B:$B,Summary!$C535)</f>
        <v>0</v>
      </c>
      <c r="N535" s="53">
        <f ca="1">SUMIFS(OFFSET('BPC Data'!$F:$F,0,Summary!N$2),'BPC Data'!$E:$E,Summary!$D535,'BPC Data'!$B:$B,Summary!$C535)</f>
        <v>0</v>
      </c>
      <c r="O535" s="18">
        <f t="shared" ca="1" si="86"/>
        <v>0</v>
      </c>
    </row>
    <row r="536" spans="1:15" s="11" customFormat="1" hidden="1" outlineLevel="1" x14ac:dyDescent="0.55000000000000004">
      <c r="A536" s="11">
        <f t="shared" si="87"/>
        <v>48</v>
      </c>
      <c r="B536"/>
      <c r="C536"/>
      <c r="D536" s="1" t="str">
        <f t="shared" si="88"/>
        <v>x</v>
      </c>
      <c r="E536"/>
      <c r="F536" s="14" t="s">
        <v>0</v>
      </c>
      <c r="G536" s="61">
        <f ca="1">SUMIFS(OFFSET('BPC Data'!$F:$F,0,Summary!G$2),'BPC Data'!$E:$E,Summary!$D536,'BPC Data'!$B:$B,Summary!$C536)</f>
        <v>0</v>
      </c>
      <c r="H536" s="54">
        <f ca="1">SUMIFS(OFFSET('BPC Data'!$F:$F,0,Summary!H$2),'BPC Data'!$E:$E,Summary!$D536,'BPC Data'!$B:$B,Summary!$C536)</f>
        <v>0</v>
      </c>
      <c r="I536" s="61">
        <f ca="1">SUMIFS(OFFSET('BPC Data'!$F:$F,0,Summary!I$2),'BPC Data'!$E:$E,Summary!$D536,'BPC Data'!$B:$B,Summary!$C536)</f>
        <v>0</v>
      </c>
      <c r="J536" s="54">
        <f ca="1">SUMIFS(OFFSET('BPC Data'!$F:$F,0,Summary!J$2),'BPC Data'!$E:$E,Summary!$D536,'BPC Data'!$B:$B,Summary!$C536)</f>
        <v>0</v>
      </c>
      <c r="K536" s="61">
        <f ca="1">SUMIFS(OFFSET('BPC Data'!$F:$F,0,Summary!K$2),'BPC Data'!$E:$E,Summary!$D536,'BPC Data'!$B:$B,Summary!$C536)</f>
        <v>0</v>
      </c>
      <c r="L536" s="54">
        <f ca="1">SUMIFS(OFFSET('BPC Data'!$F:$F,0,Summary!L$2),'BPC Data'!$E:$E,Summary!$D536,'BPC Data'!$B:$B,Summary!$C536)</f>
        <v>0</v>
      </c>
      <c r="M536" s="61">
        <f ca="1">SUMIFS(OFFSET('BPC Data'!$F:$F,0,Summary!M$2),'BPC Data'!$E:$E,Summary!$D536,'BPC Data'!$B:$B,Summary!$C536)</f>
        <v>0</v>
      </c>
      <c r="N536" s="54">
        <f ca="1">SUMIFS(OFFSET('BPC Data'!$F:$F,0,Summary!N$2),'BPC Data'!$E:$E,Summary!$D536,'BPC Data'!$B:$B,Summary!$C536)</f>
        <v>0</v>
      </c>
      <c r="O536" s="18">
        <f t="shared" ca="1" si="86"/>
        <v>0</v>
      </c>
    </row>
    <row r="537" spans="1:15" s="11" customFormat="1" hidden="1" outlineLevel="1" x14ac:dyDescent="0.55000000000000004">
      <c r="A537" s="11">
        <f>IF(AND(D537&lt;&gt;"",C537=""),A536+1,A536)</f>
        <v>49</v>
      </c>
      <c r="B537" s="4"/>
      <c r="C537" s="4"/>
      <c r="D537" s="4" t="str">
        <f t="shared" si="88"/>
        <v>x</v>
      </c>
      <c r="E537" s="4"/>
      <c r="F537" s="13">
        <f>INDEX(PropertyList!$D:$D,MATCH(Summary!$A537,PropertyList!$C:$C,0))</f>
        <v>0</v>
      </c>
      <c r="G537" s="59">
        <f ca="1">SUMIFS(OFFSET('BPC Data'!$F:$F,0,Summary!G$2),'BPC Data'!$E:$E,Summary!$D537,'BPC Data'!$B:$B,Summary!$C537)</f>
        <v>0</v>
      </c>
      <c r="H537" s="52">
        <f ca="1">SUMIFS(OFFSET('BPC Data'!$F:$F,0,Summary!H$2),'BPC Data'!$E:$E,Summary!$D537,'BPC Data'!$B:$B,Summary!$C537)</f>
        <v>0</v>
      </c>
      <c r="I537" s="59">
        <f ca="1">SUMIFS(OFFSET('BPC Data'!$F:$F,0,Summary!I$2),'BPC Data'!$E:$E,Summary!$D537,'BPC Data'!$B:$B,Summary!$C537)</f>
        <v>0</v>
      </c>
      <c r="J537" s="52">
        <f ca="1">SUMIFS(OFFSET('BPC Data'!$F:$F,0,Summary!J$2),'BPC Data'!$E:$E,Summary!$D537,'BPC Data'!$B:$B,Summary!$C537)</f>
        <v>0</v>
      </c>
      <c r="K537" s="59">
        <f ca="1">SUMIFS(OFFSET('BPC Data'!$F:$F,0,Summary!K$2),'BPC Data'!$E:$E,Summary!$D537,'BPC Data'!$B:$B,Summary!$C537)</f>
        <v>0</v>
      </c>
      <c r="L537" s="52">
        <f ca="1">SUMIFS(OFFSET('BPC Data'!$F:$F,0,Summary!L$2),'BPC Data'!$E:$E,Summary!$D537,'BPC Data'!$B:$B,Summary!$C537)</f>
        <v>0</v>
      </c>
      <c r="M537" s="59">
        <f ca="1">SUMIFS(OFFSET('BPC Data'!$F:$F,0,Summary!M$2),'BPC Data'!$E:$E,Summary!$D537,'BPC Data'!$B:$B,Summary!$C537)</f>
        <v>0</v>
      </c>
      <c r="N537" s="52">
        <f ca="1">SUMIFS(OFFSET('BPC Data'!$F:$F,0,Summary!N$2),'BPC Data'!$E:$E,Summary!$D537,'BPC Data'!$B:$B,Summary!$C537)</f>
        <v>0</v>
      </c>
      <c r="O537" s="18">
        <f t="shared" ca="1" si="86"/>
        <v>0</v>
      </c>
    </row>
    <row r="538" spans="1:15" s="11" customFormat="1" hidden="1" outlineLevel="1" x14ac:dyDescent="0.55000000000000004">
      <c r="A538" s="11">
        <f>IF(AND(F538&lt;&gt;"",D538=""),A537+1,A537)</f>
        <v>49</v>
      </c>
      <c r="C538">
        <f>$F537</f>
        <v>0</v>
      </c>
      <c r="D538" s="3" t="str">
        <f>$D527</f>
        <v>PAY_PAT_DAYS - Total Payor Patient Days</v>
      </c>
      <c r="F538" s="14" t="str">
        <f>_xll.EVDES(D538)</f>
        <v>Total Payor Patient Days</v>
      </c>
      <c r="G538" s="60">
        <f ca="1">SUMIFS(OFFSET('BPC Data'!$F:$F,0,Summary!G$2),'BPC Data'!$E:$E,Summary!$D538,'BPC Data'!$B:$B,Summary!$C538)</f>
        <v>0</v>
      </c>
      <c r="H538" s="53">
        <f ca="1">SUMIFS(OFFSET('BPC Data'!$F:$F,0,Summary!H$2),'BPC Data'!$E:$E,Summary!$D538,'BPC Data'!$B:$B,Summary!$C538)</f>
        <v>0</v>
      </c>
      <c r="I538" s="60">
        <f ca="1">SUMIFS(OFFSET('BPC Data'!$F:$F,0,Summary!I$2),'BPC Data'!$E:$E,Summary!$D538,'BPC Data'!$B:$B,Summary!$C538)</f>
        <v>0</v>
      </c>
      <c r="J538" s="53">
        <f ca="1">SUMIFS(OFFSET('BPC Data'!$F:$F,0,Summary!J$2),'BPC Data'!$E:$E,Summary!$D538,'BPC Data'!$B:$B,Summary!$C538)</f>
        <v>0</v>
      </c>
      <c r="K538" s="60">
        <f ca="1">SUMIFS(OFFSET('BPC Data'!$F:$F,0,Summary!K$2),'BPC Data'!$E:$E,Summary!$D538,'BPC Data'!$B:$B,Summary!$C538)</f>
        <v>0</v>
      </c>
      <c r="L538" s="53">
        <f ca="1">SUMIFS(OFFSET('BPC Data'!$F:$F,0,Summary!L$2),'BPC Data'!$E:$E,Summary!$D538,'BPC Data'!$B:$B,Summary!$C538)</f>
        <v>0</v>
      </c>
      <c r="M538" s="60">
        <f ca="1">SUMIFS(OFFSET('BPC Data'!$F:$F,0,Summary!M$2),'BPC Data'!$E:$E,Summary!$D538,'BPC Data'!$B:$B,Summary!$C538)</f>
        <v>0</v>
      </c>
      <c r="N538" s="53">
        <f ca="1">SUMIFS(OFFSET('BPC Data'!$F:$F,0,Summary!N$2),'BPC Data'!$E:$E,Summary!$D538,'BPC Data'!$B:$B,Summary!$C538)</f>
        <v>0</v>
      </c>
      <c r="O538" s="18">
        <f t="shared" ca="1" si="86"/>
        <v>0</v>
      </c>
    </row>
    <row r="539" spans="1:15" s="11" customFormat="1" hidden="1" outlineLevel="1" x14ac:dyDescent="0.55000000000000004">
      <c r="A539" s="11">
        <f t="shared" ref="A539:A547" si="89">IF(AND(F539&lt;&gt;"",D539=""),A538+1,A538)</f>
        <v>49</v>
      </c>
      <c r="C539">
        <f>$F537</f>
        <v>0</v>
      </c>
      <c r="D539" s="3" t="str">
        <f t="shared" ref="D539:D547" si="90">$D528</f>
        <v>A_BEDS_TOTAL - Total Available Beds</v>
      </c>
      <c r="F539" s="14" t="str">
        <f>_xll.EVDES(D539)</f>
        <v>Total Available Beds</v>
      </c>
      <c r="G539" s="60">
        <f ca="1">SUMIFS(OFFSET('BPC Data'!$F:$F,0,Summary!G$2),'BPC Data'!$E:$E,Summary!$D539,'BPC Data'!$B:$B,Summary!$C539)</f>
        <v>0</v>
      </c>
      <c r="H539" s="53">
        <f ca="1">SUMIFS(OFFSET('BPC Data'!$F:$F,0,Summary!H$2),'BPC Data'!$E:$E,Summary!$D539,'BPC Data'!$B:$B,Summary!$C539)</f>
        <v>0</v>
      </c>
      <c r="I539" s="60">
        <f ca="1">SUMIFS(OFFSET('BPC Data'!$F:$F,0,Summary!I$2),'BPC Data'!$E:$E,Summary!$D539,'BPC Data'!$B:$B,Summary!$C539)</f>
        <v>0</v>
      </c>
      <c r="J539" s="53">
        <f ca="1">SUMIFS(OFFSET('BPC Data'!$F:$F,0,Summary!J$2),'BPC Data'!$E:$E,Summary!$D539,'BPC Data'!$B:$B,Summary!$C539)</f>
        <v>0</v>
      </c>
      <c r="K539" s="60">
        <f ca="1">SUMIFS(OFFSET('BPC Data'!$F:$F,0,Summary!K$2),'BPC Data'!$E:$E,Summary!$D539,'BPC Data'!$B:$B,Summary!$C539)</f>
        <v>0</v>
      </c>
      <c r="L539" s="53">
        <f ca="1">SUMIFS(OFFSET('BPC Data'!$F:$F,0,Summary!L$2),'BPC Data'!$E:$E,Summary!$D539,'BPC Data'!$B:$B,Summary!$C539)</f>
        <v>0</v>
      </c>
      <c r="M539" s="60">
        <f ca="1">SUMIFS(OFFSET('BPC Data'!$F:$F,0,Summary!M$2),'BPC Data'!$E:$E,Summary!$D539,'BPC Data'!$B:$B,Summary!$C539)</f>
        <v>0</v>
      </c>
      <c r="N539" s="53">
        <f ca="1">SUMIFS(OFFSET('BPC Data'!$F:$F,0,Summary!N$2),'BPC Data'!$E:$E,Summary!$D539,'BPC Data'!$B:$B,Summary!$C539)</f>
        <v>0</v>
      </c>
      <c r="O539" s="18">
        <f t="shared" ca="1" si="86"/>
        <v>0</v>
      </c>
    </row>
    <row r="540" spans="1:15" s="11" customFormat="1" hidden="1" outlineLevel="1" x14ac:dyDescent="0.55000000000000004">
      <c r="A540" s="11">
        <f t="shared" si="89"/>
        <v>49</v>
      </c>
      <c r="B540"/>
      <c r="C540">
        <f>$F537</f>
        <v>0</v>
      </c>
      <c r="D540" s="3" t="str">
        <f t="shared" si="90"/>
        <v>T_REVENUES - Total Tenant Revenues</v>
      </c>
      <c r="E540"/>
      <c r="F540" s="14" t="str">
        <f>_xll.EVDES(D540)</f>
        <v>Total Tenant Revenues</v>
      </c>
      <c r="G540" s="60">
        <f ca="1">SUMIFS(OFFSET('BPC Data'!$F:$F,0,Summary!G$2),'BPC Data'!$E:$E,Summary!$D540,'BPC Data'!$B:$B,Summary!$C540)</f>
        <v>0</v>
      </c>
      <c r="H540" s="53">
        <f ca="1">SUMIFS(OFFSET('BPC Data'!$F:$F,0,Summary!H$2),'BPC Data'!$E:$E,Summary!$D540,'BPC Data'!$B:$B,Summary!$C540)</f>
        <v>0</v>
      </c>
      <c r="I540" s="60">
        <f ca="1">SUMIFS(OFFSET('BPC Data'!$F:$F,0,Summary!I$2),'BPC Data'!$E:$E,Summary!$D540,'BPC Data'!$B:$B,Summary!$C540)</f>
        <v>0</v>
      </c>
      <c r="J540" s="53">
        <f ca="1">SUMIFS(OFFSET('BPC Data'!$F:$F,0,Summary!J$2),'BPC Data'!$E:$E,Summary!$D540,'BPC Data'!$B:$B,Summary!$C540)</f>
        <v>0</v>
      </c>
      <c r="K540" s="60">
        <f ca="1">SUMIFS(OFFSET('BPC Data'!$F:$F,0,Summary!K$2),'BPC Data'!$E:$E,Summary!$D540,'BPC Data'!$B:$B,Summary!$C540)</f>
        <v>0</v>
      </c>
      <c r="L540" s="53">
        <f ca="1">SUMIFS(OFFSET('BPC Data'!$F:$F,0,Summary!L$2),'BPC Data'!$E:$E,Summary!$D540,'BPC Data'!$B:$B,Summary!$C540)</f>
        <v>0</v>
      </c>
      <c r="M540" s="60">
        <f ca="1">SUMIFS(OFFSET('BPC Data'!$F:$F,0,Summary!M$2),'BPC Data'!$E:$E,Summary!$D540,'BPC Data'!$B:$B,Summary!$C540)</f>
        <v>0</v>
      </c>
      <c r="N540" s="53">
        <f ca="1">SUMIFS(OFFSET('BPC Data'!$F:$F,0,Summary!N$2),'BPC Data'!$E:$E,Summary!$D540,'BPC Data'!$B:$B,Summary!$C540)</f>
        <v>0</v>
      </c>
      <c r="O540" s="18">
        <f t="shared" ca="1" si="86"/>
        <v>0</v>
      </c>
    </row>
    <row r="541" spans="1:15" s="11" customFormat="1" hidden="1" outlineLevel="1" x14ac:dyDescent="0.55000000000000004">
      <c r="A541" s="11">
        <f t="shared" si="89"/>
        <v>49</v>
      </c>
      <c r="B541"/>
      <c r="C541">
        <f>$F537</f>
        <v>0</v>
      </c>
      <c r="D541" s="3" t="str">
        <f t="shared" si="90"/>
        <v>T_OPEX - Tenant Operating Expenses</v>
      </c>
      <c r="E541"/>
      <c r="F541" s="14" t="str">
        <f>_xll.EVDES(D541)</f>
        <v>Tenant Operating Expenses</v>
      </c>
      <c r="G541" s="60">
        <f ca="1">SUMIFS(OFFSET('BPC Data'!$F:$F,0,Summary!G$2),'BPC Data'!$E:$E,Summary!$D541,'BPC Data'!$B:$B,Summary!$C541)</f>
        <v>0</v>
      </c>
      <c r="H541" s="53">
        <f ca="1">SUMIFS(OFFSET('BPC Data'!$F:$F,0,Summary!H$2),'BPC Data'!$E:$E,Summary!$D541,'BPC Data'!$B:$B,Summary!$C541)</f>
        <v>0</v>
      </c>
      <c r="I541" s="60">
        <f ca="1">SUMIFS(OFFSET('BPC Data'!$F:$F,0,Summary!I$2),'BPC Data'!$E:$E,Summary!$D541,'BPC Data'!$B:$B,Summary!$C541)</f>
        <v>0</v>
      </c>
      <c r="J541" s="53">
        <f ca="1">SUMIFS(OFFSET('BPC Data'!$F:$F,0,Summary!J$2),'BPC Data'!$E:$E,Summary!$D541,'BPC Data'!$B:$B,Summary!$C541)</f>
        <v>0</v>
      </c>
      <c r="K541" s="60">
        <f ca="1">SUMIFS(OFFSET('BPC Data'!$F:$F,0,Summary!K$2),'BPC Data'!$E:$E,Summary!$D541,'BPC Data'!$B:$B,Summary!$C541)</f>
        <v>0</v>
      </c>
      <c r="L541" s="53">
        <f ca="1">SUMIFS(OFFSET('BPC Data'!$F:$F,0,Summary!L$2),'BPC Data'!$E:$E,Summary!$D541,'BPC Data'!$B:$B,Summary!$C541)</f>
        <v>0</v>
      </c>
      <c r="M541" s="60">
        <f ca="1">SUMIFS(OFFSET('BPC Data'!$F:$F,0,Summary!M$2),'BPC Data'!$E:$E,Summary!$D541,'BPC Data'!$B:$B,Summary!$C541)</f>
        <v>0</v>
      </c>
      <c r="N541" s="53">
        <f ca="1">SUMIFS(OFFSET('BPC Data'!$F:$F,0,Summary!N$2),'BPC Data'!$E:$E,Summary!$D541,'BPC Data'!$B:$B,Summary!$C541)</f>
        <v>0</v>
      </c>
      <c r="O541" s="18">
        <f t="shared" ca="1" si="86"/>
        <v>0</v>
      </c>
    </row>
    <row r="542" spans="1:15" s="11" customFormat="1" hidden="1" outlineLevel="1" x14ac:dyDescent="0.55000000000000004">
      <c r="A542" s="11">
        <f t="shared" si="89"/>
        <v>49</v>
      </c>
      <c r="B542"/>
      <c r="C542">
        <f>$F537</f>
        <v>0</v>
      </c>
      <c r="D542" s="3" t="str">
        <f t="shared" si="90"/>
        <v>T_BAD_DEBT - Tenant Bad Debt Expense</v>
      </c>
      <c r="E542"/>
      <c r="F542" s="14" t="str">
        <f>_xll.EVDES(D542)</f>
        <v>Tenant Bad Debt Expense</v>
      </c>
      <c r="G542" s="60">
        <f ca="1">SUMIFS(OFFSET('BPC Data'!$F:$F,0,Summary!G$2),'BPC Data'!$E:$E,Summary!$D542,'BPC Data'!$B:$B,Summary!$C542)</f>
        <v>0</v>
      </c>
      <c r="H542" s="53">
        <f ca="1">SUMIFS(OFFSET('BPC Data'!$F:$F,0,Summary!H$2),'BPC Data'!$E:$E,Summary!$D542,'BPC Data'!$B:$B,Summary!$C542)</f>
        <v>0</v>
      </c>
      <c r="I542" s="60">
        <f ca="1">SUMIFS(OFFSET('BPC Data'!$F:$F,0,Summary!I$2),'BPC Data'!$E:$E,Summary!$D542,'BPC Data'!$B:$B,Summary!$C542)</f>
        <v>0</v>
      </c>
      <c r="J542" s="53">
        <f ca="1">SUMIFS(OFFSET('BPC Data'!$F:$F,0,Summary!J$2),'BPC Data'!$E:$E,Summary!$D542,'BPC Data'!$B:$B,Summary!$C542)</f>
        <v>0</v>
      </c>
      <c r="K542" s="60">
        <f ca="1">SUMIFS(OFFSET('BPC Data'!$F:$F,0,Summary!K$2),'BPC Data'!$E:$E,Summary!$D542,'BPC Data'!$B:$B,Summary!$C542)</f>
        <v>0</v>
      </c>
      <c r="L542" s="53">
        <f ca="1">SUMIFS(OFFSET('BPC Data'!$F:$F,0,Summary!L$2),'BPC Data'!$E:$E,Summary!$D542,'BPC Data'!$B:$B,Summary!$C542)</f>
        <v>0</v>
      </c>
      <c r="M542" s="60">
        <f ca="1">SUMIFS(OFFSET('BPC Data'!$F:$F,0,Summary!M$2),'BPC Data'!$E:$E,Summary!$D542,'BPC Data'!$B:$B,Summary!$C542)</f>
        <v>0</v>
      </c>
      <c r="N542" s="53">
        <f ca="1">SUMIFS(OFFSET('BPC Data'!$F:$F,0,Summary!N$2),'BPC Data'!$E:$E,Summary!$D542,'BPC Data'!$B:$B,Summary!$C542)</f>
        <v>0</v>
      </c>
      <c r="O542" s="18">
        <f t="shared" ca="1" si="86"/>
        <v>0</v>
      </c>
    </row>
    <row r="543" spans="1:15" s="11" customFormat="1" hidden="1" outlineLevel="1" x14ac:dyDescent="0.55000000000000004">
      <c r="A543" s="11">
        <f t="shared" si="89"/>
        <v>49</v>
      </c>
      <c r="B543"/>
      <c r="C543">
        <f>$F537</f>
        <v>0</v>
      </c>
      <c r="D543" s="2" t="str">
        <f t="shared" si="90"/>
        <v>T_EBITDARM - EBITDARM</v>
      </c>
      <c r="E543"/>
      <c r="F543" s="14" t="str">
        <f>_xll.EVDES(D543)</f>
        <v>EBITDARM</v>
      </c>
      <c r="G543" s="60">
        <f ca="1">SUMIFS(OFFSET('BPC Data'!$F:$F,0,Summary!G$2),'BPC Data'!$E:$E,Summary!$D543,'BPC Data'!$B:$B,Summary!$C543)</f>
        <v>0</v>
      </c>
      <c r="H543" s="53">
        <f ca="1">SUMIFS(OFFSET('BPC Data'!$F:$F,0,Summary!H$2),'BPC Data'!$E:$E,Summary!$D543,'BPC Data'!$B:$B,Summary!$C543)</f>
        <v>0</v>
      </c>
      <c r="I543" s="60">
        <f ca="1">SUMIFS(OFFSET('BPC Data'!$F:$F,0,Summary!I$2),'BPC Data'!$E:$E,Summary!$D543,'BPC Data'!$B:$B,Summary!$C543)</f>
        <v>0</v>
      </c>
      <c r="J543" s="53">
        <f ca="1">SUMIFS(OFFSET('BPC Data'!$F:$F,0,Summary!J$2),'BPC Data'!$E:$E,Summary!$D543,'BPC Data'!$B:$B,Summary!$C543)</f>
        <v>0</v>
      </c>
      <c r="K543" s="60">
        <f ca="1">SUMIFS(OFFSET('BPC Data'!$F:$F,0,Summary!K$2),'BPC Data'!$E:$E,Summary!$D543,'BPC Data'!$B:$B,Summary!$C543)</f>
        <v>0</v>
      </c>
      <c r="L543" s="53">
        <f ca="1">SUMIFS(OFFSET('BPC Data'!$F:$F,0,Summary!L$2),'BPC Data'!$E:$E,Summary!$D543,'BPC Data'!$B:$B,Summary!$C543)</f>
        <v>0</v>
      </c>
      <c r="M543" s="60">
        <f ca="1">SUMIFS(OFFSET('BPC Data'!$F:$F,0,Summary!M$2),'BPC Data'!$E:$E,Summary!$D543,'BPC Data'!$B:$B,Summary!$C543)</f>
        <v>0</v>
      </c>
      <c r="N543" s="53">
        <f ca="1">SUMIFS(OFFSET('BPC Data'!$F:$F,0,Summary!N$2),'BPC Data'!$E:$E,Summary!$D543,'BPC Data'!$B:$B,Summary!$C543)</f>
        <v>0</v>
      </c>
      <c r="O543" s="18">
        <f t="shared" ca="1" si="86"/>
        <v>0</v>
      </c>
    </row>
    <row r="544" spans="1:15" s="11" customFormat="1" hidden="1" outlineLevel="1" x14ac:dyDescent="0.55000000000000004">
      <c r="A544" s="11">
        <f t="shared" si="89"/>
        <v>49</v>
      </c>
      <c r="B544"/>
      <c r="C544">
        <f>$F537</f>
        <v>0</v>
      </c>
      <c r="D544" s="2" t="str">
        <f t="shared" si="90"/>
        <v>T_MGMT_FEE - Tenant Management Fee - Actual</v>
      </c>
      <c r="E544"/>
      <c r="F544" s="14" t="str">
        <f>_xll.EVDES(D544)</f>
        <v>Tenant Management Fee - Actual</v>
      </c>
      <c r="G544" s="60">
        <f ca="1">SUMIFS(OFFSET('BPC Data'!$F:$F,0,Summary!G$2),'BPC Data'!$E:$E,Summary!$D544,'BPC Data'!$B:$B,Summary!$C544)</f>
        <v>0</v>
      </c>
      <c r="H544" s="53">
        <f ca="1">SUMIFS(OFFSET('BPC Data'!$F:$F,0,Summary!H$2),'BPC Data'!$E:$E,Summary!$D544,'BPC Data'!$B:$B,Summary!$C544)</f>
        <v>0</v>
      </c>
      <c r="I544" s="60">
        <f ca="1">SUMIFS(OFFSET('BPC Data'!$F:$F,0,Summary!I$2),'BPC Data'!$E:$E,Summary!$D544,'BPC Data'!$B:$B,Summary!$C544)</f>
        <v>0</v>
      </c>
      <c r="J544" s="53">
        <f ca="1">SUMIFS(OFFSET('BPC Data'!$F:$F,0,Summary!J$2),'BPC Data'!$E:$E,Summary!$D544,'BPC Data'!$B:$B,Summary!$C544)</f>
        <v>0</v>
      </c>
      <c r="K544" s="60">
        <f ca="1">SUMIFS(OFFSET('BPC Data'!$F:$F,0,Summary!K$2),'BPC Data'!$E:$E,Summary!$D544,'BPC Data'!$B:$B,Summary!$C544)</f>
        <v>0</v>
      </c>
      <c r="L544" s="53">
        <f ca="1">SUMIFS(OFFSET('BPC Data'!$F:$F,0,Summary!L$2),'BPC Data'!$E:$E,Summary!$D544,'BPC Data'!$B:$B,Summary!$C544)</f>
        <v>0</v>
      </c>
      <c r="M544" s="60">
        <f ca="1">SUMIFS(OFFSET('BPC Data'!$F:$F,0,Summary!M$2),'BPC Data'!$E:$E,Summary!$D544,'BPC Data'!$B:$B,Summary!$C544)</f>
        <v>0</v>
      </c>
      <c r="N544" s="53">
        <f ca="1">SUMIFS(OFFSET('BPC Data'!$F:$F,0,Summary!N$2),'BPC Data'!$E:$E,Summary!$D544,'BPC Data'!$B:$B,Summary!$C544)</f>
        <v>0</v>
      </c>
      <c r="O544" s="18">
        <f t="shared" ca="1" si="86"/>
        <v>0</v>
      </c>
    </row>
    <row r="545" spans="1:16" s="11" customFormat="1" hidden="1" outlineLevel="1" x14ac:dyDescent="0.55000000000000004">
      <c r="A545" s="11">
        <f t="shared" si="89"/>
        <v>49</v>
      </c>
      <c r="B545"/>
      <c r="C545">
        <f>$F537</f>
        <v>0</v>
      </c>
      <c r="D545" s="1" t="str">
        <f t="shared" si="90"/>
        <v>T_EBITDAR - EBITDAR</v>
      </c>
      <c r="E545"/>
      <c r="F545" s="14" t="str">
        <f>_xll.EVDES(D545)</f>
        <v>EBITDAR</v>
      </c>
      <c r="G545" s="60">
        <f ca="1">SUMIFS(OFFSET('BPC Data'!$F:$F,0,Summary!G$2),'BPC Data'!$E:$E,Summary!$D545,'BPC Data'!$B:$B,Summary!$C545)</f>
        <v>0</v>
      </c>
      <c r="H545" s="53">
        <f ca="1">SUMIFS(OFFSET('BPC Data'!$F:$F,0,Summary!H$2),'BPC Data'!$E:$E,Summary!$D545,'BPC Data'!$B:$B,Summary!$C545)</f>
        <v>0</v>
      </c>
      <c r="I545" s="60">
        <f ca="1">SUMIFS(OFFSET('BPC Data'!$F:$F,0,Summary!I$2),'BPC Data'!$E:$E,Summary!$D545,'BPC Data'!$B:$B,Summary!$C545)</f>
        <v>0</v>
      </c>
      <c r="J545" s="53">
        <f ca="1">SUMIFS(OFFSET('BPC Data'!$F:$F,0,Summary!J$2),'BPC Data'!$E:$E,Summary!$D545,'BPC Data'!$B:$B,Summary!$C545)</f>
        <v>0</v>
      </c>
      <c r="K545" s="60">
        <f ca="1">SUMIFS(OFFSET('BPC Data'!$F:$F,0,Summary!K$2),'BPC Data'!$E:$E,Summary!$D545,'BPC Data'!$B:$B,Summary!$C545)</f>
        <v>0</v>
      </c>
      <c r="L545" s="53">
        <f ca="1">SUMIFS(OFFSET('BPC Data'!$F:$F,0,Summary!L$2),'BPC Data'!$E:$E,Summary!$D545,'BPC Data'!$B:$B,Summary!$C545)</f>
        <v>0</v>
      </c>
      <c r="M545" s="60">
        <f ca="1">SUMIFS(OFFSET('BPC Data'!$F:$F,0,Summary!M$2),'BPC Data'!$E:$E,Summary!$D545,'BPC Data'!$B:$B,Summary!$C545)</f>
        <v>0</v>
      </c>
      <c r="N545" s="53">
        <f ca="1">SUMIFS(OFFSET('BPC Data'!$F:$F,0,Summary!N$2),'BPC Data'!$E:$E,Summary!$D545,'BPC Data'!$B:$B,Summary!$C545)</f>
        <v>0</v>
      </c>
      <c r="O545" s="18">
        <f t="shared" ca="1" si="86"/>
        <v>0</v>
      </c>
    </row>
    <row r="546" spans="1:16" s="11" customFormat="1" hidden="1" outlineLevel="1" x14ac:dyDescent="0.55000000000000004">
      <c r="A546" s="11">
        <f t="shared" si="89"/>
        <v>49</v>
      </c>
      <c r="B546"/>
      <c r="C546">
        <f>$F537</f>
        <v>0</v>
      </c>
      <c r="D546" s="1" t="str">
        <f t="shared" si="90"/>
        <v>T_RENT_EXP - Tenant Rent Expense</v>
      </c>
      <c r="E546"/>
      <c r="F546" s="14" t="str">
        <f>_xll.EVDES(D546)</f>
        <v>Tenant Rent Expense</v>
      </c>
      <c r="G546" s="60">
        <f ca="1">SUMIFS(OFFSET('BPC Data'!$F:$F,0,Summary!G$2),'BPC Data'!$E:$E,Summary!$D546,'BPC Data'!$B:$B,Summary!$C546)</f>
        <v>0</v>
      </c>
      <c r="H546" s="53">
        <f ca="1">SUMIFS(OFFSET('BPC Data'!$F:$F,0,Summary!H$2),'BPC Data'!$E:$E,Summary!$D546,'BPC Data'!$B:$B,Summary!$C546)</f>
        <v>0</v>
      </c>
      <c r="I546" s="60">
        <f ca="1">SUMIFS(OFFSET('BPC Data'!$F:$F,0,Summary!I$2),'BPC Data'!$E:$E,Summary!$D546,'BPC Data'!$B:$B,Summary!$C546)</f>
        <v>0</v>
      </c>
      <c r="J546" s="53">
        <f ca="1">SUMIFS(OFFSET('BPC Data'!$F:$F,0,Summary!J$2),'BPC Data'!$E:$E,Summary!$D546,'BPC Data'!$B:$B,Summary!$C546)</f>
        <v>0</v>
      </c>
      <c r="K546" s="60">
        <f ca="1">SUMIFS(OFFSET('BPC Data'!$F:$F,0,Summary!K$2),'BPC Data'!$E:$E,Summary!$D546,'BPC Data'!$B:$B,Summary!$C546)</f>
        <v>0</v>
      </c>
      <c r="L546" s="53">
        <f ca="1">SUMIFS(OFFSET('BPC Data'!$F:$F,0,Summary!L$2),'BPC Data'!$E:$E,Summary!$D546,'BPC Data'!$B:$B,Summary!$C546)</f>
        <v>0</v>
      </c>
      <c r="M546" s="60">
        <f ca="1">SUMIFS(OFFSET('BPC Data'!$F:$F,0,Summary!M$2),'BPC Data'!$E:$E,Summary!$D546,'BPC Data'!$B:$B,Summary!$C546)</f>
        <v>0</v>
      </c>
      <c r="N546" s="53">
        <f ca="1">SUMIFS(OFFSET('BPC Data'!$F:$F,0,Summary!N$2),'BPC Data'!$E:$E,Summary!$D546,'BPC Data'!$B:$B,Summary!$C546)</f>
        <v>0</v>
      </c>
      <c r="O546" s="18">
        <f t="shared" ca="1" si="86"/>
        <v>0</v>
      </c>
    </row>
    <row r="547" spans="1:16" s="11" customFormat="1" hidden="1" outlineLevel="1" x14ac:dyDescent="0.55000000000000004">
      <c r="A547" s="11">
        <f t="shared" si="89"/>
        <v>49</v>
      </c>
      <c r="B547"/>
      <c r="C547"/>
      <c r="D547" s="1" t="str">
        <f t="shared" si="90"/>
        <v>x</v>
      </c>
      <c r="E547"/>
      <c r="F547" s="14" t="s">
        <v>0</v>
      </c>
      <c r="G547" s="61">
        <f ca="1">SUMIFS(OFFSET('BPC Data'!$F:$F,0,Summary!G$2),'BPC Data'!$E:$E,Summary!$D547,'BPC Data'!$B:$B,Summary!$C547)</f>
        <v>0</v>
      </c>
      <c r="H547" s="54">
        <f ca="1">SUMIFS(OFFSET('BPC Data'!$F:$F,0,Summary!H$2),'BPC Data'!$E:$E,Summary!$D547,'BPC Data'!$B:$B,Summary!$C547)</f>
        <v>0</v>
      </c>
      <c r="I547" s="61">
        <f ca="1">SUMIFS(OFFSET('BPC Data'!$F:$F,0,Summary!I$2),'BPC Data'!$E:$E,Summary!$D547,'BPC Data'!$B:$B,Summary!$C547)</f>
        <v>0</v>
      </c>
      <c r="J547" s="54">
        <f ca="1">SUMIFS(OFFSET('BPC Data'!$F:$F,0,Summary!J$2),'BPC Data'!$E:$E,Summary!$D547,'BPC Data'!$B:$B,Summary!$C547)</f>
        <v>0</v>
      </c>
      <c r="K547" s="61">
        <f ca="1">SUMIFS(OFFSET('BPC Data'!$F:$F,0,Summary!K$2),'BPC Data'!$E:$E,Summary!$D547,'BPC Data'!$B:$B,Summary!$C547)</f>
        <v>0</v>
      </c>
      <c r="L547" s="54">
        <f ca="1">SUMIFS(OFFSET('BPC Data'!$F:$F,0,Summary!L$2),'BPC Data'!$E:$E,Summary!$D547,'BPC Data'!$B:$B,Summary!$C547)</f>
        <v>0</v>
      </c>
      <c r="M547" s="61">
        <f ca="1">SUMIFS(OFFSET('BPC Data'!$F:$F,0,Summary!M$2),'BPC Data'!$E:$E,Summary!$D547,'BPC Data'!$B:$B,Summary!$C547)</f>
        <v>0</v>
      </c>
      <c r="N547" s="54">
        <f ca="1">SUMIFS(OFFSET('BPC Data'!$F:$F,0,Summary!N$2),'BPC Data'!$E:$E,Summary!$D547,'BPC Data'!$B:$B,Summary!$C547)</f>
        <v>0</v>
      </c>
      <c r="O547" s="18">
        <f t="shared" ca="1" si="86"/>
        <v>0</v>
      </c>
    </row>
    <row r="548" spans="1:16" s="7" customFormat="1" ht="13.5" hidden="1" customHeight="1" outlineLevel="1" x14ac:dyDescent="0.55000000000000004">
      <c r="D548" s="4"/>
      <c r="F548" s="8"/>
      <c r="G548" s="63"/>
      <c r="H548" s="52"/>
      <c r="I548" s="63"/>
      <c r="J548" s="52"/>
      <c r="K548" s="63"/>
      <c r="L548" s="52"/>
      <c r="M548" s="63"/>
      <c r="N548" s="52"/>
      <c r="O548" s="18">
        <f t="shared" si="86"/>
        <v>0</v>
      </c>
    </row>
    <row r="549" spans="1:16" collapsed="1" x14ac:dyDescent="0.55000000000000004">
      <c r="F549" s="13" t="str">
        <f>$F$4&amp;" Total"</f>
        <v>North American Health Care, Inc Total</v>
      </c>
      <c r="G549" s="64"/>
      <c r="H549" s="56"/>
      <c r="I549" s="64"/>
      <c r="J549" s="56"/>
      <c r="K549" s="64"/>
      <c r="L549" s="56"/>
      <c r="M549" s="64"/>
      <c r="N549" s="56"/>
      <c r="O549" s="18">
        <f t="shared" si="86"/>
        <v>0</v>
      </c>
    </row>
    <row r="550" spans="1:16" x14ac:dyDescent="0.55000000000000004">
      <c r="D550" s="3" t="str">
        <f>$D538</f>
        <v>PAY_PAT_DAYS - Total Payor Patient Days</v>
      </c>
      <c r="E550" s="11"/>
      <c r="F550" s="14" t="str">
        <f>_xll.EVDES(D550)</f>
        <v>Total Payor Patient Days</v>
      </c>
      <c r="G550" s="60">
        <f ca="1">SUMIFS(G$10:G$547,$F$10:$F$547,$F550)</f>
        <v>45193</v>
      </c>
      <c r="H550" s="53">
        <f t="shared" ref="G550:N558" ca="1" si="91">SUMIFS(H$10:H$547,$F$10:$F$547,$F550)</f>
        <v>42597</v>
      </c>
      <c r="I550" s="60">
        <f t="shared" ca="1" si="91"/>
        <v>47577</v>
      </c>
      <c r="J550" s="53">
        <f t="shared" ca="1" si="91"/>
        <v>47696</v>
      </c>
      <c r="K550" s="60">
        <f t="shared" ca="1" si="91"/>
        <v>50366</v>
      </c>
      <c r="L550" s="53">
        <f t="shared" ca="1" si="91"/>
        <v>50153</v>
      </c>
      <c r="M550" s="60">
        <f t="shared" ca="1" si="91"/>
        <v>53130</v>
      </c>
      <c r="N550" s="53">
        <f t="shared" ca="1" si="91"/>
        <v>52528</v>
      </c>
      <c r="O550" s="18">
        <f t="shared" ca="1" si="86"/>
        <v>389240</v>
      </c>
    </row>
    <row r="551" spans="1:16" x14ac:dyDescent="0.55000000000000004">
      <c r="D551" s="3" t="str">
        <f t="shared" ref="D551:D559" si="92">$D539</f>
        <v>A_BEDS_TOTAL - Total Available Beds</v>
      </c>
      <c r="E551" s="11"/>
      <c r="F551" s="14" t="str">
        <f>_xll.EVDES(D551)</f>
        <v>Total Available Beds</v>
      </c>
      <c r="G551" s="60">
        <f t="shared" ca="1" si="91"/>
        <v>2156</v>
      </c>
      <c r="H551" s="53">
        <f t="shared" ca="1" si="91"/>
        <v>2156</v>
      </c>
      <c r="I551" s="60">
        <f t="shared" ca="1" si="91"/>
        <v>2156</v>
      </c>
      <c r="J551" s="53">
        <f t="shared" ca="1" si="91"/>
        <v>2156</v>
      </c>
      <c r="K551" s="60">
        <f t="shared" ca="1" si="91"/>
        <v>2156</v>
      </c>
      <c r="L551" s="53">
        <f t="shared" ca="1" si="91"/>
        <v>2156</v>
      </c>
      <c r="M551" s="60">
        <f t="shared" ca="1" si="91"/>
        <v>2152</v>
      </c>
      <c r="N551" s="53">
        <f t="shared" ca="1" si="91"/>
        <v>2152</v>
      </c>
      <c r="O551" s="18">
        <f ca="1">N551</f>
        <v>2152</v>
      </c>
    </row>
    <row r="552" spans="1:16" x14ac:dyDescent="0.55000000000000004">
      <c r="D552" s="3" t="str">
        <f t="shared" si="92"/>
        <v>T_REVENUES - Total Tenant Revenues</v>
      </c>
      <c r="F552" s="14" t="str">
        <f>_xll.EVDES(D552)</f>
        <v>Total Tenant Revenues</v>
      </c>
      <c r="G552" s="60">
        <f t="shared" ca="1" si="91"/>
        <v>23764455.779999997</v>
      </c>
      <c r="H552" s="53">
        <f t="shared" ca="1" si="91"/>
        <v>21640283.989999995</v>
      </c>
      <c r="I552" s="60">
        <f t="shared" ca="1" si="91"/>
        <v>23963756.27</v>
      </c>
      <c r="J552" s="53">
        <f t="shared" ca="1" si="91"/>
        <v>23533558.969999999</v>
      </c>
      <c r="K552" s="60">
        <f t="shared" ca="1" si="91"/>
        <v>24542802.719999999</v>
      </c>
      <c r="L552" s="53">
        <f t="shared" ca="1" si="91"/>
        <v>24512858.560000002</v>
      </c>
      <c r="M552" s="60">
        <f t="shared" ca="1" si="91"/>
        <v>26032122.080000002</v>
      </c>
      <c r="N552" s="53">
        <f t="shared" ca="1" si="91"/>
        <v>26057085.199999999</v>
      </c>
      <c r="O552" s="18">
        <f t="shared" ref="O552:O558" ca="1" si="93">SUM(G552:N552)</f>
        <v>194046923.56999999</v>
      </c>
    </row>
    <row r="553" spans="1:16" x14ac:dyDescent="0.55000000000000004">
      <c r="D553" s="3" t="str">
        <f t="shared" si="92"/>
        <v>T_OPEX - Tenant Operating Expenses</v>
      </c>
      <c r="F553" s="14" t="str">
        <f>_xll.EVDES(D553)</f>
        <v>Tenant Operating Expenses</v>
      </c>
      <c r="G553" s="60">
        <f t="shared" ca="1" si="91"/>
        <v>18818462.170000002</v>
      </c>
      <c r="H553" s="53">
        <f t="shared" ca="1" si="91"/>
        <v>18454496.969999999</v>
      </c>
      <c r="I553" s="60">
        <f t="shared" ca="1" si="91"/>
        <v>19636368.349999994</v>
      </c>
      <c r="J553" s="53">
        <f t="shared" ca="1" si="91"/>
        <v>19555619.810000006</v>
      </c>
      <c r="K553" s="60">
        <f t="shared" ca="1" si="91"/>
        <v>19471152.500000004</v>
      </c>
      <c r="L553" s="53">
        <f t="shared" ca="1" si="91"/>
        <v>19850300.899999995</v>
      </c>
      <c r="M553" s="60">
        <f t="shared" ca="1" si="91"/>
        <v>20560516.079999998</v>
      </c>
      <c r="N553" s="53">
        <f t="shared" ca="1" si="91"/>
        <v>20162564.330000002</v>
      </c>
      <c r="O553" s="18">
        <f t="shared" ca="1" si="93"/>
        <v>156509481.10999998</v>
      </c>
    </row>
    <row r="554" spans="1:16" x14ac:dyDescent="0.55000000000000004">
      <c r="D554" s="3" t="str">
        <f t="shared" si="92"/>
        <v>T_BAD_DEBT - Tenant Bad Debt Expense</v>
      </c>
      <c r="F554" s="14" t="str">
        <f>_xll.EVDES(D554)</f>
        <v>Tenant Bad Debt Expense</v>
      </c>
      <c r="G554" s="60">
        <f t="shared" ref="G554:N554" ca="1" si="94">SUMIFS(G$10:G$547,$F$10:$F$547,$F554)</f>
        <v>-294885.74</v>
      </c>
      <c r="H554" s="53">
        <f t="shared" ca="1" si="94"/>
        <v>51648.489999999991</v>
      </c>
      <c r="I554" s="60">
        <f t="shared" ca="1" si="94"/>
        <v>201727.73</v>
      </c>
      <c r="J554" s="53">
        <f t="shared" ca="1" si="94"/>
        <v>217092.43000000005</v>
      </c>
      <c r="K554" s="60">
        <f t="shared" ca="1" si="94"/>
        <v>134838.97</v>
      </c>
      <c r="L554" s="53">
        <f t="shared" ca="1" si="94"/>
        <v>113048.67999999998</v>
      </c>
      <c r="M554" s="60">
        <f t="shared" ca="1" si="94"/>
        <v>451923.85</v>
      </c>
      <c r="N554" s="53">
        <f t="shared" ca="1" si="94"/>
        <v>46445.48000000001</v>
      </c>
      <c r="O554" s="18">
        <f t="shared" ca="1" si="93"/>
        <v>921839.89</v>
      </c>
    </row>
    <row r="555" spans="1:16" x14ac:dyDescent="0.55000000000000004">
      <c r="D555" s="3" t="str">
        <f t="shared" si="92"/>
        <v>T_EBITDARM - EBITDARM</v>
      </c>
      <c r="F555" s="14" t="str">
        <f>_xll.EVDES(D555)</f>
        <v>EBITDARM</v>
      </c>
      <c r="G555" s="60">
        <f t="shared" ca="1" si="91"/>
        <v>4945993.6099999994</v>
      </c>
      <c r="H555" s="53">
        <f t="shared" ca="1" si="91"/>
        <v>3185787.02</v>
      </c>
      <c r="I555" s="60">
        <f t="shared" ca="1" si="91"/>
        <v>4327387.919999999</v>
      </c>
      <c r="J555" s="53">
        <f t="shared" ca="1" si="91"/>
        <v>3977939.1600000006</v>
      </c>
      <c r="K555" s="60">
        <f t="shared" ca="1" si="91"/>
        <v>5071650.2200000007</v>
      </c>
      <c r="L555" s="53">
        <f t="shared" ca="1" si="91"/>
        <v>4662557.66</v>
      </c>
      <c r="M555" s="60">
        <f t="shared" ca="1" si="91"/>
        <v>5471606</v>
      </c>
      <c r="N555" s="53">
        <f t="shared" ca="1" si="91"/>
        <v>5894520.8699999992</v>
      </c>
      <c r="O555" s="18">
        <f t="shared" ca="1" si="93"/>
        <v>37537442.460000001</v>
      </c>
      <c r="P555" s="18"/>
    </row>
    <row r="556" spans="1:16" x14ac:dyDescent="0.55000000000000004">
      <c r="D556" s="3" t="str">
        <f t="shared" si="92"/>
        <v>T_MGMT_FEE - Tenant Management Fee - Actual</v>
      </c>
      <c r="F556" s="14" t="str">
        <f>_xll.EVDES(D556)</f>
        <v>Tenant Management Fee - Actual</v>
      </c>
      <c r="G556" s="60">
        <f t="shared" ca="1" si="91"/>
        <v>1178664</v>
      </c>
      <c r="H556" s="53">
        <f t="shared" ca="1" si="91"/>
        <v>1165494</v>
      </c>
      <c r="I556" s="60">
        <f t="shared" ca="1" si="91"/>
        <v>1064622</v>
      </c>
      <c r="J556" s="53">
        <f t="shared" ca="1" si="91"/>
        <v>1194228</v>
      </c>
      <c r="K556" s="60">
        <f t="shared" ca="1" si="91"/>
        <v>1170997</v>
      </c>
      <c r="L556" s="53">
        <f t="shared" ca="1" si="91"/>
        <v>1225754</v>
      </c>
      <c r="M556" s="60">
        <f t="shared" ca="1" si="91"/>
        <v>1223163</v>
      </c>
      <c r="N556" s="53">
        <f t="shared" ca="1" si="91"/>
        <v>1301595</v>
      </c>
      <c r="O556" s="18">
        <f t="shared" ca="1" si="93"/>
        <v>9524517</v>
      </c>
    </row>
    <row r="557" spans="1:16" x14ac:dyDescent="0.55000000000000004">
      <c r="D557" s="3" t="str">
        <f t="shared" si="92"/>
        <v>T_EBITDAR - EBITDAR</v>
      </c>
      <c r="F557" s="14" t="str">
        <f>_xll.EVDES(D557)</f>
        <v>EBITDAR</v>
      </c>
      <c r="G557" s="60">
        <f t="shared" ca="1" si="91"/>
        <v>3767329.6099999994</v>
      </c>
      <c r="H557" s="53">
        <f t="shared" ca="1" si="91"/>
        <v>2020293.02</v>
      </c>
      <c r="I557" s="60">
        <f t="shared" ca="1" si="91"/>
        <v>3262765.919999999</v>
      </c>
      <c r="J557" s="53">
        <f t="shared" ca="1" si="91"/>
        <v>2783711.16</v>
      </c>
      <c r="K557" s="60">
        <f t="shared" ca="1" si="91"/>
        <v>3900653.2199999997</v>
      </c>
      <c r="L557" s="53">
        <f t="shared" ca="1" si="91"/>
        <v>3436803.6600000006</v>
      </c>
      <c r="M557" s="60">
        <f t="shared" ca="1" si="91"/>
        <v>4248442.9999999991</v>
      </c>
      <c r="N557" s="53">
        <f t="shared" ca="1" si="91"/>
        <v>4592925.8699999992</v>
      </c>
      <c r="O557" s="18">
        <f t="shared" ca="1" si="93"/>
        <v>28012925.459999993</v>
      </c>
    </row>
    <row r="558" spans="1:16" x14ac:dyDescent="0.55000000000000004">
      <c r="D558" s="3" t="str">
        <f t="shared" si="92"/>
        <v>T_RENT_EXP - Tenant Rent Expense</v>
      </c>
      <c r="F558" s="14" t="str">
        <f>_xll.EVDES(D558)</f>
        <v>Tenant Rent Expense</v>
      </c>
      <c r="G558" s="60">
        <f t="shared" ca="1" si="91"/>
        <v>3191596.0199999996</v>
      </c>
      <c r="H558" s="53">
        <f t="shared" ca="1" si="91"/>
        <v>3192371.0199999996</v>
      </c>
      <c r="I558" s="60">
        <f t="shared" ca="1" si="91"/>
        <v>3192996.6599999997</v>
      </c>
      <c r="J558" s="53">
        <f t="shared" ca="1" si="91"/>
        <v>3191671.0199999996</v>
      </c>
      <c r="K558" s="60">
        <f t="shared" ca="1" si="91"/>
        <v>3191671.0199999996</v>
      </c>
      <c r="L558" s="53">
        <f t="shared" ca="1" si="91"/>
        <v>3192371.0199999996</v>
      </c>
      <c r="M558" s="60">
        <f t="shared" ca="1" si="91"/>
        <v>3190401.3699999996</v>
      </c>
      <c r="N558" s="53">
        <f t="shared" ca="1" si="91"/>
        <v>3190643.2699999996</v>
      </c>
      <c r="O558" s="18">
        <f t="shared" ca="1" si="93"/>
        <v>25533721.399999999</v>
      </c>
    </row>
    <row r="559" spans="1:16" x14ac:dyDescent="0.55000000000000004">
      <c r="D559" s="3" t="str">
        <f t="shared" si="92"/>
        <v>x</v>
      </c>
      <c r="F559" s="15" t="s">
        <v>0</v>
      </c>
      <c r="G559" s="65">
        <f t="shared" ref="G559" ca="1" si="95">G557/G558</f>
        <v>1.1803904962884368</v>
      </c>
      <c r="H559" s="57">
        <f t="shared" ref="H559:J559" ca="1" si="96">H557/H558</f>
        <v>0.63285031950954129</v>
      </c>
      <c r="I559" s="65">
        <f t="shared" ref="I559:L559" ca="1" si="97">I557/I558</f>
        <v>1.0218507149957368</v>
      </c>
      <c r="J559" s="57">
        <f t="shared" ca="1" si="96"/>
        <v>0.87217985267165798</v>
      </c>
      <c r="K559" s="65">
        <f t="shared" ca="1" si="97"/>
        <v>1.22213511215827</v>
      </c>
      <c r="L559" s="57">
        <f t="shared" ca="1" si="97"/>
        <v>1.0765677418033952</v>
      </c>
      <c r="M559" s="65">
        <f t="shared" ref="M559:N559" ca="1" si="98">M557/M558</f>
        <v>1.3316327656917974</v>
      </c>
      <c r="N559" s="57">
        <f t="shared" ca="1" si="98"/>
        <v>1.4394983961964509</v>
      </c>
    </row>
  </sheetData>
  <pageMargins left="0.2" right="0.2" top="0.75" bottom="0.75" header="0.3" footer="0.3"/>
  <pageSetup paperSize="119" scale="57" fitToHeight="10" orientation="landscape" r:id="rId1"/>
  <headerFooter>
    <oddFooter>&amp;C&amp;P</oddFooter>
  </headerFooter>
  <rowBreaks count="10" manualBreakCount="10">
    <brk id="63" min="5" max="13" man="1"/>
    <brk id="118" min="5" max="13" man="1"/>
    <brk id="162" min="5" max="13" man="1"/>
    <brk id="173" min="5" max="13" man="1"/>
    <brk id="228" min="5" max="13" man="1"/>
    <brk id="283" min="5" max="13" man="1"/>
    <brk id="338" min="5" max="13" man="1"/>
    <brk id="393" min="5" max="13" man="1"/>
    <brk id="448" min="5" max="13" man="1"/>
    <brk id="503" min="5" max="13" man="1"/>
  </rowBreaks>
  <customProperties>
    <customPr name="FPMExcelClientRefreshTime" r:id="rId2"/>
  </customProperties>
  <drawing r:id="rId3"/>
  <legacyDrawing r:id="rId4"/>
  <controls>
    <mc:AlternateContent xmlns:mc="http://schemas.openxmlformats.org/markup-compatibility/2006">
      <mc:Choice Requires="x14">
        <control shapeId="2049" r:id="rId5" name="FPMExcelClientSheetOptionstb1">
          <controlPr defaultSize="0" autoLine="0" r:id="rId6">
            <anchor moveWithCells="1" sizeWithCells="1">
              <from>
                <xdr:col>0</xdr:col>
                <xdr:colOff>0</xdr:colOff>
                <xdr:row>1</xdr:row>
                <xdr:rowOff>0</xdr:rowOff>
              </from>
              <to>
                <xdr:col>0</xdr:col>
                <xdr:colOff>0</xdr:colOff>
                <xdr:row>1</xdr:row>
                <xdr:rowOff>0</xdr:rowOff>
              </to>
            </anchor>
          </controlPr>
        </control>
      </mc:Choice>
      <mc:Fallback>
        <control shapeId="2049" r:id="rId5" name="FPMExcelClientSheetOptionstb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C3:L33"/>
  <sheetViews>
    <sheetView tabSelected="1" zoomScale="80" zoomScaleNormal="80" workbookViewId="0">
      <selection activeCell="K4" sqref="K4"/>
    </sheetView>
  </sheetViews>
  <sheetFormatPr defaultColWidth="16.15625" defaultRowHeight="14.4" x14ac:dyDescent="0.55000000000000004"/>
  <cols>
    <col min="1" max="2" width="5.26171875" style="174" customWidth="1"/>
    <col min="3" max="3" width="35.68359375" style="174" bestFit="1" customWidth="1"/>
    <col min="4" max="7" width="12.26171875" style="174" bestFit="1" customWidth="1"/>
    <col min="8" max="12" width="13.41796875" style="174" bestFit="1" customWidth="1"/>
    <col min="13" max="13" width="16.15625" style="174"/>
    <col min="14" max="14" width="33" style="174" customWidth="1"/>
    <col min="15" max="16384" width="16.15625" style="174"/>
  </cols>
  <sheetData>
    <row r="3" spans="3:12" x14ac:dyDescent="0.55000000000000004">
      <c r="C3" s="171" t="s">
        <v>113</v>
      </c>
      <c r="D3" s="172" t="str">
        <f>+Summary!G8</f>
        <v>Jan 2021</v>
      </c>
      <c r="E3" s="172" t="str">
        <f>+Summary!H8</f>
        <v>Feb 2021</v>
      </c>
      <c r="F3" s="172" t="str">
        <f>+Summary!I8</f>
        <v>Mar 2021</v>
      </c>
      <c r="G3" s="172" t="str">
        <f>+Summary!J8</f>
        <v>Apr 2021</v>
      </c>
      <c r="H3" s="172" t="str">
        <f>+Summary!K8</f>
        <v>May 2021</v>
      </c>
      <c r="I3" s="172" t="str">
        <f>+Summary!L8</f>
        <v>Jun 2021</v>
      </c>
      <c r="J3" s="172" t="str">
        <f>+Summary!M8</f>
        <v>Jul 2021</v>
      </c>
      <c r="K3" s="172" t="str">
        <f>+Summary!N8</f>
        <v>Aug 2021</v>
      </c>
      <c r="L3" s="173" t="s">
        <v>115</v>
      </c>
    </row>
    <row r="4" spans="3:12" x14ac:dyDescent="0.55000000000000004">
      <c r="C4" s="53" t="s">
        <v>29</v>
      </c>
      <c r="D4" s="174">
        <f>+TTM!F16</f>
        <v>45193</v>
      </c>
      <c r="E4" s="174">
        <f>+TTM!G16</f>
        <v>42597</v>
      </c>
      <c r="F4" s="174">
        <f>+TTM!H16</f>
        <v>47577</v>
      </c>
      <c r="G4" s="174">
        <f>+TTM!I16</f>
        <v>47696</v>
      </c>
      <c r="H4" s="174">
        <f>+TTM!J16</f>
        <v>50366</v>
      </c>
      <c r="I4" s="174">
        <f>+TTM!K16</f>
        <v>50153</v>
      </c>
      <c r="J4" s="174">
        <f>+TTM!L16</f>
        <v>53130</v>
      </c>
      <c r="K4" s="174">
        <f>+TTM!M16</f>
        <v>52528</v>
      </c>
      <c r="L4" s="175">
        <f t="shared" ref="L4:L10" si="0">SUM(D4:K4)</f>
        <v>389240</v>
      </c>
    </row>
    <row r="5" spans="3:12" x14ac:dyDescent="0.55000000000000004">
      <c r="C5" s="53" t="s">
        <v>13</v>
      </c>
      <c r="D5" s="174">
        <f>TTM!F39</f>
        <v>23764455.780000001</v>
      </c>
      <c r="E5" s="174">
        <f>TTM!G39</f>
        <v>21640283.989999995</v>
      </c>
      <c r="F5" s="174">
        <f>TTM!H39</f>
        <v>23963756.269999996</v>
      </c>
      <c r="G5" s="174">
        <f>TTM!I39</f>
        <v>23533558.969999999</v>
      </c>
      <c r="H5" s="174">
        <f>TTM!J39</f>
        <v>24542802.719999999</v>
      </c>
      <c r="I5" s="174">
        <f>TTM!K39</f>
        <v>24512858.560000006</v>
      </c>
      <c r="J5" s="174">
        <f>TTM!L39</f>
        <v>26032122.080000006</v>
      </c>
      <c r="K5" s="174">
        <f>TTM!M39</f>
        <v>26057085.199999999</v>
      </c>
      <c r="L5" s="175">
        <f t="shared" si="0"/>
        <v>194046923.56999999</v>
      </c>
    </row>
    <row r="6" spans="3:12" x14ac:dyDescent="0.55000000000000004">
      <c r="C6" s="53" t="s">
        <v>15</v>
      </c>
      <c r="D6" s="174">
        <f>TTM!F98-TTM!F75+TTM!F106</f>
        <v>18818462.169999991</v>
      </c>
      <c r="E6" s="174">
        <f>TTM!G98-TTM!G75+TTM!G106</f>
        <v>18454496.969999995</v>
      </c>
      <c r="F6" s="174">
        <f>TTM!H98-TTM!H75+TTM!H106</f>
        <v>19636368.350000001</v>
      </c>
      <c r="G6" s="174">
        <f>TTM!I98-TTM!I75+TTM!I106</f>
        <v>19555619.810000002</v>
      </c>
      <c r="H6" s="174">
        <f>TTM!J98-TTM!J75+TTM!J106</f>
        <v>19471152.5</v>
      </c>
      <c r="I6" s="174">
        <f>TTM!K98-TTM!K75+TTM!K106</f>
        <v>19850244.000000004</v>
      </c>
      <c r="J6" s="174">
        <f>TTM!L98-TTM!L75+TTM!L106</f>
        <v>20560381.859999996</v>
      </c>
      <c r="K6" s="174">
        <f>TTM!M98-TTM!M75+TTM!M106</f>
        <v>20162464.989999998</v>
      </c>
      <c r="L6" s="175">
        <f t="shared" si="0"/>
        <v>156509190.64999998</v>
      </c>
    </row>
    <row r="7" spans="3:12" x14ac:dyDescent="0.55000000000000004">
      <c r="C7" s="176" t="s">
        <v>12</v>
      </c>
      <c r="D7" s="174">
        <f>D5-D6</f>
        <v>4945993.6100000106</v>
      </c>
      <c r="E7" s="174">
        <f t="shared" ref="E7:K7" si="1">E5-E6</f>
        <v>3185787.0199999996</v>
      </c>
      <c r="F7" s="174">
        <f t="shared" si="1"/>
        <v>4327387.9199999943</v>
      </c>
      <c r="G7" s="174">
        <f t="shared" si="1"/>
        <v>3977939.1599999964</v>
      </c>
      <c r="H7" s="174">
        <f t="shared" si="1"/>
        <v>5071650.2199999988</v>
      </c>
      <c r="I7" s="174">
        <f t="shared" si="1"/>
        <v>4662614.5600000024</v>
      </c>
      <c r="J7" s="174">
        <f t="shared" si="1"/>
        <v>5471740.22000001</v>
      </c>
      <c r="K7" s="174">
        <f t="shared" si="1"/>
        <v>5894620.2100000009</v>
      </c>
      <c r="L7" s="175">
        <f t="shared" si="0"/>
        <v>37537732.920000017</v>
      </c>
    </row>
    <row r="8" spans="3:12" x14ac:dyDescent="0.55000000000000004">
      <c r="C8" s="53" t="s">
        <v>976</v>
      </c>
      <c r="D8" s="174">
        <f>TTM!F107</f>
        <v>1178664</v>
      </c>
      <c r="E8" s="174">
        <f>TTM!G107</f>
        <v>1165494</v>
      </c>
      <c r="F8" s="174">
        <f>TTM!H107</f>
        <v>1064622</v>
      </c>
      <c r="G8" s="174">
        <f>TTM!I107</f>
        <v>1194228</v>
      </c>
      <c r="H8" s="174">
        <f>TTM!J107</f>
        <v>1170997</v>
      </c>
      <c r="I8" s="174">
        <f>TTM!K107</f>
        <v>1225754</v>
      </c>
      <c r="J8" s="174">
        <f>TTM!L107</f>
        <v>1223163</v>
      </c>
      <c r="K8" s="174">
        <f>TTM!M107</f>
        <v>1301595</v>
      </c>
      <c r="L8" s="175">
        <f t="shared" si="0"/>
        <v>9524517</v>
      </c>
    </row>
    <row r="9" spans="3:12" x14ac:dyDescent="0.55000000000000004">
      <c r="C9" s="176" t="s">
        <v>12</v>
      </c>
      <c r="D9" s="174">
        <f>D7-D8</f>
        <v>3767329.6100000106</v>
      </c>
      <c r="E9" s="174">
        <f t="shared" ref="E9:K9" si="2">E7-E8</f>
        <v>2020293.0199999996</v>
      </c>
      <c r="F9" s="174">
        <f t="shared" si="2"/>
        <v>3262765.9199999943</v>
      </c>
      <c r="G9" s="174">
        <f t="shared" si="2"/>
        <v>2783711.1599999964</v>
      </c>
      <c r="H9" s="174">
        <f t="shared" si="2"/>
        <v>3900653.2199999988</v>
      </c>
      <c r="I9" s="174">
        <f t="shared" si="2"/>
        <v>3436860.5600000024</v>
      </c>
      <c r="J9" s="174">
        <f t="shared" si="2"/>
        <v>4248577.22000001</v>
      </c>
      <c r="K9" s="174">
        <f t="shared" si="2"/>
        <v>4593025.2100000009</v>
      </c>
      <c r="L9" s="175">
        <f t="shared" si="0"/>
        <v>28013215.920000013</v>
      </c>
    </row>
    <row r="10" spans="3:12" x14ac:dyDescent="0.55000000000000004">
      <c r="C10" s="53" t="s">
        <v>24</v>
      </c>
      <c r="D10" s="174">
        <f>TTM!F104</f>
        <v>3191596.02</v>
      </c>
      <c r="E10" s="174">
        <f>TTM!G104</f>
        <v>3192371.02</v>
      </c>
      <c r="F10" s="174">
        <f>TTM!H104</f>
        <v>3192996.66</v>
      </c>
      <c r="G10" s="174">
        <f>TTM!I104</f>
        <v>3191671.02</v>
      </c>
      <c r="H10" s="174">
        <f>TTM!J104</f>
        <v>3191671.02</v>
      </c>
      <c r="I10" s="174">
        <f>TTM!K104</f>
        <v>3192371.02</v>
      </c>
      <c r="J10" s="174">
        <f>TTM!L104</f>
        <v>3190401.37</v>
      </c>
      <c r="K10" s="174">
        <f>TTM!M104</f>
        <v>3190643.27</v>
      </c>
      <c r="L10" s="175">
        <f t="shared" si="0"/>
        <v>25533721.399999999</v>
      </c>
    </row>
    <row r="11" spans="3:12" x14ac:dyDescent="0.55000000000000004">
      <c r="C11" s="53"/>
      <c r="L11" s="175"/>
    </row>
    <row r="12" spans="3:12" x14ac:dyDescent="0.55000000000000004">
      <c r="C12" s="53"/>
      <c r="L12" s="175"/>
    </row>
    <row r="13" spans="3:12" x14ac:dyDescent="0.55000000000000004">
      <c r="C13" s="171" t="s">
        <v>112</v>
      </c>
      <c r="L13" s="175"/>
    </row>
    <row r="14" spans="3:12" x14ac:dyDescent="0.55000000000000004">
      <c r="C14" s="53" t="s">
        <v>974</v>
      </c>
      <c r="D14" s="174">
        <f ca="1">VLOOKUP($C14,Summary!$F$550:$I$559,2,0)</f>
        <v>45193</v>
      </c>
      <c r="E14" s="174">
        <f ca="1">VLOOKUP($C14,Summary!$F$550:$I$559,3,0)</f>
        <v>42597</v>
      </c>
      <c r="F14" s="174">
        <f ca="1">VLOOKUP($C14,Summary!$F$550:$I$559,4,0)</f>
        <v>47577</v>
      </c>
      <c r="G14" s="174">
        <f ca="1">VLOOKUP($C14,Summary!$F$550:$J$559,5,0)</f>
        <v>47696</v>
      </c>
      <c r="H14" s="174">
        <f ca="1">VLOOKUP($C14,Summary!$F$550:$K$559,6,0)</f>
        <v>50366</v>
      </c>
      <c r="I14" s="174">
        <f ca="1">VLOOKUP($C14,Summary!$F$550:$L$559,7,0)</f>
        <v>50153</v>
      </c>
      <c r="J14" s="174">
        <f ca="1">VLOOKUP($C14,Summary!$F$550:$M$559,8,0)</f>
        <v>53130</v>
      </c>
      <c r="K14" s="174">
        <f ca="1">VLOOKUP($C14,Summary!$F$550:$R$559,9,0)</f>
        <v>52528</v>
      </c>
      <c r="L14" s="175">
        <f t="shared" ref="L14:L20" ca="1" si="3">SUM(D14:K14)</f>
        <v>389240</v>
      </c>
    </row>
    <row r="15" spans="3:12" x14ac:dyDescent="0.55000000000000004">
      <c r="C15" s="53" t="s">
        <v>977</v>
      </c>
      <c r="D15" s="174">
        <f ca="1">VLOOKUP($C15,Summary!$F$550:$I$559,2,0)</f>
        <v>23764455.779999997</v>
      </c>
      <c r="E15" s="174">
        <f ca="1">VLOOKUP($C15,Summary!$F$550:$I$559,3,0)</f>
        <v>21640283.989999995</v>
      </c>
      <c r="F15" s="174">
        <f ca="1">VLOOKUP($C15,Summary!$F$550:$I$559,4,0)</f>
        <v>23963756.27</v>
      </c>
      <c r="G15" s="174">
        <f ca="1">VLOOKUP($C15,Summary!$F$550:$J$559,5,0)</f>
        <v>23533558.969999999</v>
      </c>
      <c r="H15" s="174">
        <f ca="1">VLOOKUP($C15,Summary!$F$550:$K$559,6,0)</f>
        <v>24542802.719999999</v>
      </c>
      <c r="I15" s="174">
        <f ca="1">VLOOKUP($C15,Summary!$F$550:$L$559,7,0)</f>
        <v>24512858.560000002</v>
      </c>
      <c r="J15" s="174">
        <f ca="1">VLOOKUP($C15,Summary!$F$550:$M$559,8,0)</f>
        <v>26032122.080000002</v>
      </c>
      <c r="K15" s="174">
        <f ca="1">VLOOKUP($C15,Summary!$F$550:$R$559,9,0)</f>
        <v>26057085.199999999</v>
      </c>
      <c r="L15" s="175">
        <f t="shared" ca="1" si="3"/>
        <v>194046923.56999999</v>
      </c>
    </row>
    <row r="16" spans="3:12" x14ac:dyDescent="0.55000000000000004">
      <c r="C16" s="53" t="s">
        <v>978</v>
      </c>
      <c r="D16" s="174">
        <f ca="1">VLOOKUP($C16,Summary!$F$550:$I$559,2,0)</f>
        <v>18818462.170000002</v>
      </c>
      <c r="E16" s="174">
        <f ca="1">VLOOKUP($C16,Summary!$F$550:$I$559,3,0)</f>
        <v>18454496.969999999</v>
      </c>
      <c r="F16" s="174">
        <f ca="1">VLOOKUP($C16,Summary!$F$550:$I$559,4,0)</f>
        <v>19636368.349999994</v>
      </c>
      <c r="G16" s="174">
        <f ca="1">VLOOKUP($C16,Summary!$F$550:$J$559,5,0)</f>
        <v>19555619.810000006</v>
      </c>
      <c r="H16" s="174">
        <f ca="1">VLOOKUP($C16,Summary!$F$550:$K$559,6,0)</f>
        <v>19471152.500000004</v>
      </c>
      <c r="I16" s="174">
        <f ca="1">VLOOKUP($C16,Summary!$F$550:$L$559,7,0)</f>
        <v>19850300.899999995</v>
      </c>
      <c r="J16" s="174">
        <f ca="1">VLOOKUP($C16,Summary!$F$550:$M$559,8,0)</f>
        <v>20560516.079999998</v>
      </c>
      <c r="K16" s="174">
        <f ca="1">VLOOKUP($C16,Summary!$F$550:$R$559,9,0)</f>
        <v>20162564.330000002</v>
      </c>
      <c r="L16" s="175">
        <f t="shared" ca="1" si="3"/>
        <v>156509481.10999998</v>
      </c>
    </row>
    <row r="17" spans="3:12" x14ac:dyDescent="0.55000000000000004">
      <c r="C17" s="53" t="s">
        <v>12</v>
      </c>
      <c r="D17" s="174">
        <f ca="1">VLOOKUP($C17,Summary!$F$550:$I$559,2,0)</f>
        <v>4945993.6099999994</v>
      </c>
      <c r="E17" s="174">
        <f ca="1">VLOOKUP($C17,Summary!$F$550:$I$559,3,0)</f>
        <v>3185787.02</v>
      </c>
      <c r="F17" s="174">
        <f ca="1">VLOOKUP($C17,Summary!$F$550:$I$559,4,0)</f>
        <v>4327387.919999999</v>
      </c>
      <c r="G17" s="174">
        <f ca="1">VLOOKUP($C17,Summary!$F$550:$J$559,5,0)</f>
        <v>3977939.1600000006</v>
      </c>
      <c r="H17" s="174">
        <f ca="1">VLOOKUP($C17,Summary!$F$550:$K$559,6,0)</f>
        <v>5071650.2200000007</v>
      </c>
      <c r="I17" s="174">
        <f ca="1">VLOOKUP($C17,Summary!$F$550:$L$559,7,0)</f>
        <v>4662557.66</v>
      </c>
      <c r="J17" s="174">
        <f ca="1">VLOOKUP($C17,Summary!$F$550:$M$559,8,0)</f>
        <v>5471606</v>
      </c>
      <c r="K17" s="174">
        <f ca="1">VLOOKUP($C17,Summary!$F$550:$R$559,9,0)</f>
        <v>5894520.8699999992</v>
      </c>
      <c r="L17" s="175">
        <f t="shared" ca="1" si="3"/>
        <v>37537442.460000001</v>
      </c>
    </row>
    <row r="18" spans="3:12" x14ac:dyDescent="0.55000000000000004">
      <c r="C18" s="53" t="s">
        <v>979</v>
      </c>
      <c r="D18" s="174">
        <f ca="1">VLOOKUP($C18,Summary!$F$550:$I$559,2,0)</f>
        <v>1178664</v>
      </c>
      <c r="E18" s="174">
        <f ca="1">VLOOKUP($C18,Summary!$F$550:$I$559,3,0)</f>
        <v>1165494</v>
      </c>
      <c r="F18" s="174">
        <f ca="1">VLOOKUP($C18,Summary!$F$550:$I$559,4,0)</f>
        <v>1064622</v>
      </c>
      <c r="G18" s="174">
        <f ca="1">VLOOKUP($C18,Summary!$F$550:$J$559,5,0)</f>
        <v>1194228</v>
      </c>
      <c r="H18" s="174">
        <f ca="1">VLOOKUP($C18,Summary!$F$550:$K$559,6,0)</f>
        <v>1170997</v>
      </c>
      <c r="I18" s="174">
        <f ca="1">VLOOKUP($C18,Summary!$F$550:$L$559,7,0)</f>
        <v>1225754</v>
      </c>
      <c r="J18" s="174">
        <f ca="1">VLOOKUP($C18,Summary!$F$550:$M$559,8,0)</f>
        <v>1223163</v>
      </c>
      <c r="K18" s="174">
        <f ca="1">VLOOKUP($C18,Summary!$F$550:$R$559,9,0)</f>
        <v>1301595</v>
      </c>
      <c r="L18" s="175">
        <f t="shared" ca="1" si="3"/>
        <v>9524517</v>
      </c>
    </row>
    <row r="19" spans="3:12" x14ac:dyDescent="0.55000000000000004">
      <c r="C19" s="53" t="s">
        <v>11</v>
      </c>
      <c r="D19" s="174">
        <f ca="1">VLOOKUP($C19,Summary!$F$550:$I$559,2,0)</f>
        <v>3767329.6099999994</v>
      </c>
      <c r="E19" s="174">
        <f ca="1">VLOOKUP($C19,Summary!$F$550:$I$559,3,0)</f>
        <v>2020293.02</v>
      </c>
      <c r="F19" s="174">
        <f ca="1">VLOOKUP($C19,Summary!$F$550:$I$559,4,0)</f>
        <v>3262765.919999999</v>
      </c>
      <c r="G19" s="174">
        <f ca="1">VLOOKUP($C19,Summary!$F$550:$J$559,5,0)</f>
        <v>2783711.16</v>
      </c>
      <c r="H19" s="174">
        <f ca="1">VLOOKUP($C19,Summary!$F$550:$K$559,6,0)</f>
        <v>3900653.2199999997</v>
      </c>
      <c r="I19" s="174">
        <f ca="1">VLOOKUP($C19,Summary!$F$550:$L$559,7,0)</f>
        <v>3436803.6600000006</v>
      </c>
      <c r="J19" s="174">
        <f ca="1">VLOOKUP($C19,Summary!$F$550:$M$559,8,0)</f>
        <v>4248442.9999999991</v>
      </c>
      <c r="K19" s="174">
        <f ca="1">VLOOKUP($C19,Summary!$F$550:$R$559,9,0)</f>
        <v>4592925.8699999992</v>
      </c>
      <c r="L19" s="175">
        <f t="shared" ca="1" si="3"/>
        <v>28012925.459999993</v>
      </c>
    </row>
    <row r="20" spans="3:12" x14ac:dyDescent="0.55000000000000004">
      <c r="C20" s="53" t="s">
        <v>789</v>
      </c>
      <c r="D20" s="174">
        <f ca="1">VLOOKUP($C20,Summary!$F$550:$I$559,2,0)</f>
        <v>3191596.0199999996</v>
      </c>
      <c r="E20" s="174">
        <f ca="1">VLOOKUP($C20,Summary!$F$550:$I$559,3,0)</f>
        <v>3192371.0199999996</v>
      </c>
      <c r="F20" s="174">
        <f ca="1">VLOOKUP($C20,Summary!$F$550:$I$559,4,0)</f>
        <v>3192996.6599999997</v>
      </c>
      <c r="G20" s="174">
        <f ca="1">VLOOKUP($C20,Summary!$F$550:$J$559,5,0)</f>
        <v>3191671.0199999996</v>
      </c>
      <c r="H20" s="174">
        <f ca="1">VLOOKUP($C20,Summary!$F$550:$K$559,6,0)</f>
        <v>3191671.0199999996</v>
      </c>
      <c r="I20" s="174">
        <f ca="1">VLOOKUP($C20,Summary!$F$550:$L$559,7,0)</f>
        <v>3192371.0199999996</v>
      </c>
      <c r="J20" s="174">
        <f ca="1">VLOOKUP($C20,Summary!$F$550:$M$559,8,0)</f>
        <v>3190401.3699999996</v>
      </c>
      <c r="K20" s="174">
        <f ca="1">VLOOKUP($C20,Summary!$F$550:$R$559,9,0)</f>
        <v>3190643.2699999996</v>
      </c>
      <c r="L20" s="175">
        <f t="shared" ca="1" si="3"/>
        <v>25533721.399999999</v>
      </c>
    </row>
    <row r="21" spans="3:12" x14ac:dyDescent="0.55000000000000004">
      <c r="C21" s="53"/>
      <c r="L21" s="175"/>
    </row>
    <row r="22" spans="3:12" x14ac:dyDescent="0.55000000000000004">
      <c r="C22" s="53"/>
      <c r="L22" s="175"/>
    </row>
    <row r="23" spans="3:12" x14ac:dyDescent="0.55000000000000004">
      <c r="C23" s="171" t="s">
        <v>114</v>
      </c>
      <c r="L23" s="175"/>
    </row>
    <row r="24" spans="3:12" x14ac:dyDescent="0.55000000000000004">
      <c r="C24" s="53" t="s">
        <v>19</v>
      </c>
      <c r="D24" s="174">
        <f ca="1">SUM(D4-D14)</f>
        <v>0</v>
      </c>
      <c r="E24" s="174">
        <f t="shared" ref="E24:L24" ca="1" si="4">SUM(E4-E14)</f>
        <v>0</v>
      </c>
      <c r="F24" s="174">
        <f t="shared" ca="1" si="4"/>
        <v>0</v>
      </c>
      <c r="G24" s="174">
        <f t="shared" ref="G24:H24" ca="1" si="5">SUM(G4-G14)</f>
        <v>0</v>
      </c>
      <c r="H24" s="174">
        <f t="shared" ca="1" si="5"/>
        <v>0</v>
      </c>
      <c r="I24" s="174">
        <f t="shared" ref="I24:J24" ca="1" si="6">SUM(I4-I14)</f>
        <v>0</v>
      </c>
      <c r="J24" s="174">
        <f t="shared" ca="1" si="6"/>
        <v>0</v>
      </c>
      <c r="K24" s="174">
        <f t="shared" ref="K24" ca="1" si="7">SUM(K4-K14)</f>
        <v>0</v>
      </c>
      <c r="L24" s="175">
        <f t="shared" ca="1" si="4"/>
        <v>0</v>
      </c>
    </row>
    <row r="25" spans="3:12" x14ac:dyDescent="0.55000000000000004">
      <c r="C25" s="53" t="s">
        <v>17</v>
      </c>
      <c r="D25" s="174">
        <f t="shared" ref="D25:L25" ca="1" si="8">SUM(D5-D15)</f>
        <v>3.7252902984619141E-9</v>
      </c>
      <c r="E25" s="174">
        <f t="shared" ca="1" si="8"/>
        <v>0</v>
      </c>
      <c r="F25" s="174">
        <f t="shared" ca="1" si="8"/>
        <v>-3.7252902984619141E-9</v>
      </c>
      <c r="G25" s="174">
        <f t="shared" ref="G25:H25" ca="1" si="9">SUM(G5-G15)</f>
        <v>0</v>
      </c>
      <c r="H25" s="174">
        <f t="shared" ca="1" si="9"/>
        <v>0</v>
      </c>
      <c r="I25" s="174">
        <f t="shared" ref="I25:J25" ca="1" si="10">SUM(I5-I15)</f>
        <v>3.7252902984619141E-9</v>
      </c>
      <c r="J25" s="174">
        <f t="shared" ca="1" si="10"/>
        <v>3.7252902984619141E-9</v>
      </c>
      <c r="K25" s="174">
        <f t="shared" ref="K25" ca="1" si="11">SUM(K5-K15)</f>
        <v>0</v>
      </c>
      <c r="L25" s="175">
        <f t="shared" ca="1" si="8"/>
        <v>0</v>
      </c>
    </row>
    <row r="26" spans="3:12" x14ac:dyDescent="0.55000000000000004">
      <c r="C26" s="53" t="s">
        <v>15</v>
      </c>
      <c r="D26" s="174">
        <f t="shared" ref="D26:L26" ca="1" si="12">SUM(D6-D16)</f>
        <v>-1.1175870895385742E-8</v>
      </c>
      <c r="E26" s="174">
        <f t="shared" ca="1" si="12"/>
        <v>-3.7252902984619141E-9</v>
      </c>
      <c r="F26" s="174">
        <f t="shared" ca="1" si="12"/>
        <v>7.4505805969238281E-9</v>
      </c>
      <c r="G26" s="174">
        <f t="shared" ref="G26:H26" ca="1" si="13">SUM(G6-G16)</f>
        <v>-3.7252902984619141E-9</v>
      </c>
      <c r="H26" s="174">
        <f t="shared" ca="1" si="13"/>
        <v>-3.7252902984619141E-9</v>
      </c>
      <c r="I26" s="285">
        <f t="shared" ref="I26:J26" ca="1" si="14">SUM(I6-I16)</f>
        <v>-56.899999991059303</v>
      </c>
      <c r="J26" s="285">
        <f t="shared" ca="1" si="14"/>
        <v>-134.2200000025332</v>
      </c>
      <c r="K26" s="285">
        <f t="shared" ref="K26" ca="1" si="15">SUM(K6-K16)</f>
        <v>-99.340000003576279</v>
      </c>
      <c r="L26" s="175">
        <f t="shared" ca="1" si="12"/>
        <v>-290.46000000834465</v>
      </c>
    </row>
    <row r="27" spans="3:12" x14ac:dyDescent="0.55000000000000004">
      <c r="C27" s="53" t="s">
        <v>12</v>
      </c>
      <c r="D27" s="174">
        <f t="shared" ref="D27:L27" ca="1" si="16">SUM(D7-D17)</f>
        <v>1.1175870895385742E-8</v>
      </c>
      <c r="E27" s="174">
        <f t="shared" ca="1" si="16"/>
        <v>-4.6566128730773926E-10</v>
      </c>
      <c r="F27" s="174">
        <f t="shared" ca="1" si="16"/>
        <v>-4.6566128730773926E-9</v>
      </c>
      <c r="G27" s="174">
        <f t="shared" ref="G27:H27" ca="1" si="17">SUM(G7-G17)</f>
        <v>-4.1909515857696533E-9</v>
      </c>
      <c r="H27" s="174">
        <f t="shared" ca="1" si="17"/>
        <v>-1.862645149230957E-9</v>
      </c>
      <c r="I27" s="174">
        <f t="shared" ref="I27:J27" ca="1" si="18">SUM(I7-I17)</f>
        <v>56.900000002235174</v>
      </c>
      <c r="J27" s="174">
        <f t="shared" ca="1" si="18"/>
        <v>134.22000000998378</v>
      </c>
      <c r="K27" s="174">
        <f t="shared" ref="K27" ca="1" si="19">SUM(K7-K17)</f>
        <v>99.340000001713634</v>
      </c>
      <c r="L27" s="175">
        <f t="shared" ca="1" si="16"/>
        <v>290.46000001579523</v>
      </c>
    </row>
    <row r="28" spans="3:12" x14ac:dyDescent="0.55000000000000004">
      <c r="C28" s="53" t="s">
        <v>25</v>
      </c>
      <c r="D28" s="174">
        <f t="shared" ref="D28:L28" ca="1" si="20">SUM(D8-D18)</f>
        <v>0</v>
      </c>
      <c r="E28" s="174">
        <f t="shared" ca="1" si="20"/>
        <v>0</v>
      </c>
      <c r="F28" s="174">
        <f t="shared" ca="1" si="20"/>
        <v>0</v>
      </c>
      <c r="G28" s="174">
        <f t="shared" ref="G28:H28" ca="1" si="21">SUM(G8-G18)</f>
        <v>0</v>
      </c>
      <c r="H28" s="174">
        <f t="shared" ca="1" si="21"/>
        <v>0</v>
      </c>
      <c r="I28" s="174">
        <f t="shared" ref="I28:J28" ca="1" si="22">SUM(I8-I18)</f>
        <v>0</v>
      </c>
      <c r="J28" s="174">
        <f t="shared" ca="1" si="22"/>
        <v>0</v>
      </c>
      <c r="K28" s="174">
        <f t="shared" ref="K28" ca="1" si="23">SUM(K8-K18)</f>
        <v>0</v>
      </c>
      <c r="L28" s="175">
        <f t="shared" ca="1" si="20"/>
        <v>0</v>
      </c>
    </row>
    <row r="29" spans="3:12" x14ac:dyDescent="0.55000000000000004">
      <c r="C29" s="53" t="s">
        <v>11</v>
      </c>
      <c r="D29" s="174">
        <f t="shared" ref="D29:L29" ca="1" si="24">SUM(D9-D19)</f>
        <v>1.1175870895385742E-8</v>
      </c>
      <c r="E29" s="174">
        <f t="shared" ca="1" si="24"/>
        <v>-4.6566128730773926E-10</v>
      </c>
      <c r="F29" s="174">
        <f t="shared" ca="1" si="24"/>
        <v>-4.6566128730773926E-9</v>
      </c>
      <c r="G29" s="174">
        <f t="shared" ref="G29:H29" ca="1" si="25">SUM(G9-G19)</f>
        <v>-3.7252902984619141E-9</v>
      </c>
      <c r="H29" s="174">
        <f t="shared" ca="1" si="25"/>
        <v>-9.3132257461547852E-10</v>
      </c>
      <c r="I29" s="174">
        <f t="shared" ref="I29:J29" ca="1" si="26">SUM(I9-I19)</f>
        <v>56.900000001769513</v>
      </c>
      <c r="J29" s="174">
        <f t="shared" ca="1" si="26"/>
        <v>134.2200000109151</v>
      </c>
      <c r="K29" s="174">
        <f t="shared" ref="K29" ca="1" si="27">SUM(K9-K19)</f>
        <v>99.340000001713634</v>
      </c>
      <c r="L29" s="175">
        <f t="shared" ca="1" si="24"/>
        <v>290.46000001952052</v>
      </c>
    </row>
    <row r="30" spans="3:12" x14ac:dyDescent="0.55000000000000004">
      <c r="C30" s="53" t="s">
        <v>24</v>
      </c>
      <c r="D30" s="174">
        <f t="shared" ref="D30:L30" ca="1" si="28">SUM(D10-D20)</f>
        <v>4.6566128730773926E-10</v>
      </c>
      <c r="E30" s="174">
        <f t="shared" ca="1" si="28"/>
        <v>4.6566128730773926E-10</v>
      </c>
      <c r="F30" s="174">
        <f t="shared" ca="1" si="28"/>
        <v>4.6566128730773926E-10</v>
      </c>
      <c r="G30" s="174">
        <f t="shared" ref="G30:H30" ca="1" si="29">SUM(G10-G20)</f>
        <v>4.6566128730773926E-10</v>
      </c>
      <c r="H30" s="174">
        <f t="shared" ca="1" si="29"/>
        <v>4.6566128730773926E-10</v>
      </c>
      <c r="I30" s="174">
        <f t="shared" ref="I30:J30" ca="1" si="30">SUM(I10-I20)</f>
        <v>4.6566128730773926E-10</v>
      </c>
      <c r="J30" s="174">
        <f t="shared" ca="1" si="30"/>
        <v>4.6566128730773926E-10</v>
      </c>
      <c r="K30" s="174">
        <f t="shared" ref="K30" ca="1" si="31">SUM(K10-K20)</f>
        <v>4.6566128730773926E-10</v>
      </c>
      <c r="L30" s="175">
        <f t="shared" ca="1" si="28"/>
        <v>0</v>
      </c>
    </row>
    <row r="31" spans="3:12" x14ac:dyDescent="0.55000000000000004">
      <c r="C31" s="53"/>
      <c r="L31" s="175"/>
    </row>
    <row r="32" spans="3:12" ht="14.7" thickBot="1" x14ac:dyDescent="0.6">
      <c r="C32" s="177"/>
      <c r="D32" s="178"/>
      <c r="E32" s="178"/>
      <c r="F32" s="178"/>
      <c r="G32" s="178"/>
      <c r="H32" s="178"/>
      <c r="I32" s="178"/>
      <c r="J32" s="178"/>
      <c r="K32" s="178"/>
      <c r="L32" s="179"/>
    </row>
    <row r="33" ht="14.7" thickTop="1" x14ac:dyDescent="0.55000000000000004"/>
  </sheetData>
  <pageMargins left="0.7" right="0.7" top="0.75" bottom="0.75" header="0.3" footer="0.3"/>
  <pageSetup orientation="portrait" r:id="rId1"/>
  <customProperties>
    <customPr name="EpmWorksheetKeyString_GUID" r:id="rId2"/>
    <customPr name="FPMExcelClientCellBasedFunctionStatus" r:id="rId3"/>
    <customPr name="FPMExcelClientRefreshTime" r:id="rId4"/>
  </customProperties>
  <drawing r:id="rId5"/>
  <legacyDrawing r:id="rId6"/>
  <controls>
    <mc:AlternateContent xmlns:mc="http://schemas.openxmlformats.org/markup-compatibility/2006">
      <mc:Choice Requires="x14">
        <control shapeId="34817" r:id="rId7" name="FPMExcelClientSheetOptionstb1">
          <controlPr defaultSize="0" autoLine="0" autoPict="0" r:id="rId8">
            <anchor moveWithCells="1" sizeWithCells="1">
              <from>
                <xdr:col>0</xdr:col>
                <xdr:colOff>0</xdr:colOff>
                <xdr:row>0</xdr:row>
                <xdr:rowOff>0</xdr:rowOff>
              </from>
              <to>
                <xdr:col>2</xdr:col>
                <xdr:colOff>201930</xdr:colOff>
                <xdr:row>0</xdr:row>
                <xdr:rowOff>0</xdr:rowOff>
              </to>
            </anchor>
          </controlPr>
        </control>
      </mc:Choice>
      <mc:Fallback>
        <control shapeId="34817" r:id="rId7" name="FPMExcelClientSheetOptionstb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N129"/>
  <sheetViews>
    <sheetView zoomScaleNormal="100" workbookViewId="0">
      <selection activeCell="A8" sqref="A8"/>
    </sheetView>
  </sheetViews>
  <sheetFormatPr defaultRowHeight="14.4" x14ac:dyDescent="0.55000000000000004"/>
  <cols>
    <col min="1" max="1" width="27.26171875" customWidth="1"/>
    <col min="2" max="14" width="14.578125" customWidth="1"/>
  </cols>
  <sheetData>
    <row r="1" spans="1:14" x14ac:dyDescent="0.55000000000000004">
      <c r="A1" s="291" t="s">
        <v>110</v>
      </c>
      <c r="B1" s="291"/>
      <c r="C1" s="291"/>
      <c r="D1" s="291"/>
      <c r="E1" s="291"/>
      <c r="F1" s="291"/>
      <c r="G1" s="291"/>
      <c r="H1" s="291"/>
      <c r="I1" s="291"/>
      <c r="J1" s="291"/>
      <c r="K1" s="291"/>
      <c r="L1" s="291"/>
      <c r="M1" s="291"/>
      <c r="N1" s="291"/>
    </row>
    <row r="2" spans="1:14" x14ac:dyDescent="0.55000000000000004">
      <c r="A2" s="291" t="s">
        <v>116</v>
      </c>
      <c r="B2" s="291"/>
      <c r="C2" s="291"/>
      <c r="D2" s="291"/>
      <c r="E2" s="291"/>
      <c r="F2" s="291"/>
      <c r="G2" s="291"/>
      <c r="H2" s="291"/>
      <c r="I2" s="291"/>
      <c r="J2" s="291"/>
      <c r="K2" s="291"/>
      <c r="L2" s="291"/>
      <c r="M2" s="291"/>
      <c r="N2" s="291"/>
    </row>
    <row r="3" spans="1:14" x14ac:dyDescent="0.55000000000000004">
      <c r="A3" s="291" t="s">
        <v>1187</v>
      </c>
      <c r="B3" s="291"/>
      <c r="C3" s="291"/>
      <c r="D3" s="291"/>
      <c r="E3" s="291"/>
      <c r="F3" s="291"/>
      <c r="G3" s="291"/>
      <c r="H3" s="291"/>
      <c r="I3" s="291"/>
      <c r="J3" s="291"/>
      <c r="K3" s="291"/>
      <c r="L3" s="291"/>
      <c r="M3" s="291"/>
      <c r="N3" s="291"/>
    </row>
    <row r="5" spans="1:14" x14ac:dyDescent="0.55000000000000004">
      <c r="B5" s="97" t="s">
        <v>1152</v>
      </c>
      <c r="C5" s="97" t="s">
        <v>1153</v>
      </c>
      <c r="D5" s="97" t="s">
        <v>1154</v>
      </c>
      <c r="E5" s="97" t="s">
        <v>1155</v>
      </c>
      <c r="F5" s="97" t="s">
        <v>59</v>
      </c>
      <c r="G5" s="97" t="s">
        <v>60</v>
      </c>
      <c r="H5" s="97" t="s">
        <v>61</v>
      </c>
      <c r="I5" s="97" t="s">
        <v>1156</v>
      </c>
      <c r="J5" s="97" t="s">
        <v>1148</v>
      </c>
      <c r="K5" s="97" t="s">
        <v>1149</v>
      </c>
      <c r="L5" s="97" t="s">
        <v>1150</v>
      </c>
      <c r="M5" s="97" t="s">
        <v>1151</v>
      </c>
      <c r="N5" s="284" t="s">
        <v>92</v>
      </c>
    </row>
    <row r="6" spans="1:14" x14ac:dyDescent="0.55000000000000004">
      <c r="B6" s="97" t="s">
        <v>1157</v>
      </c>
      <c r="C6" s="97" t="s">
        <v>1157</v>
      </c>
      <c r="D6" s="97" t="s">
        <v>1157</v>
      </c>
      <c r="E6" s="97" t="s">
        <v>1157</v>
      </c>
      <c r="F6" s="97" t="s">
        <v>1058</v>
      </c>
      <c r="G6" s="97" t="s">
        <v>1058</v>
      </c>
      <c r="H6" s="97" t="s">
        <v>1058</v>
      </c>
      <c r="I6" s="97" t="s">
        <v>1058</v>
      </c>
      <c r="J6" s="97" t="s">
        <v>1058</v>
      </c>
      <c r="K6" s="97" t="s">
        <v>1058</v>
      </c>
      <c r="L6" s="97" t="s">
        <v>1058</v>
      </c>
      <c r="M6" s="97" t="s">
        <v>1058</v>
      </c>
      <c r="N6" s="284" t="s">
        <v>96</v>
      </c>
    </row>
    <row r="7" spans="1:14" x14ac:dyDescent="0.55000000000000004">
      <c r="A7" s="286"/>
      <c r="B7" s="287"/>
      <c r="C7" s="287"/>
      <c r="D7" s="287"/>
      <c r="E7" s="287"/>
      <c r="F7" s="287"/>
      <c r="G7" s="287"/>
      <c r="H7" s="287"/>
      <c r="I7" s="287"/>
      <c r="J7" s="287"/>
      <c r="K7" s="287"/>
      <c r="L7" s="287"/>
      <c r="M7" s="287"/>
      <c r="N7" s="287"/>
    </row>
    <row r="8" spans="1:14" x14ac:dyDescent="0.55000000000000004">
      <c r="A8" s="49" t="s">
        <v>62</v>
      </c>
      <c r="B8" s="67">
        <v>13357</v>
      </c>
      <c r="C8" s="67">
        <v>13869</v>
      </c>
      <c r="D8" s="67">
        <v>15056</v>
      </c>
      <c r="E8" s="67">
        <v>16970</v>
      </c>
      <c r="F8" s="67">
        <v>16140</v>
      </c>
      <c r="G8" s="67">
        <v>13090</v>
      </c>
      <c r="H8" s="67">
        <v>14371</v>
      </c>
      <c r="I8" s="67">
        <v>13860</v>
      </c>
      <c r="J8" s="67">
        <v>14596</v>
      </c>
      <c r="K8" s="67">
        <v>14518</v>
      </c>
      <c r="L8" s="67">
        <v>15344</v>
      </c>
      <c r="M8" s="67">
        <v>16525</v>
      </c>
      <c r="N8" s="67">
        <v>118444</v>
      </c>
    </row>
    <row r="9" spans="1:14" x14ac:dyDescent="0.55000000000000004">
      <c r="A9" s="49" t="s">
        <v>63</v>
      </c>
      <c r="B9" s="68">
        <v>24280</v>
      </c>
      <c r="C9" s="68">
        <v>25646</v>
      </c>
      <c r="D9" s="68">
        <v>22022</v>
      </c>
      <c r="E9" s="68">
        <v>20315</v>
      </c>
      <c r="F9" s="68">
        <v>20440</v>
      </c>
      <c r="G9" s="68">
        <v>20562</v>
      </c>
      <c r="H9" s="68">
        <v>23514</v>
      </c>
      <c r="I9" s="68">
        <v>23485</v>
      </c>
      <c r="J9" s="68">
        <v>24986</v>
      </c>
      <c r="K9" s="68">
        <v>24779</v>
      </c>
      <c r="L9" s="68">
        <v>25780</v>
      </c>
      <c r="M9" s="68">
        <v>25053</v>
      </c>
      <c r="N9" s="68">
        <v>188599</v>
      </c>
    </row>
    <row r="10" spans="1:14" x14ac:dyDescent="0.55000000000000004">
      <c r="A10" s="49" t="s">
        <v>64</v>
      </c>
      <c r="B10" s="68">
        <v>1483</v>
      </c>
      <c r="C10" s="68">
        <v>1078</v>
      </c>
      <c r="D10" s="68">
        <v>1742</v>
      </c>
      <c r="E10" s="68">
        <v>1154</v>
      </c>
      <c r="F10" s="68">
        <v>1337</v>
      </c>
      <c r="G10" s="68">
        <v>1616</v>
      </c>
      <c r="H10" s="68">
        <v>1796</v>
      </c>
      <c r="I10" s="68">
        <v>2122</v>
      </c>
      <c r="J10" s="68">
        <v>2041</v>
      </c>
      <c r="K10" s="68">
        <v>2207</v>
      </c>
      <c r="L10" s="68">
        <v>2235</v>
      </c>
      <c r="M10" s="68">
        <v>1896</v>
      </c>
      <c r="N10" s="68">
        <v>15250</v>
      </c>
    </row>
    <row r="11" spans="1:14" x14ac:dyDescent="0.55000000000000004">
      <c r="A11" s="49" t="s">
        <v>65</v>
      </c>
      <c r="B11" s="68">
        <v>720</v>
      </c>
      <c r="C11" s="68">
        <v>576</v>
      </c>
      <c r="D11" s="68">
        <v>379</v>
      </c>
      <c r="E11" s="68">
        <v>426</v>
      </c>
      <c r="F11" s="68">
        <v>321</v>
      </c>
      <c r="G11" s="68">
        <v>325</v>
      </c>
      <c r="H11" s="68">
        <v>329</v>
      </c>
      <c r="I11" s="68">
        <v>517</v>
      </c>
      <c r="J11" s="68">
        <v>573</v>
      </c>
      <c r="K11" s="68">
        <v>529</v>
      </c>
      <c r="L11" s="68">
        <v>398</v>
      </c>
      <c r="M11" s="68">
        <v>466</v>
      </c>
      <c r="N11" s="68">
        <v>3458</v>
      </c>
    </row>
    <row r="12" spans="1:14" x14ac:dyDescent="0.55000000000000004">
      <c r="A12" s="49" t="s">
        <v>1158</v>
      </c>
      <c r="B12" s="279"/>
      <c r="C12" s="279"/>
      <c r="D12" s="279"/>
      <c r="E12" s="279"/>
      <c r="F12" s="279"/>
      <c r="G12" s="279"/>
      <c r="H12" s="279"/>
      <c r="I12" s="279"/>
      <c r="J12" s="279"/>
      <c r="K12" s="279"/>
      <c r="L12" s="279"/>
      <c r="M12" s="279"/>
      <c r="N12" s="279"/>
    </row>
    <row r="13" spans="1:14" x14ac:dyDescent="0.55000000000000004">
      <c r="A13" s="49" t="s">
        <v>66</v>
      </c>
      <c r="B13" s="68">
        <v>5356</v>
      </c>
      <c r="C13" s="68">
        <v>5410</v>
      </c>
      <c r="D13" s="68">
        <v>5289</v>
      </c>
      <c r="E13" s="68">
        <v>3992</v>
      </c>
      <c r="F13" s="68">
        <v>4329</v>
      </c>
      <c r="G13" s="68">
        <v>4591</v>
      </c>
      <c r="H13" s="68">
        <v>4961</v>
      </c>
      <c r="I13" s="68">
        <v>5288</v>
      </c>
      <c r="J13" s="68">
        <v>5613</v>
      </c>
      <c r="K13" s="68">
        <v>5519</v>
      </c>
      <c r="L13" s="68">
        <v>6599</v>
      </c>
      <c r="M13" s="68">
        <v>6009</v>
      </c>
      <c r="N13" s="68">
        <v>42909</v>
      </c>
    </row>
    <row r="14" spans="1:14" x14ac:dyDescent="0.55000000000000004">
      <c r="A14" s="49" t="s">
        <v>97</v>
      </c>
      <c r="B14" s="68">
        <v>1538</v>
      </c>
      <c r="C14" s="68">
        <v>1544</v>
      </c>
      <c r="D14" s="68">
        <v>1443</v>
      </c>
      <c r="E14" s="68">
        <v>1446</v>
      </c>
      <c r="F14" s="68">
        <v>1307</v>
      </c>
      <c r="G14" s="68">
        <v>1150</v>
      </c>
      <c r="H14" s="68">
        <v>1170</v>
      </c>
      <c r="I14" s="68">
        <v>1083</v>
      </c>
      <c r="J14" s="68">
        <v>1159</v>
      </c>
      <c r="K14" s="68">
        <v>1225</v>
      </c>
      <c r="L14" s="68">
        <v>1268</v>
      </c>
      <c r="M14" s="68">
        <v>1105</v>
      </c>
      <c r="N14" s="68">
        <v>9467</v>
      </c>
    </row>
    <row r="15" spans="1:14" x14ac:dyDescent="0.55000000000000004">
      <c r="A15" s="280" t="s">
        <v>67</v>
      </c>
      <c r="B15" s="281">
        <v>1359</v>
      </c>
      <c r="C15" s="281">
        <v>1477</v>
      </c>
      <c r="D15" s="281">
        <v>1355</v>
      </c>
      <c r="E15" s="281">
        <v>1328</v>
      </c>
      <c r="F15" s="281">
        <v>1319</v>
      </c>
      <c r="G15" s="281">
        <v>1263</v>
      </c>
      <c r="H15" s="281">
        <v>1436</v>
      </c>
      <c r="I15" s="281">
        <v>1341</v>
      </c>
      <c r="J15" s="281">
        <v>1398</v>
      </c>
      <c r="K15" s="281">
        <v>1376</v>
      </c>
      <c r="L15" s="281">
        <v>1506</v>
      </c>
      <c r="M15" s="281">
        <v>1474</v>
      </c>
      <c r="N15" s="281">
        <v>11113</v>
      </c>
    </row>
    <row r="16" spans="1:14" x14ac:dyDescent="0.55000000000000004">
      <c r="A16" s="49" t="s">
        <v>29</v>
      </c>
      <c r="B16" s="68">
        <f t="shared" ref="B16:N16" si="0">SUM(B8:B15)</f>
        <v>48093</v>
      </c>
      <c r="C16" s="68">
        <f t="shared" si="0"/>
        <v>49600</v>
      </c>
      <c r="D16" s="68">
        <f t="shared" si="0"/>
        <v>47286</v>
      </c>
      <c r="E16" s="68">
        <f t="shared" si="0"/>
        <v>45631</v>
      </c>
      <c r="F16" s="68">
        <f t="shared" si="0"/>
        <v>45193</v>
      </c>
      <c r="G16" s="68">
        <f t="shared" si="0"/>
        <v>42597</v>
      </c>
      <c r="H16" s="68">
        <f t="shared" si="0"/>
        <v>47577</v>
      </c>
      <c r="I16" s="68">
        <f t="shared" si="0"/>
        <v>47696</v>
      </c>
      <c r="J16" s="68">
        <f t="shared" si="0"/>
        <v>50366</v>
      </c>
      <c r="K16" s="68">
        <f t="shared" si="0"/>
        <v>50153</v>
      </c>
      <c r="L16" s="68">
        <f t="shared" si="0"/>
        <v>53130</v>
      </c>
      <c r="M16" s="68">
        <f t="shared" si="0"/>
        <v>52528</v>
      </c>
      <c r="N16" s="68">
        <f t="shared" si="0"/>
        <v>389240</v>
      </c>
    </row>
    <row r="17" spans="1:14" hidden="1" x14ac:dyDescent="0.55000000000000004">
      <c r="A17" s="280" t="s">
        <v>1159</v>
      </c>
      <c r="B17" s="282"/>
      <c r="C17" s="282"/>
      <c r="D17" s="282"/>
      <c r="E17" s="282"/>
      <c r="F17" s="282"/>
      <c r="G17" s="282"/>
      <c r="H17" s="282"/>
      <c r="I17" s="282"/>
      <c r="J17" s="282"/>
      <c r="K17" s="282"/>
      <c r="L17" s="282"/>
      <c r="M17" s="282"/>
      <c r="N17" s="282"/>
    </row>
    <row r="18" spans="1:14" hidden="1" x14ac:dyDescent="0.55000000000000004">
      <c r="A18" s="280" t="s">
        <v>99</v>
      </c>
      <c r="B18" s="282"/>
      <c r="C18" s="282"/>
      <c r="D18" s="282"/>
      <c r="E18" s="282"/>
      <c r="F18" s="282"/>
      <c r="G18" s="282"/>
      <c r="H18" s="282"/>
      <c r="I18" s="282"/>
      <c r="J18" s="282"/>
      <c r="K18" s="282"/>
      <c r="L18" s="282"/>
      <c r="M18" s="282"/>
      <c r="N18" s="282"/>
    </row>
    <row r="19" spans="1:14" x14ac:dyDescent="0.55000000000000004">
      <c r="A19" s="280"/>
      <c r="B19" s="282"/>
      <c r="C19" s="282"/>
      <c r="D19" s="282"/>
      <c r="E19" s="282"/>
      <c r="F19" s="282"/>
      <c r="G19" s="282"/>
      <c r="H19" s="282"/>
      <c r="I19" s="282"/>
      <c r="J19" s="282"/>
      <c r="K19" s="282"/>
      <c r="L19" s="282"/>
      <c r="M19" s="282"/>
      <c r="N19" s="282"/>
    </row>
    <row r="20" spans="1:14" x14ac:dyDescent="0.55000000000000004">
      <c r="A20" s="49" t="s">
        <v>27</v>
      </c>
      <c r="B20" s="68">
        <v>10256179.529999999</v>
      </c>
      <c r="C20" s="68">
        <v>10968925.5</v>
      </c>
      <c r="D20" s="68">
        <v>11787842.710000001</v>
      </c>
      <c r="E20" s="68">
        <v>13056484.449999999</v>
      </c>
      <c r="F20" s="68">
        <v>12332937.65</v>
      </c>
      <c r="G20" s="68">
        <v>10332419.65</v>
      </c>
      <c r="H20" s="68">
        <v>11525766.539999999</v>
      </c>
      <c r="I20" s="68">
        <v>11220312.18</v>
      </c>
      <c r="J20" s="68">
        <v>11881019.939999999</v>
      </c>
      <c r="K20" s="68">
        <v>11665895.220000001</v>
      </c>
      <c r="L20" s="68">
        <v>12542242.890000001</v>
      </c>
      <c r="M20" s="68">
        <v>13395007.15</v>
      </c>
      <c r="N20" s="68">
        <v>94895601.219999999</v>
      </c>
    </row>
    <row r="21" spans="1:14" x14ac:dyDescent="0.55000000000000004">
      <c r="A21" s="49" t="s">
        <v>26</v>
      </c>
      <c r="B21" s="68">
        <v>6869681.3300000001</v>
      </c>
      <c r="C21" s="68">
        <v>7064529.6299999999</v>
      </c>
      <c r="D21" s="68">
        <v>6145453.5700000003</v>
      </c>
      <c r="E21" s="68">
        <v>5661740.4800000004</v>
      </c>
      <c r="F21" s="68">
        <v>5701913.5999999996</v>
      </c>
      <c r="G21" s="68">
        <v>5697231.6399999997</v>
      </c>
      <c r="H21" s="68">
        <v>7051143.3700000001</v>
      </c>
      <c r="I21" s="68">
        <v>6742350.29</v>
      </c>
      <c r="J21" s="68">
        <v>7078241.3099999996</v>
      </c>
      <c r="K21" s="68">
        <v>7014669.5</v>
      </c>
      <c r="L21" s="68">
        <v>7411149.1900000004</v>
      </c>
      <c r="M21" s="68">
        <v>7068060.8300000001</v>
      </c>
      <c r="N21" s="68">
        <v>53764759.729999997</v>
      </c>
    </row>
    <row r="22" spans="1:14" x14ac:dyDescent="0.55000000000000004">
      <c r="A22" s="49" t="s">
        <v>28</v>
      </c>
      <c r="B22" s="68">
        <v>524997.89</v>
      </c>
      <c r="C22" s="68">
        <v>427111.34</v>
      </c>
      <c r="D22" s="68">
        <v>597354.79</v>
      </c>
      <c r="E22" s="68">
        <v>431025.15</v>
      </c>
      <c r="F22" s="68">
        <v>577500.35</v>
      </c>
      <c r="G22" s="68">
        <v>610069.30000000005</v>
      </c>
      <c r="H22" s="68">
        <v>652055.21</v>
      </c>
      <c r="I22" s="68">
        <v>783587.08</v>
      </c>
      <c r="J22" s="68">
        <v>746206.55</v>
      </c>
      <c r="K22" s="68">
        <v>818638.67</v>
      </c>
      <c r="L22" s="68">
        <v>850582.58</v>
      </c>
      <c r="M22" s="68">
        <v>764611.25</v>
      </c>
      <c r="N22" s="68">
        <v>5803250.9900000002</v>
      </c>
    </row>
    <row r="23" spans="1:14" x14ac:dyDescent="0.55000000000000004">
      <c r="A23" s="49" t="s">
        <v>68</v>
      </c>
      <c r="B23" s="68">
        <v>281655.21999999997</v>
      </c>
      <c r="C23" s="68">
        <v>205398.93</v>
      </c>
      <c r="D23" s="68">
        <v>135446.09</v>
      </c>
      <c r="E23" s="68">
        <v>160964.88</v>
      </c>
      <c r="F23" s="68">
        <v>136136.79999999999</v>
      </c>
      <c r="G23" s="68">
        <v>142638.32</v>
      </c>
      <c r="H23" s="68">
        <v>121765.52</v>
      </c>
      <c r="I23" s="68">
        <v>221277.58</v>
      </c>
      <c r="J23" s="68">
        <v>256191.18</v>
      </c>
      <c r="K23" s="68">
        <v>221856.96</v>
      </c>
      <c r="L23" s="68">
        <v>157807.53</v>
      </c>
      <c r="M23" s="68">
        <v>213996.7</v>
      </c>
      <c r="N23" s="68">
        <v>1471670.59</v>
      </c>
    </row>
    <row r="24" spans="1:14" x14ac:dyDescent="0.55000000000000004">
      <c r="A24" s="49" t="s">
        <v>90</v>
      </c>
      <c r="B24" s="68">
        <v>726474.15</v>
      </c>
      <c r="C24" s="68">
        <v>569450.02</v>
      </c>
      <c r="D24" s="68">
        <v>484757.91</v>
      </c>
      <c r="E24" s="68">
        <v>478053.26</v>
      </c>
      <c r="F24" s="68">
        <v>475422.34</v>
      </c>
      <c r="G24" s="68">
        <v>442585.41</v>
      </c>
      <c r="H24" s="68">
        <v>535473.18000000005</v>
      </c>
      <c r="I24" s="68">
        <v>555858.71</v>
      </c>
      <c r="J24" s="68">
        <v>534755.22</v>
      </c>
      <c r="K24" s="68">
        <v>519257.71</v>
      </c>
      <c r="L24" s="68">
        <v>461863.85</v>
      </c>
      <c r="M24" s="68">
        <v>318219.77</v>
      </c>
      <c r="N24" s="68">
        <v>3843436.19</v>
      </c>
    </row>
    <row r="25" spans="1:14" x14ac:dyDescent="0.55000000000000004">
      <c r="A25" s="49" t="s">
        <v>1160</v>
      </c>
      <c r="B25" s="279"/>
      <c r="C25" s="279"/>
      <c r="D25" s="279"/>
      <c r="E25" s="279"/>
      <c r="F25" s="279"/>
      <c r="G25" s="279"/>
      <c r="H25" s="279"/>
      <c r="I25" s="279"/>
      <c r="J25" s="279"/>
      <c r="K25" s="279"/>
      <c r="L25" s="279"/>
      <c r="M25" s="279"/>
      <c r="N25" s="279"/>
    </row>
    <row r="26" spans="1:14" x14ac:dyDescent="0.55000000000000004">
      <c r="A26" s="49" t="s">
        <v>69</v>
      </c>
      <c r="B26" s="68">
        <v>2858851.48</v>
      </c>
      <c r="C26" s="68">
        <v>2805765.44</v>
      </c>
      <c r="D26" s="68">
        <v>2839812.36</v>
      </c>
      <c r="E26" s="68">
        <v>2140449.9500000002</v>
      </c>
      <c r="F26" s="68">
        <v>2390114.09</v>
      </c>
      <c r="G26" s="68">
        <v>2533849.4900000002</v>
      </c>
      <c r="H26" s="68">
        <v>2753938.95</v>
      </c>
      <c r="I26" s="68">
        <v>2766989.59</v>
      </c>
      <c r="J26" s="68">
        <v>2927418.28</v>
      </c>
      <c r="K26" s="68">
        <v>3078700.43</v>
      </c>
      <c r="L26" s="68">
        <v>3450034.41</v>
      </c>
      <c r="M26" s="68">
        <v>3144186.98</v>
      </c>
      <c r="N26" s="68">
        <v>23045232.219999999</v>
      </c>
    </row>
    <row r="27" spans="1:14" x14ac:dyDescent="0.55000000000000004">
      <c r="A27" s="49" t="s">
        <v>1079</v>
      </c>
      <c r="B27" s="68">
        <v>383995.93</v>
      </c>
      <c r="C27" s="68">
        <v>431544.27</v>
      </c>
      <c r="D27" s="68">
        <v>394610.06</v>
      </c>
      <c r="E27" s="68">
        <v>387488.44</v>
      </c>
      <c r="F27" s="68">
        <v>377438.61</v>
      </c>
      <c r="G27" s="68">
        <v>357198.33</v>
      </c>
      <c r="H27" s="68">
        <v>440290.22</v>
      </c>
      <c r="I27" s="68">
        <v>427541.46</v>
      </c>
      <c r="J27" s="68">
        <v>426817.6</v>
      </c>
      <c r="K27" s="68">
        <v>432402.23</v>
      </c>
      <c r="L27" s="68">
        <v>410774.91</v>
      </c>
      <c r="M27" s="68">
        <v>433364.65</v>
      </c>
      <c r="N27" s="68">
        <v>3305828.01</v>
      </c>
    </row>
    <row r="28" spans="1:14" x14ac:dyDescent="0.55000000000000004">
      <c r="A28" s="49" t="s">
        <v>98</v>
      </c>
      <c r="B28" s="68">
        <v>807749.72</v>
      </c>
      <c r="C28" s="68">
        <v>801344.38</v>
      </c>
      <c r="D28" s="68">
        <v>751171.34</v>
      </c>
      <c r="E28" s="68">
        <v>756259.79</v>
      </c>
      <c r="F28" s="68">
        <v>684758.31</v>
      </c>
      <c r="G28" s="68">
        <v>582706.63</v>
      </c>
      <c r="H28" s="68">
        <v>598796.54</v>
      </c>
      <c r="I28" s="68">
        <v>625611.52000000002</v>
      </c>
      <c r="J28" s="68">
        <v>601692.62</v>
      </c>
      <c r="K28" s="68">
        <v>645300.28</v>
      </c>
      <c r="L28" s="68">
        <v>690110</v>
      </c>
      <c r="M28" s="68">
        <v>607428.97</v>
      </c>
      <c r="N28" s="68">
        <v>5036404.87</v>
      </c>
    </row>
    <row r="29" spans="1:14" x14ac:dyDescent="0.55000000000000004">
      <c r="A29" s="49" t="s">
        <v>1080</v>
      </c>
      <c r="B29" s="68">
        <v>5273695.96</v>
      </c>
      <c r="C29" s="68">
        <v>5547875.2699999996</v>
      </c>
      <c r="D29" s="68">
        <v>5030347.91</v>
      </c>
      <c r="E29" s="68">
        <v>5004257.96</v>
      </c>
      <c r="F29" s="68">
        <v>4881004.5</v>
      </c>
      <c r="G29" s="68">
        <v>4820499.16</v>
      </c>
      <c r="H29" s="68">
        <v>5505535.9500000002</v>
      </c>
      <c r="I29" s="68">
        <v>5422952.3499999996</v>
      </c>
      <c r="J29" s="68">
        <v>5478817.7000000002</v>
      </c>
      <c r="K29" s="68">
        <v>5445903.3899999997</v>
      </c>
      <c r="L29" s="68">
        <v>5430272.4299999997</v>
      </c>
      <c r="M29" s="68">
        <v>5431202.21</v>
      </c>
      <c r="N29" s="68">
        <v>42416187.689999998</v>
      </c>
    </row>
    <row r="30" spans="1:14" x14ac:dyDescent="0.55000000000000004">
      <c r="A30" s="49" t="s">
        <v>91</v>
      </c>
      <c r="B30" s="68">
        <v>54258.28</v>
      </c>
      <c r="C30" s="68">
        <v>318408.01</v>
      </c>
      <c r="D30" s="68">
        <v>703202.6</v>
      </c>
      <c r="E30" s="68">
        <v>710494.7</v>
      </c>
      <c r="F30" s="68">
        <v>597570.66</v>
      </c>
      <c r="G30" s="68">
        <v>477900.15</v>
      </c>
      <c r="H30" s="68">
        <v>94117.85</v>
      </c>
      <c r="I30" s="68">
        <v>33428.19</v>
      </c>
      <c r="J30" s="68">
        <v>27038.58</v>
      </c>
      <c r="K30" s="68">
        <v>11033.67</v>
      </c>
      <c r="L30" s="68">
        <v>6376.21</v>
      </c>
      <c r="M30" s="68">
        <v>58420.07</v>
      </c>
      <c r="N30" s="68">
        <v>1305885.3799999999</v>
      </c>
    </row>
    <row r="31" spans="1:14" x14ac:dyDescent="0.55000000000000004">
      <c r="A31" s="49" t="s">
        <v>1161</v>
      </c>
      <c r="B31" s="279"/>
      <c r="C31" s="279"/>
      <c r="D31" s="279"/>
      <c r="E31" s="279"/>
      <c r="F31" s="279"/>
      <c r="G31" s="279"/>
      <c r="H31" s="279"/>
      <c r="I31" s="279"/>
      <c r="J31" s="279"/>
      <c r="K31" s="279"/>
      <c r="L31" s="279"/>
      <c r="M31" s="279"/>
      <c r="N31" s="279"/>
    </row>
    <row r="32" spans="1:14" x14ac:dyDescent="0.55000000000000004">
      <c r="A32" s="49" t="s">
        <v>1081</v>
      </c>
      <c r="B32" s="68">
        <v>-5356981.74</v>
      </c>
      <c r="C32" s="68">
        <v>-5481034.6399999997</v>
      </c>
      <c r="D32" s="68">
        <v>-4940149.07</v>
      </c>
      <c r="E32" s="68">
        <v>-4955739.72</v>
      </c>
      <c r="F32" s="68">
        <v>-4844616.1399999997</v>
      </c>
      <c r="G32" s="68">
        <v>-4712255.1900000004</v>
      </c>
      <c r="H32" s="68">
        <v>-5405191.4000000004</v>
      </c>
      <c r="I32" s="68">
        <v>-5413453.9400000004</v>
      </c>
      <c r="J32" s="68">
        <v>-5458279.5800000001</v>
      </c>
      <c r="K32" s="68">
        <v>-5392566.7300000004</v>
      </c>
      <c r="L32" s="68">
        <v>-5381810.2199999997</v>
      </c>
      <c r="M32" s="68">
        <v>-5380717.9800000004</v>
      </c>
      <c r="N32" s="68">
        <v>-41988891.18</v>
      </c>
    </row>
    <row r="33" spans="1:14" x14ac:dyDescent="0.55000000000000004">
      <c r="A33" s="49" t="s">
        <v>1162</v>
      </c>
      <c r="B33" s="279"/>
      <c r="C33" s="279"/>
      <c r="D33" s="279"/>
      <c r="E33" s="279"/>
      <c r="F33" s="279"/>
      <c r="G33" s="279"/>
      <c r="H33" s="279"/>
      <c r="I33" s="279"/>
      <c r="J33" s="68">
        <v>16878.830000000002</v>
      </c>
      <c r="K33" s="279"/>
      <c r="L33" s="279"/>
      <c r="M33" s="279"/>
      <c r="N33" s="68">
        <v>16878.830000000002</v>
      </c>
    </row>
    <row r="34" spans="1:14" x14ac:dyDescent="0.55000000000000004">
      <c r="A34" s="49" t="s">
        <v>985</v>
      </c>
      <c r="B34" s="279"/>
      <c r="C34" s="68">
        <v>550</v>
      </c>
      <c r="D34" s="68">
        <v>-338.45</v>
      </c>
      <c r="E34" s="68">
        <v>79.95</v>
      </c>
      <c r="F34" s="279"/>
      <c r="G34" s="68">
        <v>719.55</v>
      </c>
      <c r="H34" s="68">
        <v>746.2</v>
      </c>
      <c r="I34" s="68">
        <v>4130.75</v>
      </c>
      <c r="J34" s="68">
        <v>106.6</v>
      </c>
      <c r="K34" s="279"/>
      <c r="L34" s="279"/>
      <c r="M34" s="68">
        <v>239.85</v>
      </c>
      <c r="N34" s="68">
        <v>5942.95</v>
      </c>
    </row>
    <row r="35" spans="1:14" x14ac:dyDescent="0.55000000000000004">
      <c r="A35" s="49" t="s">
        <v>986</v>
      </c>
      <c r="B35" s="68">
        <v>1275</v>
      </c>
      <c r="C35" s="68">
        <v>425</v>
      </c>
      <c r="D35" s="68">
        <v>1227.55</v>
      </c>
      <c r="E35" s="68">
        <v>2052.0500000000002</v>
      </c>
      <c r="F35" s="68">
        <v>25</v>
      </c>
      <c r="G35" s="68">
        <v>7088.9</v>
      </c>
      <c r="H35" s="68">
        <v>10196.4</v>
      </c>
      <c r="I35" s="68">
        <v>29589.75</v>
      </c>
      <c r="J35" s="68">
        <v>3402.95</v>
      </c>
      <c r="K35" s="68">
        <v>2505.1</v>
      </c>
      <c r="L35" s="68">
        <v>2718.3</v>
      </c>
      <c r="M35" s="68">
        <v>3064.75</v>
      </c>
      <c r="N35" s="68">
        <v>58591.15</v>
      </c>
    </row>
    <row r="36" spans="1:14" x14ac:dyDescent="0.55000000000000004">
      <c r="A36" s="49" t="s">
        <v>987</v>
      </c>
      <c r="B36" s="68">
        <v>2886751.69</v>
      </c>
      <c r="C36" s="68">
        <v>196299.25</v>
      </c>
      <c r="D36" s="68">
        <v>3440688.68</v>
      </c>
      <c r="E36" s="68">
        <v>731261.04</v>
      </c>
      <c r="F36" s="68">
        <v>454250.01</v>
      </c>
      <c r="G36" s="68">
        <v>347632.65</v>
      </c>
      <c r="H36" s="68">
        <v>79121.740000000005</v>
      </c>
      <c r="I36" s="68">
        <v>113383.46</v>
      </c>
      <c r="J36" s="68">
        <v>22494.94</v>
      </c>
      <c r="K36" s="68">
        <v>49262.13</v>
      </c>
      <c r="L36" s="279"/>
      <c r="M36" s="279"/>
      <c r="N36" s="68">
        <v>1066144.93</v>
      </c>
    </row>
    <row r="37" spans="1:14" x14ac:dyDescent="0.55000000000000004">
      <c r="A37" s="49"/>
      <c r="B37" s="279"/>
      <c r="C37" s="279"/>
      <c r="D37" s="279"/>
      <c r="E37" s="279"/>
      <c r="F37" s="279"/>
      <c r="G37" s="279"/>
      <c r="H37" s="279"/>
      <c r="I37" s="279"/>
      <c r="J37" s="279"/>
      <c r="K37" s="279"/>
      <c r="L37" s="279"/>
      <c r="M37" s="279"/>
      <c r="N37" s="279"/>
    </row>
    <row r="38" spans="1:14" x14ac:dyDescent="0.55000000000000004">
      <c r="A38" s="280"/>
      <c r="B38" s="282"/>
      <c r="C38" s="282"/>
      <c r="D38" s="282"/>
      <c r="E38" s="282"/>
      <c r="F38" s="282"/>
      <c r="G38" s="282"/>
      <c r="H38" s="282"/>
      <c r="I38" s="282"/>
      <c r="J38" s="282"/>
      <c r="K38" s="282"/>
      <c r="L38" s="282"/>
      <c r="M38" s="282"/>
      <c r="N38" s="282"/>
    </row>
    <row r="39" spans="1:14" x14ac:dyDescent="0.55000000000000004">
      <c r="A39" s="280" t="s">
        <v>13</v>
      </c>
      <c r="B39" s="281">
        <f t="shared" ref="B39:N39" si="1">SUM(B20:B38)</f>
        <v>25568584.440000001</v>
      </c>
      <c r="C39" s="281">
        <f t="shared" si="1"/>
        <v>23856592.399999999</v>
      </c>
      <c r="D39" s="281">
        <f t="shared" si="1"/>
        <v>27371428.050000001</v>
      </c>
      <c r="E39" s="281">
        <f t="shared" si="1"/>
        <v>24564872.379999999</v>
      </c>
      <c r="F39" s="281">
        <f t="shared" si="1"/>
        <v>23764455.780000001</v>
      </c>
      <c r="G39" s="281">
        <f t="shared" si="1"/>
        <v>21640283.989999995</v>
      </c>
      <c r="H39" s="281">
        <f t="shared" si="1"/>
        <v>23963756.269999996</v>
      </c>
      <c r="I39" s="281">
        <f t="shared" si="1"/>
        <v>23533558.969999999</v>
      </c>
      <c r="J39" s="281">
        <f t="shared" si="1"/>
        <v>24542802.719999999</v>
      </c>
      <c r="K39" s="281">
        <f t="shared" si="1"/>
        <v>24512858.560000006</v>
      </c>
      <c r="L39" s="281">
        <f t="shared" si="1"/>
        <v>26032122.080000006</v>
      </c>
      <c r="M39" s="281">
        <f t="shared" si="1"/>
        <v>26057085.199999999</v>
      </c>
      <c r="N39" s="281">
        <f t="shared" si="1"/>
        <v>194046923.56999999</v>
      </c>
    </row>
    <row r="40" spans="1:14" x14ac:dyDescent="0.55000000000000004">
      <c r="A40" s="49"/>
      <c r="B40" s="279"/>
      <c r="C40" s="279"/>
      <c r="D40" s="279"/>
      <c r="E40" s="279"/>
      <c r="F40" s="279"/>
      <c r="G40" s="279"/>
      <c r="H40" s="279"/>
      <c r="I40" s="279"/>
      <c r="J40" s="279"/>
      <c r="K40" s="279"/>
      <c r="L40" s="279"/>
      <c r="M40" s="279"/>
      <c r="N40" s="279"/>
    </row>
    <row r="41" spans="1:14" x14ac:dyDescent="0.55000000000000004">
      <c r="A41" s="49" t="s">
        <v>34</v>
      </c>
      <c r="B41" s="68">
        <v>6094730.6799999997</v>
      </c>
      <c r="C41" s="68">
        <v>5854337.71</v>
      </c>
      <c r="D41" s="68">
        <v>5724079.2300000004</v>
      </c>
      <c r="E41" s="68">
        <v>5895417.2199999997</v>
      </c>
      <c r="F41" s="68">
        <v>5859806.8399999999</v>
      </c>
      <c r="G41" s="68">
        <v>5477127.5899999999</v>
      </c>
      <c r="H41" s="68">
        <v>5865002.0899999999</v>
      </c>
      <c r="I41" s="68">
        <v>5793323.7400000002</v>
      </c>
      <c r="J41" s="68">
        <v>5912940.8200000003</v>
      </c>
      <c r="K41" s="68">
        <v>6010101.5899999999</v>
      </c>
      <c r="L41" s="68">
        <v>6329492.8200000003</v>
      </c>
      <c r="M41" s="68">
        <v>6370828.4400000004</v>
      </c>
      <c r="N41" s="68">
        <v>47618623.93</v>
      </c>
    </row>
    <row r="42" spans="1:14" x14ac:dyDescent="0.55000000000000004">
      <c r="A42" s="49" t="s">
        <v>1163</v>
      </c>
      <c r="B42" s="279"/>
      <c r="C42" s="279"/>
      <c r="D42" s="279"/>
      <c r="E42" s="279"/>
      <c r="F42" s="279"/>
      <c r="G42" s="279"/>
      <c r="H42" s="279"/>
      <c r="I42" s="279"/>
      <c r="J42" s="279"/>
      <c r="K42" s="279"/>
      <c r="L42" s="279"/>
      <c r="M42" s="279"/>
      <c r="N42" s="279"/>
    </row>
    <row r="43" spans="1:14" x14ac:dyDescent="0.55000000000000004">
      <c r="A43" s="49" t="s">
        <v>1082</v>
      </c>
      <c r="B43" s="68">
        <v>309005.08</v>
      </c>
      <c r="C43" s="68">
        <v>251603.93</v>
      </c>
      <c r="D43" s="68">
        <v>257031.13</v>
      </c>
      <c r="E43" s="68">
        <v>443331.42</v>
      </c>
      <c r="F43" s="68">
        <v>291050.96999999997</v>
      </c>
      <c r="G43" s="68">
        <v>162339.5</v>
      </c>
      <c r="H43" s="68">
        <v>148479.53</v>
      </c>
      <c r="I43" s="68">
        <v>176171.93</v>
      </c>
      <c r="J43" s="68">
        <v>155571.47</v>
      </c>
      <c r="K43" s="68">
        <v>331456.8</v>
      </c>
      <c r="L43" s="68">
        <v>372963.58</v>
      </c>
      <c r="M43" s="68">
        <v>336569.09</v>
      </c>
      <c r="N43" s="68">
        <v>1974602.87</v>
      </c>
    </row>
    <row r="44" spans="1:14" x14ac:dyDescent="0.55000000000000004">
      <c r="A44" s="49" t="s">
        <v>1001</v>
      </c>
      <c r="B44" s="279"/>
      <c r="C44" s="279"/>
      <c r="D44" s="68">
        <v>565</v>
      </c>
      <c r="E44" s="68">
        <v>10900</v>
      </c>
      <c r="F44" s="68">
        <v>-1691.5</v>
      </c>
      <c r="G44" s="279"/>
      <c r="H44" s="68">
        <v>225.42</v>
      </c>
      <c r="I44" s="279"/>
      <c r="J44" s="68">
        <v>396</v>
      </c>
      <c r="K44" s="279"/>
      <c r="L44" s="68">
        <v>4886.24</v>
      </c>
      <c r="M44" s="279"/>
      <c r="N44" s="68">
        <v>3816.16</v>
      </c>
    </row>
    <row r="45" spans="1:14" x14ac:dyDescent="0.55000000000000004">
      <c r="A45" s="49" t="s">
        <v>70</v>
      </c>
      <c r="B45" s="68">
        <v>228505.54</v>
      </c>
      <c r="C45" s="68">
        <v>223975.6</v>
      </c>
      <c r="D45" s="68">
        <v>207463.17</v>
      </c>
      <c r="E45" s="68">
        <v>200096.57</v>
      </c>
      <c r="F45" s="68">
        <v>207410.07</v>
      </c>
      <c r="G45" s="68">
        <v>182015.37</v>
      </c>
      <c r="H45" s="68">
        <v>213510.49</v>
      </c>
      <c r="I45" s="68">
        <v>194453.4</v>
      </c>
      <c r="J45" s="68">
        <v>196613.65</v>
      </c>
      <c r="K45" s="68">
        <v>205838.9</v>
      </c>
      <c r="L45" s="68">
        <v>213755.98</v>
      </c>
      <c r="M45" s="68">
        <v>210271.45</v>
      </c>
      <c r="N45" s="68">
        <v>1623869.31</v>
      </c>
    </row>
    <row r="46" spans="1:14" x14ac:dyDescent="0.55000000000000004">
      <c r="A46" s="49" t="s">
        <v>32</v>
      </c>
      <c r="B46" s="68">
        <v>305521.43</v>
      </c>
      <c r="C46" s="68">
        <v>302949.78000000003</v>
      </c>
      <c r="D46" s="68">
        <v>292658.36</v>
      </c>
      <c r="E46" s="68">
        <v>299517.12</v>
      </c>
      <c r="F46" s="68">
        <v>294184.05</v>
      </c>
      <c r="G46" s="68">
        <v>269796.12</v>
      </c>
      <c r="H46" s="68">
        <v>298437.49</v>
      </c>
      <c r="I46" s="68">
        <v>297603.17</v>
      </c>
      <c r="J46" s="68">
        <v>307321.89</v>
      </c>
      <c r="K46" s="68">
        <v>307446.46999999997</v>
      </c>
      <c r="L46" s="68">
        <v>324726.88</v>
      </c>
      <c r="M46" s="68">
        <v>326116.39</v>
      </c>
      <c r="N46" s="68">
        <v>2425632.46</v>
      </c>
    </row>
    <row r="47" spans="1:14" x14ac:dyDescent="0.55000000000000004">
      <c r="A47" s="49" t="s">
        <v>33</v>
      </c>
      <c r="B47" s="68">
        <v>139845.95000000001</v>
      </c>
      <c r="C47" s="68">
        <v>136967.99</v>
      </c>
      <c r="D47" s="68">
        <v>137552.45000000001</v>
      </c>
      <c r="E47" s="68">
        <v>146711.56</v>
      </c>
      <c r="F47" s="68">
        <v>157688.62</v>
      </c>
      <c r="G47" s="68">
        <v>142663.6</v>
      </c>
      <c r="H47" s="68">
        <v>160956.12</v>
      </c>
      <c r="I47" s="68">
        <v>152899.29999999999</v>
      </c>
      <c r="J47" s="68">
        <v>159390.04999999999</v>
      </c>
      <c r="K47" s="68">
        <v>151653.15</v>
      </c>
      <c r="L47" s="68">
        <v>160747.76</v>
      </c>
      <c r="M47" s="68">
        <v>153929.17000000001</v>
      </c>
      <c r="N47" s="68">
        <v>1239927.77</v>
      </c>
    </row>
    <row r="48" spans="1:14" x14ac:dyDescent="0.55000000000000004">
      <c r="A48" s="49" t="s">
        <v>71</v>
      </c>
      <c r="B48" s="68">
        <v>691945.91</v>
      </c>
      <c r="C48" s="68">
        <v>694907.07</v>
      </c>
      <c r="D48" s="68">
        <v>669788.56999999995</v>
      </c>
      <c r="E48" s="68">
        <v>682905.78</v>
      </c>
      <c r="F48" s="68">
        <v>678774.45</v>
      </c>
      <c r="G48" s="68">
        <v>637638.69999999995</v>
      </c>
      <c r="H48" s="68">
        <v>685389.09</v>
      </c>
      <c r="I48" s="68">
        <v>674245.55</v>
      </c>
      <c r="J48" s="68">
        <v>693427.41</v>
      </c>
      <c r="K48" s="68">
        <v>692478.17</v>
      </c>
      <c r="L48" s="68">
        <v>736144.59</v>
      </c>
      <c r="M48" s="68">
        <v>734833.94</v>
      </c>
      <c r="N48" s="68">
        <v>5532931.9000000004</v>
      </c>
    </row>
    <row r="49" spans="1:14" x14ac:dyDescent="0.55000000000000004">
      <c r="A49" s="49" t="s">
        <v>1164</v>
      </c>
      <c r="B49" s="279"/>
      <c r="C49" s="279"/>
      <c r="D49" s="279"/>
      <c r="E49" s="279"/>
      <c r="F49" s="279"/>
      <c r="G49" s="279"/>
      <c r="H49" s="279"/>
      <c r="I49" s="279"/>
      <c r="J49" s="279"/>
      <c r="K49" s="279"/>
      <c r="L49" s="279"/>
      <c r="M49" s="279"/>
      <c r="N49" s="279"/>
    </row>
    <row r="50" spans="1:14" x14ac:dyDescent="0.55000000000000004">
      <c r="A50" s="49" t="s">
        <v>1165</v>
      </c>
      <c r="B50" s="279"/>
      <c r="C50" s="279"/>
      <c r="D50" s="279"/>
      <c r="E50" s="279"/>
      <c r="F50" s="279"/>
      <c r="G50" s="279"/>
      <c r="H50" s="279"/>
      <c r="I50" s="279"/>
      <c r="J50" s="279"/>
      <c r="K50" s="68">
        <v>1071.4000000000001</v>
      </c>
      <c r="L50" s="68">
        <v>1753</v>
      </c>
      <c r="M50" s="68">
        <v>2488.1</v>
      </c>
      <c r="N50" s="68">
        <v>5312.5</v>
      </c>
    </row>
    <row r="51" spans="1:14" x14ac:dyDescent="0.55000000000000004">
      <c r="A51" s="49" t="s">
        <v>1166</v>
      </c>
      <c r="B51" s="279"/>
      <c r="C51" s="279"/>
      <c r="D51" s="279"/>
      <c r="E51" s="279"/>
      <c r="F51" s="279"/>
      <c r="G51" s="279"/>
      <c r="H51" s="279"/>
      <c r="I51" s="279"/>
      <c r="J51" s="279"/>
      <c r="K51" s="279"/>
      <c r="L51" s="279"/>
      <c r="M51" s="279"/>
      <c r="N51" s="279"/>
    </row>
    <row r="52" spans="1:14" x14ac:dyDescent="0.55000000000000004">
      <c r="A52" s="49" t="s">
        <v>72</v>
      </c>
      <c r="B52" s="68">
        <v>357703.55</v>
      </c>
      <c r="C52" s="68">
        <v>396191.51</v>
      </c>
      <c r="D52" s="68">
        <v>308288.65999999997</v>
      </c>
      <c r="E52" s="68">
        <v>357475.76</v>
      </c>
      <c r="F52" s="68">
        <v>356097.09</v>
      </c>
      <c r="G52" s="68">
        <v>335414.75</v>
      </c>
      <c r="H52" s="68">
        <v>364564.68</v>
      </c>
      <c r="I52" s="68">
        <v>359433.62</v>
      </c>
      <c r="J52" s="68">
        <v>357996.25</v>
      </c>
      <c r="K52" s="68">
        <v>358673.09</v>
      </c>
      <c r="L52" s="68">
        <v>382436.02</v>
      </c>
      <c r="M52" s="68">
        <v>381442.56</v>
      </c>
      <c r="N52" s="68">
        <v>2896058.06</v>
      </c>
    </row>
    <row r="53" spans="1:14" x14ac:dyDescent="0.55000000000000004">
      <c r="A53" s="49" t="s">
        <v>73</v>
      </c>
      <c r="B53" s="68">
        <v>1989778.01</v>
      </c>
      <c r="C53" s="68">
        <v>1419902.36</v>
      </c>
      <c r="D53" s="68">
        <v>1164571.56</v>
      </c>
      <c r="E53" s="68">
        <v>1412546.25</v>
      </c>
      <c r="F53" s="68">
        <v>1631182.2</v>
      </c>
      <c r="G53" s="68">
        <v>1891648.52</v>
      </c>
      <c r="H53" s="68">
        <v>1344575.31</v>
      </c>
      <c r="I53" s="68">
        <v>1537195.43</v>
      </c>
      <c r="J53" s="68">
        <v>1528657.53</v>
      </c>
      <c r="K53" s="68">
        <v>1605663.8</v>
      </c>
      <c r="L53" s="68">
        <v>1348287.52</v>
      </c>
      <c r="M53" s="68">
        <v>1523525.12</v>
      </c>
      <c r="N53" s="68">
        <v>12410735.43</v>
      </c>
    </row>
    <row r="54" spans="1:14" x14ac:dyDescent="0.55000000000000004">
      <c r="A54" s="49" t="s">
        <v>30</v>
      </c>
      <c r="B54" s="68">
        <v>1912135.91</v>
      </c>
      <c r="C54" s="68">
        <v>2395973.67</v>
      </c>
      <c r="D54" s="68">
        <v>1546318.27</v>
      </c>
      <c r="E54" s="68">
        <v>3712830.69</v>
      </c>
      <c r="F54" s="68">
        <v>2067526.26</v>
      </c>
      <c r="G54" s="68">
        <v>2140968.04</v>
      </c>
      <c r="H54" s="68">
        <v>2265546.56</v>
      </c>
      <c r="I54" s="68">
        <v>2291865.2999999998</v>
      </c>
      <c r="J54" s="68">
        <v>2138708.5299999998</v>
      </c>
      <c r="K54" s="68">
        <v>2076571.35</v>
      </c>
      <c r="L54" s="68">
        <v>2275492.56</v>
      </c>
      <c r="M54" s="68">
        <v>1941009.2</v>
      </c>
      <c r="N54" s="68">
        <v>17197687.800000001</v>
      </c>
    </row>
    <row r="55" spans="1:14" x14ac:dyDescent="0.55000000000000004">
      <c r="A55" s="49"/>
      <c r="B55" s="279"/>
      <c r="C55" s="279"/>
      <c r="D55" s="279"/>
      <c r="E55" s="279"/>
      <c r="F55" s="279"/>
      <c r="G55" s="279"/>
      <c r="H55" s="279"/>
      <c r="I55" s="279"/>
      <c r="J55" s="279"/>
      <c r="K55" s="279"/>
      <c r="L55" s="279"/>
      <c r="M55" s="279"/>
      <c r="N55" s="279"/>
    </row>
    <row r="56" spans="1:14" x14ac:dyDescent="0.55000000000000004">
      <c r="A56" s="49" t="s">
        <v>988</v>
      </c>
      <c r="B56" s="68">
        <v>113516.2</v>
      </c>
      <c r="C56" s="68">
        <v>19741.29</v>
      </c>
      <c r="D56" s="68">
        <v>38284.31</v>
      </c>
      <c r="E56" s="68">
        <v>110253.55</v>
      </c>
      <c r="F56" s="68">
        <v>17851.54</v>
      </c>
      <c r="G56" s="68">
        <v>29173.7</v>
      </c>
      <c r="H56" s="68">
        <v>83847.41</v>
      </c>
      <c r="I56" s="68">
        <v>19065.75</v>
      </c>
      <c r="J56" s="68">
        <v>-540</v>
      </c>
      <c r="K56" s="279"/>
      <c r="L56" s="68">
        <v>10964.25</v>
      </c>
      <c r="M56" s="68">
        <v>19628.64</v>
      </c>
      <c r="N56" s="68">
        <v>179991.29</v>
      </c>
    </row>
    <row r="57" spans="1:14" x14ac:dyDescent="0.55000000000000004">
      <c r="A57" s="49" t="s">
        <v>1167</v>
      </c>
      <c r="B57" s="68">
        <v>74.400000000000006</v>
      </c>
      <c r="C57" s="279"/>
      <c r="D57" s="68">
        <v>100.64</v>
      </c>
      <c r="E57" s="279"/>
      <c r="F57" s="279"/>
      <c r="G57" s="279"/>
      <c r="H57" s="279"/>
      <c r="I57" s="279"/>
      <c r="J57" s="279"/>
      <c r="K57" s="279"/>
      <c r="L57" s="279"/>
      <c r="M57" s="279"/>
      <c r="N57" s="279"/>
    </row>
    <row r="58" spans="1:14" x14ac:dyDescent="0.55000000000000004">
      <c r="A58" s="49" t="s">
        <v>1168</v>
      </c>
      <c r="B58" s="279"/>
      <c r="C58" s="279"/>
      <c r="D58" s="279"/>
      <c r="E58" s="279"/>
      <c r="F58" s="279"/>
      <c r="G58" s="279"/>
      <c r="H58" s="279"/>
      <c r="I58" s="279"/>
      <c r="J58" s="68">
        <v>558.87</v>
      </c>
      <c r="K58" s="279"/>
      <c r="L58" s="279"/>
      <c r="M58" s="279"/>
      <c r="N58" s="68">
        <v>558.87</v>
      </c>
    </row>
    <row r="59" spans="1:14" x14ac:dyDescent="0.55000000000000004">
      <c r="A59" s="49" t="s">
        <v>1169</v>
      </c>
      <c r="B59" s="279"/>
      <c r="C59" s="279"/>
      <c r="D59" s="279"/>
      <c r="E59" s="279"/>
      <c r="F59" s="279"/>
      <c r="G59" s="279"/>
      <c r="H59" s="279"/>
      <c r="I59" s="279"/>
      <c r="J59" s="279"/>
      <c r="K59" s="279"/>
      <c r="L59" s="279"/>
      <c r="M59" s="279"/>
      <c r="N59" s="279"/>
    </row>
    <row r="60" spans="1:14" x14ac:dyDescent="0.55000000000000004">
      <c r="A60" s="49" t="s">
        <v>989</v>
      </c>
      <c r="B60" s="68">
        <v>289775.14</v>
      </c>
      <c r="C60" s="68">
        <v>282168.40000000002</v>
      </c>
      <c r="D60" s="68">
        <v>142037.57</v>
      </c>
      <c r="E60" s="68">
        <v>85648.48</v>
      </c>
      <c r="F60" s="68">
        <v>74072.45</v>
      </c>
      <c r="G60" s="68">
        <v>97080.86</v>
      </c>
      <c r="H60" s="68">
        <v>95436.53</v>
      </c>
      <c r="I60" s="68">
        <v>88563.18</v>
      </c>
      <c r="J60" s="68">
        <v>71318.59</v>
      </c>
      <c r="K60" s="68">
        <v>34072.089999999997</v>
      </c>
      <c r="L60" s="68">
        <v>31535.57</v>
      </c>
      <c r="M60" s="68">
        <v>23750.22</v>
      </c>
      <c r="N60" s="68">
        <v>515829.49</v>
      </c>
    </row>
    <row r="61" spans="1:14" x14ac:dyDescent="0.55000000000000004">
      <c r="A61" s="280"/>
      <c r="B61" s="282"/>
      <c r="C61" s="282"/>
      <c r="D61" s="282"/>
      <c r="E61" s="282"/>
      <c r="F61" s="282"/>
      <c r="G61" s="282"/>
      <c r="H61" s="282"/>
      <c r="I61" s="282"/>
      <c r="J61" s="282"/>
      <c r="K61" s="282"/>
      <c r="L61" s="282"/>
      <c r="M61" s="282"/>
      <c r="N61" s="282"/>
    </row>
    <row r="62" spans="1:14" x14ac:dyDescent="0.55000000000000004">
      <c r="A62" s="280" t="s">
        <v>75</v>
      </c>
      <c r="B62" s="281">
        <f t="shared" ref="B62:N62" si="2">SUM(B41:B60)</f>
        <v>12432537.800000001</v>
      </c>
      <c r="C62" s="281">
        <f t="shared" si="2"/>
        <v>11978719.309999999</v>
      </c>
      <c r="D62" s="281">
        <f t="shared" si="2"/>
        <v>10488738.920000002</v>
      </c>
      <c r="E62" s="281">
        <f t="shared" si="2"/>
        <v>13357634.4</v>
      </c>
      <c r="F62" s="281">
        <f t="shared" si="2"/>
        <v>11633953.039999997</v>
      </c>
      <c r="G62" s="281">
        <f t="shared" si="2"/>
        <v>11365866.75</v>
      </c>
      <c r="H62" s="281">
        <f t="shared" si="2"/>
        <v>11525970.720000001</v>
      </c>
      <c r="I62" s="281">
        <f t="shared" si="2"/>
        <v>11584820.370000001</v>
      </c>
      <c r="J62" s="281">
        <f t="shared" si="2"/>
        <v>11522361.059999999</v>
      </c>
      <c r="K62" s="281">
        <f t="shared" si="2"/>
        <v>11775026.810000001</v>
      </c>
      <c r="L62" s="281">
        <f t="shared" si="2"/>
        <v>12193186.770000001</v>
      </c>
      <c r="M62" s="281">
        <f t="shared" si="2"/>
        <v>12024392.320000002</v>
      </c>
      <c r="N62" s="281">
        <f t="shared" si="2"/>
        <v>93625577.840000004</v>
      </c>
    </row>
    <row r="63" spans="1:14" x14ac:dyDescent="0.55000000000000004">
      <c r="A63" s="49" t="s">
        <v>76</v>
      </c>
      <c r="B63" s="279"/>
      <c r="C63" s="279"/>
      <c r="D63" s="279"/>
      <c r="E63" s="279"/>
      <c r="F63" s="279"/>
      <c r="G63" s="279"/>
      <c r="H63" s="279"/>
      <c r="I63" s="279"/>
      <c r="J63" s="279"/>
      <c r="K63" s="279"/>
      <c r="L63" s="279"/>
      <c r="M63" s="279"/>
      <c r="N63" s="279"/>
    </row>
    <row r="64" spans="1:14" x14ac:dyDescent="0.55000000000000004">
      <c r="A64" s="49" t="s">
        <v>34</v>
      </c>
      <c r="B64" s="68">
        <v>675355.81</v>
      </c>
      <c r="C64" s="68">
        <v>616447.1</v>
      </c>
      <c r="D64" s="68">
        <v>657811</v>
      </c>
      <c r="E64" s="68">
        <v>538001.63</v>
      </c>
      <c r="F64" s="68">
        <v>660038.94999999995</v>
      </c>
      <c r="G64" s="68">
        <v>646585.56000000006</v>
      </c>
      <c r="H64" s="68">
        <v>706705.3</v>
      </c>
      <c r="I64" s="68">
        <v>666204.87</v>
      </c>
      <c r="J64" s="68">
        <v>683472.57</v>
      </c>
      <c r="K64" s="68">
        <v>805519.92</v>
      </c>
      <c r="L64" s="68">
        <v>783603.79</v>
      </c>
      <c r="M64" s="68">
        <v>706763.34</v>
      </c>
      <c r="N64" s="68">
        <v>5658894.2999999998</v>
      </c>
    </row>
    <row r="65" spans="1:14" x14ac:dyDescent="0.55000000000000004">
      <c r="A65" s="49" t="s">
        <v>70</v>
      </c>
      <c r="B65" s="68">
        <v>105205.71</v>
      </c>
      <c r="C65" s="68">
        <v>156883.4</v>
      </c>
      <c r="D65" s="68">
        <v>126652</v>
      </c>
      <c r="E65" s="68">
        <v>179399.79</v>
      </c>
      <c r="F65" s="68">
        <v>107813.53</v>
      </c>
      <c r="G65" s="68">
        <v>147944.76</v>
      </c>
      <c r="H65" s="68">
        <v>161929.62</v>
      </c>
      <c r="I65" s="68">
        <v>170691.56</v>
      </c>
      <c r="J65" s="68">
        <v>135685.87</v>
      </c>
      <c r="K65" s="68">
        <v>151660.65</v>
      </c>
      <c r="L65" s="68">
        <v>146016.09</v>
      </c>
      <c r="M65" s="68">
        <v>172889.09</v>
      </c>
      <c r="N65" s="68">
        <v>1194631.17</v>
      </c>
    </row>
    <row r="66" spans="1:14" x14ac:dyDescent="0.55000000000000004">
      <c r="A66" s="49" t="s">
        <v>77</v>
      </c>
      <c r="B66" s="68">
        <v>452374.12</v>
      </c>
      <c r="C66" s="68">
        <v>416674.56</v>
      </c>
      <c r="D66" s="68">
        <v>395006.19</v>
      </c>
      <c r="E66" s="68">
        <v>390175.57</v>
      </c>
      <c r="F66" s="68">
        <v>379280.84</v>
      </c>
      <c r="G66" s="68">
        <v>360884.33</v>
      </c>
      <c r="H66" s="68">
        <v>374981.79</v>
      </c>
      <c r="I66" s="68">
        <v>400053.14</v>
      </c>
      <c r="J66" s="68">
        <v>344453.52</v>
      </c>
      <c r="K66" s="68">
        <v>423363.48</v>
      </c>
      <c r="L66" s="68">
        <v>445283.35</v>
      </c>
      <c r="M66" s="68">
        <v>470026.07</v>
      </c>
      <c r="N66" s="68">
        <v>3198326.52</v>
      </c>
    </row>
    <row r="67" spans="1:14" x14ac:dyDescent="0.55000000000000004">
      <c r="A67" s="49" t="s">
        <v>32</v>
      </c>
      <c r="B67" s="68">
        <v>44734.78</v>
      </c>
      <c r="C67" s="68">
        <v>51280.56</v>
      </c>
      <c r="D67" s="68">
        <v>49687.89</v>
      </c>
      <c r="E67" s="68">
        <v>57226.2</v>
      </c>
      <c r="F67" s="68">
        <v>50707.18</v>
      </c>
      <c r="G67" s="68">
        <v>42206.47</v>
      </c>
      <c r="H67" s="68">
        <v>62465.19</v>
      </c>
      <c r="I67" s="68">
        <v>51329.53</v>
      </c>
      <c r="J67" s="68">
        <v>54472.51</v>
      </c>
      <c r="K67" s="68">
        <v>54225.97</v>
      </c>
      <c r="L67" s="68">
        <v>63541.599999999999</v>
      </c>
      <c r="M67" s="68">
        <v>68509.91</v>
      </c>
      <c r="N67" s="68">
        <v>447458.36</v>
      </c>
    </row>
    <row r="68" spans="1:14" x14ac:dyDescent="0.55000000000000004">
      <c r="A68" s="49" t="s">
        <v>33</v>
      </c>
      <c r="B68" s="68">
        <v>60488.36</v>
      </c>
      <c r="C68" s="68">
        <v>63197.83</v>
      </c>
      <c r="D68" s="68">
        <v>53361.91</v>
      </c>
      <c r="E68" s="68">
        <v>52763.199999999997</v>
      </c>
      <c r="F68" s="68">
        <v>49212.04</v>
      </c>
      <c r="G68" s="68">
        <v>45917.13</v>
      </c>
      <c r="H68" s="68">
        <v>65955.820000000007</v>
      </c>
      <c r="I68" s="68">
        <v>61702.8</v>
      </c>
      <c r="J68" s="68">
        <v>59402.559999999998</v>
      </c>
      <c r="K68" s="68">
        <v>61032.87</v>
      </c>
      <c r="L68" s="68">
        <v>68270.720000000001</v>
      </c>
      <c r="M68" s="68">
        <v>72338.61</v>
      </c>
      <c r="N68" s="68">
        <v>483832.55</v>
      </c>
    </row>
    <row r="69" spans="1:14" x14ac:dyDescent="0.55000000000000004">
      <c r="A69" s="49" t="s">
        <v>78</v>
      </c>
      <c r="B69" s="68">
        <v>328736.90999999997</v>
      </c>
      <c r="C69" s="68">
        <v>358895.05</v>
      </c>
      <c r="D69" s="68">
        <v>350407.59</v>
      </c>
      <c r="E69" s="68">
        <v>336064.23</v>
      </c>
      <c r="F69" s="68">
        <v>311243.81</v>
      </c>
      <c r="G69" s="68">
        <v>268680.77</v>
      </c>
      <c r="H69" s="68">
        <v>362155.72</v>
      </c>
      <c r="I69" s="68">
        <v>367272.73</v>
      </c>
      <c r="J69" s="68">
        <v>368081.84</v>
      </c>
      <c r="K69" s="68">
        <v>353644.86</v>
      </c>
      <c r="L69" s="68">
        <v>432449.78</v>
      </c>
      <c r="M69" s="68">
        <v>368480.25</v>
      </c>
      <c r="N69" s="68">
        <v>2832009.76</v>
      </c>
    </row>
    <row r="70" spans="1:14" x14ac:dyDescent="0.55000000000000004">
      <c r="A70" s="49" t="s">
        <v>71</v>
      </c>
      <c r="B70" s="68">
        <v>107079.44</v>
      </c>
      <c r="C70" s="68">
        <v>102488.75</v>
      </c>
      <c r="D70" s="68">
        <v>109033.32</v>
      </c>
      <c r="E70" s="68">
        <v>116260.33</v>
      </c>
      <c r="F70" s="68">
        <v>127064.9</v>
      </c>
      <c r="G70" s="68">
        <v>75939.460000000006</v>
      </c>
      <c r="H70" s="68">
        <v>130441.62</v>
      </c>
      <c r="I70" s="68">
        <v>125883.97</v>
      </c>
      <c r="J70" s="68">
        <v>115579.93</v>
      </c>
      <c r="K70" s="68">
        <v>124132.4</v>
      </c>
      <c r="L70" s="68">
        <v>118030.9</v>
      </c>
      <c r="M70" s="68">
        <v>125282.28</v>
      </c>
      <c r="N70" s="68">
        <v>942355.46</v>
      </c>
    </row>
    <row r="71" spans="1:14" x14ac:dyDescent="0.55000000000000004">
      <c r="A71" s="49" t="s">
        <v>72</v>
      </c>
      <c r="B71" s="68">
        <v>9617.06</v>
      </c>
      <c r="C71" s="68">
        <v>10194.89</v>
      </c>
      <c r="D71" s="68">
        <v>8009.82</v>
      </c>
      <c r="E71" s="68">
        <v>4835.0200000000004</v>
      </c>
      <c r="F71" s="68">
        <v>8490.65</v>
      </c>
      <c r="G71" s="68">
        <v>6635.87</v>
      </c>
      <c r="H71" s="68">
        <v>14056.63</v>
      </c>
      <c r="I71" s="68">
        <v>9790.3799999999992</v>
      </c>
      <c r="J71" s="68">
        <v>13477.49</v>
      </c>
      <c r="K71" s="68">
        <v>13583.54</v>
      </c>
      <c r="L71" s="68">
        <v>13790.72</v>
      </c>
      <c r="M71" s="68">
        <v>12235.79</v>
      </c>
      <c r="N71" s="68">
        <v>92061.07</v>
      </c>
    </row>
    <row r="72" spans="1:14" x14ac:dyDescent="0.55000000000000004">
      <c r="A72" s="49" t="s">
        <v>79</v>
      </c>
      <c r="B72" s="68">
        <v>561117.4</v>
      </c>
      <c r="C72" s="68">
        <v>740513.33</v>
      </c>
      <c r="D72" s="68">
        <v>985975.02</v>
      </c>
      <c r="E72" s="68">
        <v>827386.35</v>
      </c>
      <c r="F72" s="68">
        <v>677399.49</v>
      </c>
      <c r="G72" s="68">
        <v>629245.6</v>
      </c>
      <c r="H72" s="68">
        <v>750349.99</v>
      </c>
      <c r="I72" s="68">
        <v>724424.47</v>
      </c>
      <c r="J72" s="68">
        <v>790600.73</v>
      </c>
      <c r="K72" s="68">
        <v>803127.45</v>
      </c>
      <c r="L72" s="68">
        <v>664400.77</v>
      </c>
      <c r="M72" s="68">
        <v>706127.47</v>
      </c>
      <c r="N72" s="68">
        <v>5745675.9699999997</v>
      </c>
    </row>
    <row r="73" spans="1:14" x14ac:dyDescent="0.55000000000000004">
      <c r="A73" s="49" t="s">
        <v>80</v>
      </c>
      <c r="B73" s="68">
        <v>532053.43000000005</v>
      </c>
      <c r="C73" s="68">
        <v>442965.03</v>
      </c>
      <c r="D73" s="68">
        <v>487976.6</v>
      </c>
      <c r="E73" s="68">
        <v>73031.92</v>
      </c>
      <c r="F73" s="68">
        <v>-294885.74</v>
      </c>
      <c r="G73" s="68">
        <v>51648.49</v>
      </c>
      <c r="H73" s="68">
        <v>201727.73</v>
      </c>
      <c r="I73" s="68">
        <v>217092.43</v>
      </c>
      <c r="J73" s="68">
        <v>134838.97</v>
      </c>
      <c r="K73" s="68">
        <v>113048.68</v>
      </c>
      <c r="L73" s="68">
        <v>451923.85</v>
      </c>
      <c r="M73" s="68">
        <v>46445.48</v>
      </c>
      <c r="N73" s="68">
        <v>921839.89</v>
      </c>
    </row>
    <row r="74" spans="1:14" x14ac:dyDescent="0.55000000000000004">
      <c r="A74" s="49" t="s">
        <v>31</v>
      </c>
      <c r="B74" s="68">
        <v>549284.30000000005</v>
      </c>
      <c r="C74" s="68">
        <v>537490.35</v>
      </c>
      <c r="D74" s="68">
        <v>540955.66</v>
      </c>
      <c r="E74" s="68">
        <v>567195.81000000006</v>
      </c>
      <c r="F74" s="68">
        <v>539894.86</v>
      </c>
      <c r="G74" s="68">
        <v>542381.44999999995</v>
      </c>
      <c r="H74" s="68">
        <v>532824.53</v>
      </c>
      <c r="I74" s="68">
        <v>522476.88</v>
      </c>
      <c r="J74" s="68">
        <v>531474.56999999995</v>
      </c>
      <c r="K74" s="68">
        <v>506659.89</v>
      </c>
      <c r="L74" s="68">
        <v>518055.57</v>
      </c>
      <c r="M74" s="68">
        <v>500473.18</v>
      </c>
      <c r="N74" s="68">
        <v>4194240.93</v>
      </c>
    </row>
    <row r="75" spans="1:14" x14ac:dyDescent="0.55000000000000004">
      <c r="A75" s="49" t="s">
        <v>81</v>
      </c>
      <c r="B75" s="68">
        <v>637214.43999999994</v>
      </c>
      <c r="C75" s="68">
        <v>460636.2</v>
      </c>
      <c r="D75" s="68">
        <v>516005.25</v>
      </c>
      <c r="E75" s="68">
        <v>-32712.54</v>
      </c>
      <c r="F75" s="68">
        <v>49039.7</v>
      </c>
      <c r="G75" s="68">
        <v>69552.47</v>
      </c>
      <c r="H75" s="68">
        <v>140693.68</v>
      </c>
      <c r="I75" s="68">
        <v>26701.43</v>
      </c>
      <c r="J75" s="68">
        <v>346297.18</v>
      </c>
      <c r="K75" s="68">
        <v>282135.99</v>
      </c>
      <c r="L75" s="68">
        <v>276257.34999999998</v>
      </c>
      <c r="M75" s="68">
        <v>393473.39</v>
      </c>
      <c r="N75" s="68">
        <v>1584151.19</v>
      </c>
    </row>
    <row r="76" spans="1:14" x14ac:dyDescent="0.55000000000000004">
      <c r="A76" s="49" t="s">
        <v>74</v>
      </c>
      <c r="B76" s="68">
        <v>3075032.12</v>
      </c>
      <c r="C76" s="68">
        <v>3197423.08</v>
      </c>
      <c r="D76" s="68">
        <v>2815741.49</v>
      </c>
      <c r="E76" s="68">
        <v>3072472.8</v>
      </c>
      <c r="F76" s="68">
        <v>2880004.84</v>
      </c>
      <c r="G76" s="68">
        <v>2853668.5</v>
      </c>
      <c r="H76" s="68">
        <v>3162677.39</v>
      </c>
      <c r="I76" s="68">
        <v>3077233.95</v>
      </c>
      <c r="J76" s="68">
        <v>3053802.9</v>
      </c>
      <c r="K76" s="68">
        <v>3131412.23</v>
      </c>
      <c r="L76" s="68">
        <v>2978053.68</v>
      </c>
      <c r="M76" s="68">
        <v>3092463.72</v>
      </c>
      <c r="N76" s="68">
        <v>24230013.620000001</v>
      </c>
    </row>
    <row r="77" spans="1:14" x14ac:dyDescent="0.55000000000000004">
      <c r="A77" s="49" t="s">
        <v>82</v>
      </c>
      <c r="B77" s="68">
        <v>771475.2</v>
      </c>
      <c r="C77" s="68">
        <v>733332.68</v>
      </c>
      <c r="D77" s="68">
        <v>807381.68</v>
      </c>
      <c r="E77" s="68">
        <v>722210.14</v>
      </c>
      <c r="F77" s="68">
        <v>724607.72</v>
      </c>
      <c r="G77" s="68">
        <v>595041.93999999994</v>
      </c>
      <c r="H77" s="68">
        <v>738674.66</v>
      </c>
      <c r="I77" s="68">
        <v>737751.01</v>
      </c>
      <c r="J77" s="68">
        <v>838267.21</v>
      </c>
      <c r="K77" s="68">
        <v>776536.34</v>
      </c>
      <c r="L77" s="68">
        <v>823144.58</v>
      </c>
      <c r="M77" s="68">
        <v>905287.85</v>
      </c>
      <c r="N77" s="68">
        <v>6139311.3099999996</v>
      </c>
    </row>
    <row r="78" spans="1:14" x14ac:dyDescent="0.55000000000000004">
      <c r="A78" s="49" t="s">
        <v>1083</v>
      </c>
      <c r="B78" s="68">
        <v>270326.7</v>
      </c>
      <c r="C78" s="68">
        <v>264188.36</v>
      </c>
      <c r="D78" s="68">
        <v>248692.05</v>
      </c>
      <c r="E78" s="68">
        <v>420552.07</v>
      </c>
      <c r="F78" s="68">
        <v>238257.37</v>
      </c>
      <c r="G78" s="68">
        <v>236010.87</v>
      </c>
      <c r="H78" s="68">
        <v>242144.04</v>
      </c>
      <c r="I78" s="68">
        <v>239794.63</v>
      </c>
      <c r="J78" s="68">
        <v>244064.61</v>
      </c>
      <c r="K78" s="68">
        <v>257488.26</v>
      </c>
      <c r="L78" s="68">
        <v>259299.24</v>
      </c>
      <c r="M78" s="68">
        <v>257810.62</v>
      </c>
      <c r="N78" s="68">
        <v>1974869.64</v>
      </c>
    </row>
    <row r="79" spans="1:14" x14ac:dyDescent="0.55000000000000004">
      <c r="A79" s="49" t="s">
        <v>83</v>
      </c>
      <c r="B79" s="68">
        <v>306276.28000000003</v>
      </c>
      <c r="C79" s="68">
        <v>312611.88</v>
      </c>
      <c r="D79" s="68">
        <v>313791.28999999998</v>
      </c>
      <c r="E79" s="68">
        <v>108387.22</v>
      </c>
      <c r="F79" s="68">
        <v>227303.34</v>
      </c>
      <c r="G79" s="68">
        <v>272359.73</v>
      </c>
      <c r="H79" s="68">
        <v>292140.25</v>
      </c>
      <c r="I79" s="68">
        <v>301460.83</v>
      </c>
      <c r="J79" s="68">
        <v>302415.03999999998</v>
      </c>
      <c r="K79" s="68">
        <v>246834.62</v>
      </c>
      <c r="L79" s="68">
        <v>297239.09000000003</v>
      </c>
      <c r="M79" s="68">
        <v>282314.13</v>
      </c>
      <c r="N79" s="68">
        <v>2222067.0299999998</v>
      </c>
    </row>
    <row r="80" spans="1:14" x14ac:dyDescent="0.55000000000000004">
      <c r="A80" s="49" t="s">
        <v>1170</v>
      </c>
      <c r="B80" s="279"/>
      <c r="C80" s="279"/>
      <c r="D80" s="279"/>
      <c r="E80" s="279"/>
      <c r="F80" s="279"/>
      <c r="G80" s="279"/>
      <c r="H80" s="279"/>
      <c r="I80" s="279"/>
      <c r="J80" s="279"/>
      <c r="K80" s="279"/>
      <c r="L80" s="279"/>
      <c r="M80" s="279"/>
      <c r="N80" s="279"/>
    </row>
    <row r="81" spans="1:14" x14ac:dyDescent="0.55000000000000004">
      <c r="A81" s="49" t="s">
        <v>1171</v>
      </c>
      <c r="B81" s="279"/>
      <c r="C81" s="279"/>
      <c r="D81" s="279"/>
      <c r="E81" s="279"/>
      <c r="F81" s="279"/>
      <c r="G81" s="279"/>
      <c r="H81" s="279"/>
      <c r="I81" s="279"/>
      <c r="J81" s="279"/>
      <c r="K81" s="279"/>
      <c r="L81" s="279"/>
      <c r="M81" s="279"/>
      <c r="N81" s="279"/>
    </row>
    <row r="82" spans="1:14" x14ac:dyDescent="0.55000000000000004">
      <c r="A82" s="49" t="s">
        <v>1172</v>
      </c>
      <c r="B82" s="279"/>
      <c r="C82" s="279"/>
      <c r="D82" s="279"/>
      <c r="E82" s="279"/>
      <c r="F82" s="279"/>
      <c r="G82" s="279"/>
      <c r="H82" s="279"/>
      <c r="I82" s="279"/>
      <c r="J82" s="279"/>
      <c r="K82" s="279"/>
      <c r="L82" s="279"/>
      <c r="M82" s="279"/>
      <c r="N82" s="279"/>
    </row>
    <row r="83" spans="1:14" x14ac:dyDescent="0.55000000000000004">
      <c r="A83" s="49" t="s">
        <v>1185</v>
      </c>
      <c r="B83" s="279"/>
      <c r="C83" s="279"/>
      <c r="D83" s="279"/>
      <c r="E83" s="279"/>
      <c r="F83" s="279"/>
      <c r="G83" s="279"/>
      <c r="H83" s="279"/>
      <c r="I83" s="279"/>
      <c r="J83" s="279"/>
      <c r="K83" s="279"/>
      <c r="L83" s="279"/>
      <c r="M83" s="279"/>
      <c r="N83" s="279"/>
    </row>
    <row r="84" spans="1:14" x14ac:dyDescent="0.55000000000000004">
      <c r="A84" s="49" t="s">
        <v>1173</v>
      </c>
      <c r="B84" s="279"/>
      <c r="C84" s="279"/>
      <c r="D84" s="279"/>
      <c r="E84" s="279"/>
      <c r="F84" s="279"/>
      <c r="G84" s="279"/>
      <c r="H84" s="279"/>
      <c r="I84" s="279"/>
      <c r="J84" s="279"/>
      <c r="K84" s="279"/>
      <c r="L84" s="279"/>
      <c r="M84" s="279"/>
      <c r="N84" s="279"/>
    </row>
    <row r="85" spans="1:14" x14ac:dyDescent="0.55000000000000004">
      <c r="A85" s="49" t="s">
        <v>84</v>
      </c>
      <c r="B85" s="68">
        <v>31519.77</v>
      </c>
      <c r="C85" s="68">
        <v>26976.49</v>
      </c>
      <c r="D85" s="68">
        <v>14538.73</v>
      </c>
      <c r="E85" s="68">
        <v>14538.76</v>
      </c>
      <c r="F85" s="68">
        <v>19327.669999999998</v>
      </c>
      <c r="G85" s="68">
        <v>3101.45</v>
      </c>
      <c r="H85" s="68">
        <v>11214.56</v>
      </c>
      <c r="I85" s="68">
        <v>15872.57</v>
      </c>
      <c r="J85" s="68">
        <v>16874.349999999999</v>
      </c>
      <c r="K85" s="68">
        <v>15659.73</v>
      </c>
      <c r="L85" s="68">
        <v>16177.29</v>
      </c>
      <c r="M85" s="68">
        <v>15829.95</v>
      </c>
      <c r="N85" s="68">
        <v>114057.57</v>
      </c>
    </row>
    <row r="86" spans="1:14" x14ac:dyDescent="0.55000000000000004">
      <c r="A86" s="49"/>
      <c r="B86" s="279"/>
      <c r="C86" s="279"/>
      <c r="D86" s="279"/>
      <c r="E86" s="279"/>
      <c r="F86" s="279"/>
      <c r="G86" s="279"/>
      <c r="H86" s="279"/>
      <c r="I86" s="279"/>
      <c r="J86" s="279"/>
      <c r="K86" s="279"/>
      <c r="L86" s="279"/>
      <c r="M86" s="279"/>
      <c r="N86" s="279"/>
    </row>
    <row r="87" spans="1:14" x14ac:dyDescent="0.55000000000000004">
      <c r="A87" s="49" t="s">
        <v>990</v>
      </c>
      <c r="B87" s="68">
        <v>222852.65</v>
      </c>
      <c r="C87" s="68">
        <v>274359.64</v>
      </c>
      <c r="D87" s="68">
        <v>305150.21000000002</v>
      </c>
      <c r="E87" s="68">
        <v>461651.57</v>
      </c>
      <c r="F87" s="68">
        <v>292930.05</v>
      </c>
      <c r="G87" s="68">
        <v>170865.06</v>
      </c>
      <c r="H87" s="68">
        <v>185339.62</v>
      </c>
      <c r="I87" s="68">
        <v>179531.94</v>
      </c>
      <c r="J87" s="68">
        <v>167931.66</v>
      </c>
      <c r="K87" s="68">
        <v>128520.82</v>
      </c>
      <c r="L87" s="68">
        <v>185740.73</v>
      </c>
      <c r="M87" s="68">
        <v>219430.22</v>
      </c>
      <c r="N87" s="68">
        <v>1530290.1</v>
      </c>
    </row>
    <row r="88" spans="1:14" x14ac:dyDescent="0.55000000000000004">
      <c r="A88" s="49" t="s">
        <v>991</v>
      </c>
      <c r="B88" s="68">
        <v>2334.3200000000002</v>
      </c>
      <c r="C88" s="68">
        <v>-245.28</v>
      </c>
      <c r="D88" s="68">
        <v>1260.22</v>
      </c>
      <c r="E88" s="68">
        <v>2784.08</v>
      </c>
      <c r="F88" s="68">
        <v>298.5</v>
      </c>
      <c r="G88" s="279"/>
      <c r="H88" s="68">
        <v>2648.25</v>
      </c>
      <c r="I88" s="68">
        <v>1830.08</v>
      </c>
      <c r="J88" s="68">
        <v>60.62</v>
      </c>
      <c r="K88" s="279"/>
      <c r="L88" s="68">
        <v>1143.21</v>
      </c>
      <c r="M88" s="279"/>
      <c r="N88" s="68">
        <v>5980.66</v>
      </c>
    </row>
    <row r="89" spans="1:14" x14ac:dyDescent="0.55000000000000004">
      <c r="A89" s="49" t="s">
        <v>992</v>
      </c>
      <c r="B89" s="68">
        <v>6775.62</v>
      </c>
      <c r="C89" s="68">
        <v>10836.51</v>
      </c>
      <c r="D89" s="68">
        <v>15816.24</v>
      </c>
      <c r="E89" s="68">
        <v>35572.61</v>
      </c>
      <c r="F89" s="68">
        <v>13650.33</v>
      </c>
      <c r="G89" s="68">
        <v>7335.63</v>
      </c>
      <c r="H89" s="68">
        <v>20199.14</v>
      </c>
      <c r="I89" s="68">
        <v>3034.07</v>
      </c>
      <c r="J89" s="68">
        <v>396.25</v>
      </c>
      <c r="K89" s="68">
        <v>701.84</v>
      </c>
      <c r="L89" s="68">
        <v>2445.3200000000002</v>
      </c>
      <c r="M89" s="68">
        <v>9427.99</v>
      </c>
      <c r="N89" s="68">
        <v>57190.57</v>
      </c>
    </row>
    <row r="90" spans="1:14" x14ac:dyDescent="0.55000000000000004">
      <c r="A90" s="49" t="s">
        <v>993</v>
      </c>
      <c r="B90" s="68">
        <v>27860.35</v>
      </c>
      <c r="C90" s="68">
        <v>18564.37</v>
      </c>
      <c r="D90" s="68">
        <v>18146.05</v>
      </c>
      <c r="E90" s="68">
        <v>29332</v>
      </c>
      <c r="F90" s="68">
        <v>7014.56</v>
      </c>
      <c r="G90" s="68">
        <v>10242.86</v>
      </c>
      <c r="H90" s="68">
        <v>6247.17</v>
      </c>
      <c r="I90" s="68">
        <v>6054.13</v>
      </c>
      <c r="J90" s="68">
        <v>4226.38</v>
      </c>
      <c r="K90" s="68">
        <v>5948.68</v>
      </c>
      <c r="L90" s="68">
        <v>4096.59</v>
      </c>
      <c r="M90" s="68">
        <v>2566.39</v>
      </c>
      <c r="N90" s="68">
        <v>46396.76</v>
      </c>
    </row>
    <row r="91" spans="1:14" x14ac:dyDescent="0.55000000000000004">
      <c r="A91" s="49" t="s">
        <v>994</v>
      </c>
      <c r="B91" s="68">
        <v>1758.31</v>
      </c>
      <c r="C91" s="68">
        <v>1098.96</v>
      </c>
      <c r="D91" s="68">
        <v>1098.96</v>
      </c>
      <c r="E91" s="68">
        <v>1098.96</v>
      </c>
      <c r="F91" s="68">
        <v>1083.97</v>
      </c>
      <c r="G91" s="68">
        <v>1098.97</v>
      </c>
      <c r="H91" s="68">
        <v>1214.29</v>
      </c>
      <c r="I91" s="68">
        <v>1083.98</v>
      </c>
      <c r="J91" s="279"/>
      <c r="K91" s="279"/>
      <c r="L91" s="279"/>
      <c r="M91" s="279"/>
      <c r="N91" s="68">
        <v>4481.21</v>
      </c>
    </row>
    <row r="92" spans="1:14" x14ac:dyDescent="0.55000000000000004">
      <c r="A92" s="49" t="s">
        <v>1002</v>
      </c>
      <c r="B92" s="279"/>
      <c r="C92" s="279"/>
      <c r="D92" s="279"/>
      <c r="E92" s="279"/>
      <c r="F92" s="68">
        <v>193.2</v>
      </c>
      <c r="G92" s="68">
        <v>92</v>
      </c>
      <c r="H92" s="68">
        <v>52.69</v>
      </c>
      <c r="I92" s="279"/>
      <c r="J92" s="279"/>
      <c r="K92" s="279"/>
      <c r="L92" s="279"/>
      <c r="M92" s="279"/>
      <c r="N92" s="68">
        <v>337.89</v>
      </c>
    </row>
    <row r="93" spans="1:14" x14ac:dyDescent="0.55000000000000004">
      <c r="A93" s="49" t="s">
        <v>1003</v>
      </c>
      <c r="B93" s="279"/>
      <c r="C93" s="279"/>
      <c r="D93" s="279"/>
      <c r="E93" s="68">
        <v>20.47</v>
      </c>
      <c r="F93" s="68">
        <v>32.49</v>
      </c>
      <c r="G93" s="68">
        <v>111.29</v>
      </c>
      <c r="H93" s="279"/>
      <c r="I93" s="68">
        <v>71.02</v>
      </c>
      <c r="J93" s="279"/>
      <c r="K93" s="279"/>
      <c r="L93" s="279"/>
      <c r="M93" s="279"/>
      <c r="N93" s="68">
        <v>214.8</v>
      </c>
    </row>
    <row r="94" spans="1:14" x14ac:dyDescent="0.55000000000000004">
      <c r="A94" s="49" t="s">
        <v>995</v>
      </c>
      <c r="B94" s="68">
        <v>265620.98</v>
      </c>
      <c r="C94" s="68">
        <v>304351.61</v>
      </c>
      <c r="D94" s="68">
        <v>166165.91</v>
      </c>
      <c r="E94" s="68">
        <v>301690.55</v>
      </c>
      <c r="F94" s="68">
        <v>129520.99</v>
      </c>
      <c r="G94" s="68">
        <v>78377.490000000005</v>
      </c>
      <c r="H94" s="68">
        <v>39401.65</v>
      </c>
      <c r="I94" s="68">
        <v>52376.54</v>
      </c>
      <c r="J94" s="68">
        <v>42244.31</v>
      </c>
      <c r="K94" s="68">
        <v>49651.44</v>
      </c>
      <c r="L94" s="68">
        <v>47911.45</v>
      </c>
      <c r="M94" s="68">
        <v>58842.22</v>
      </c>
      <c r="N94" s="68">
        <v>498326.09</v>
      </c>
    </row>
    <row r="95" spans="1:14" x14ac:dyDescent="0.55000000000000004">
      <c r="A95" s="49"/>
      <c r="B95" s="279"/>
      <c r="C95" s="279"/>
      <c r="D95" s="279"/>
      <c r="E95" s="279"/>
      <c r="F95" s="279"/>
      <c r="G95" s="279"/>
      <c r="H95" s="279"/>
      <c r="I95" s="279"/>
      <c r="J95" s="279"/>
      <c r="K95" s="279"/>
      <c r="L95" s="279"/>
      <c r="M95" s="279"/>
      <c r="N95" s="279"/>
    </row>
    <row r="96" spans="1:14" hidden="1" x14ac:dyDescent="0.55000000000000004">
      <c r="A96" s="49"/>
      <c r="B96" s="279"/>
      <c r="C96" s="279"/>
      <c r="D96" s="279"/>
      <c r="E96" s="279"/>
      <c r="F96" s="279"/>
      <c r="G96" s="279"/>
      <c r="H96" s="279"/>
      <c r="I96" s="279"/>
      <c r="J96" s="279"/>
      <c r="K96" s="279"/>
      <c r="L96" s="279"/>
      <c r="M96" s="279"/>
      <c r="N96" s="279"/>
    </row>
    <row r="97" spans="1:14" x14ac:dyDescent="0.55000000000000004">
      <c r="A97" s="280"/>
      <c r="B97" s="282"/>
      <c r="C97" s="282"/>
      <c r="D97" s="282"/>
      <c r="E97" s="282"/>
      <c r="F97" s="282"/>
      <c r="G97" s="282"/>
      <c r="H97" s="282"/>
      <c r="I97" s="282"/>
      <c r="J97" s="282"/>
      <c r="K97" s="282"/>
      <c r="L97" s="282"/>
      <c r="M97" s="282"/>
      <c r="N97" s="282"/>
    </row>
    <row r="98" spans="1:14" x14ac:dyDescent="0.55000000000000004">
      <c r="A98" s="49" t="s">
        <v>15</v>
      </c>
      <c r="B98" s="68">
        <f t="shared" ref="B98:N98" si="3">SUM(B62:B97)</f>
        <v>21477631.859999999</v>
      </c>
      <c r="C98" s="68">
        <f t="shared" si="3"/>
        <v>21079884.659999996</v>
      </c>
      <c r="D98" s="68">
        <f t="shared" si="3"/>
        <v>19477404.000000004</v>
      </c>
      <c r="E98" s="68">
        <f t="shared" si="3"/>
        <v>21637573.140000001</v>
      </c>
      <c r="F98" s="68">
        <f t="shared" si="3"/>
        <v>18833478.27999999</v>
      </c>
      <c r="G98" s="68">
        <f t="shared" si="3"/>
        <v>18481794.899999995</v>
      </c>
      <c r="H98" s="68">
        <f t="shared" si="3"/>
        <v>19732212.050000001</v>
      </c>
      <c r="I98" s="68">
        <f t="shared" si="3"/>
        <v>19544539.310000002</v>
      </c>
      <c r="J98" s="68">
        <f t="shared" si="3"/>
        <v>19770482.129999999</v>
      </c>
      <c r="K98" s="68">
        <f t="shared" si="3"/>
        <v>20079916.470000003</v>
      </c>
      <c r="L98" s="68">
        <f t="shared" si="3"/>
        <v>20790062.439999998</v>
      </c>
      <c r="M98" s="68">
        <f t="shared" si="3"/>
        <v>20511410.27</v>
      </c>
      <c r="N98" s="68">
        <f t="shared" si="3"/>
        <v>157744592.25999996</v>
      </c>
    </row>
    <row r="99" spans="1:14" x14ac:dyDescent="0.55000000000000004">
      <c r="A99" s="49"/>
      <c r="B99" s="279"/>
      <c r="C99" s="279"/>
      <c r="D99" s="279"/>
      <c r="E99" s="279"/>
      <c r="F99" s="279"/>
      <c r="G99" s="279"/>
      <c r="H99" s="279"/>
      <c r="I99" s="279"/>
      <c r="J99" s="279"/>
      <c r="K99" s="279"/>
      <c r="L99" s="279"/>
      <c r="M99" s="279"/>
      <c r="N99" s="279"/>
    </row>
    <row r="100" spans="1:14" x14ac:dyDescent="0.55000000000000004">
      <c r="A100" s="49" t="s">
        <v>85</v>
      </c>
      <c r="B100" s="68">
        <v>72465.59</v>
      </c>
      <c r="C100" s="68">
        <v>109507.85</v>
      </c>
      <c r="D100" s="68">
        <v>53621.919999999998</v>
      </c>
      <c r="E100" s="68">
        <v>90469.02</v>
      </c>
      <c r="F100" s="68">
        <v>75922.44</v>
      </c>
      <c r="G100" s="68">
        <v>71322.58</v>
      </c>
      <c r="H100" s="68">
        <v>82627.86</v>
      </c>
      <c r="I100" s="68">
        <v>85301.9</v>
      </c>
      <c r="J100" s="68">
        <v>87685.57</v>
      </c>
      <c r="K100" s="68">
        <v>91664.29</v>
      </c>
      <c r="L100" s="68">
        <v>80299.88</v>
      </c>
      <c r="M100" s="68">
        <v>123182.06</v>
      </c>
      <c r="N100" s="68">
        <v>698006.58</v>
      </c>
    </row>
    <row r="101" spans="1:14" x14ac:dyDescent="0.55000000000000004">
      <c r="A101" s="49" t="s">
        <v>108</v>
      </c>
      <c r="B101" s="279"/>
      <c r="C101" s="279"/>
      <c r="D101" s="279"/>
      <c r="E101" s="68">
        <v>139471.17000000001</v>
      </c>
      <c r="F101" s="68">
        <v>13947.12</v>
      </c>
      <c r="G101" s="68">
        <v>13947.12</v>
      </c>
      <c r="H101" s="68">
        <v>13947.12</v>
      </c>
      <c r="I101" s="68">
        <v>13947.12</v>
      </c>
      <c r="J101" s="68">
        <v>13947.12</v>
      </c>
      <c r="K101" s="68">
        <v>13947.12</v>
      </c>
      <c r="L101" s="68">
        <v>13947.12</v>
      </c>
      <c r="M101" s="68">
        <v>13947.12</v>
      </c>
      <c r="N101" s="68">
        <v>111576.96000000001</v>
      </c>
    </row>
    <row r="102" spans="1:14" x14ac:dyDescent="0.55000000000000004">
      <c r="A102" s="49" t="s">
        <v>100</v>
      </c>
      <c r="B102" s="68">
        <v>300.32</v>
      </c>
      <c r="C102" s="68">
        <v>179.26</v>
      </c>
      <c r="D102" s="68">
        <v>300.32</v>
      </c>
      <c r="E102" s="68">
        <v>300.31</v>
      </c>
      <c r="F102" s="68">
        <v>120.13</v>
      </c>
      <c r="G102" s="68">
        <v>-1115.25</v>
      </c>
      <c r="H102" s="279"/>
      <c r="I102" s="279"/>
      <c r="J102" s="279"/>
      <c r="K102" s="279"/>
      <c r="L102" s="279"/>
      <c r="M102" s="279"/>
      <c r="N102" s="68">
        <v>-995.12</v>
      </c>
    </row>
    <row r="103" spans="1:14" x14ac:dyDescent="0.55000000000000004">
      <c r="A103" s="49" t="s">
        <v>109</v>
      </c>
      <c r="B103" s="279"/>
      <c r="C103" s="279"/>
      <c r="D103" s="279"/>
      <c r="E103" s="68">
        <v>523.36</v>
      </c>
      <c r="F103" s="68">
        <v>-16821</v>
      </c>
      <c r="G103" s="68">
        <v>-8363.2999999999993</v>
      </c>
      <c r="H103" s="279"/>
      <c r="I103" s="279"/>
      <c r="J103" s="279"/>
      <c r="K103" s="279"/>
      <c r="L103" s="279"/>
      <c r="M103" s="279"/>
      <c r="N103" s="68">
        <v>-25184.3</v>
      </c>
    </row>
    <row r="104" spans="1:14" x14ac:dyDescent="0.55000000000000004">
      <c r="A104" s="49" t="s">
        <v>86</v>
      </c>
      <c r="B104" s="68">
        <v>3142471.5</v>
      </c>
      <c r="C104" s="68">
        <v>3008888.68</v>
      </c>
      <c r="D104" s="68">
        <v>3192296.02</v>
      </c>
      <c r="E104" s="68">
        <v>3192296.02</v>
      </c>
      <c r="F104" s="68">
        <v>3191596.02</v>
      </c>
      <c r="G104" s="68">
        <v>3192371.02</v>
      </c>
      <c r="H104" s="68">
        <v>3192996.66</v>
      </c>
      <c r="I104" s="68">
        <v>3191671.02</v>
      </c>
      <c r="J104" s="68">
        <v>3191671.02</v>
      </c>
      <c r="K104" s="68">
        <v>3192371.02</v>
      </c>
      <c r="L104" s="68">
        <v>3190401.37</v>
      </c>
      <c r="M104" s="68">
        <v>3190643.27</v>
      </c>
      <c r="N104" s="68">
        <v>25533721.399999999</v>
      </c>
    </row>
    <row r="105" spans="1:14" x14ac:dyDescent="0.55000000000000004">
      <c r="A105" s="49" t="s">
        <v>93</v>
      </c>
      <c r="B105" s="68">
        <v>292053.08</v>
      </c>
      <c r="C105" s="68">
        <v>239610.07</v>
      </c>
      <c r="D105" s="68">
        <v>234968.83</v>
      </c>
      <c r="E105" s="68">
        <v>234968.86</v>
      </c>
      <c r="F105" s="68">
        <v>227477.54</v>
      </c>
      <c r="G105" s="68">
        <v>224475.21</v>
      </c>
      <c r="H105" s="68">
        <v>224475.21</v>
      </c>
      <c r="I105" s="68">
        <v>224475.21</v>
      </c>
      <c r="J105" s="68">
        <v>224475.21</v>
      </c>
      <c r="K105" s="68">
        <v>224475.21</v>
      </c>
      <c r="L105" s="68">
        <v>224475.21</v>
      </c>
      <c r="M105" s="68">
        <v>224475.21</v>
      </c>
      <c r="N105" s="68">
        <v>1798804.01</v>
      </c>
    </row>
    <row r="106" spans="1:14" x14ac:dyDescent="0.55000000000000004">
      <c r="A106" s="49" t="s">
        <v>94</v>
      </c>
      <c r="B106" s="68">
        <v>42999.76</v>
      </c>
      <c r="C106" s="68">
        <v>38628.230000000003</v>
      </c>
      <c r="D106" s="68">
        <v>43566.36</v>
      </c>
      <c r="E106" s="68">
        <v>41991.360000000001</v>
      </c>
      <c r="F106" s="68">
        <v>34023.589999999997</v>
      </c>
      <c r="G106" s="68">
        <v>42254.54</v>
      </c>
      <c r="H106" s="68">
        <v>44849.98</v>
      </c>
      <c r="I106" s="68">
        <v>37781.93</v>
      </c>
      <c r="J106" s="68">
        <v>46967.55</v>
      </c>
      <c r="K106" s="68">
        <v>52463.519999999997</v>
      </c>
      <c r="L106" s="68">
        <v>46576.77</v>
      </c>
      <c r="M106" s="68">
        <v>44528.11</v>
      </c>
      <c r="N106" s="68">
        <v>349445.99</v>
      </c>
    </row>
    <row r="107" spans="1:14" x14ac:dyDescent="0.55000000000000004">
      <c r="A107" s="49" t="s">
        <v>87</v>
      </c>
      <c r="B107" s="68">
        <v>918082</v>
      </c>
      <c r="C107" s="68">
        <v>1133614</v>
      </c>
      <c r="D107" s="68">
        <v>1167402</v>
      </c>
      <c r="E107" s="68">
        <v>1196521</v>
      </c>
      <c r="F107" s="68">
        <v>1178664</v>
      </c>
      <c r="G107" s="68">
        <v>1165494</v>
      </c>
      <c r="H107" s="68">
        <v>1064622</v>
      </c>
      <c r="I107" s="68">
        <v>1194228</v>
      </c>
      <c r="J107" s="68">
        <v>1170997</v>
      </c>
      <c r="K107" s="68">
        <v>1225754</v>
      </c>
      <c r="L107" s="68">
        <v>1223163</v>
      </c>
      <c r="M107" s="68">
        <v>1301595</v>
      </c>
      <c r="N107" s="68">
        <v>9524517</v>
      </c>
    </row>
    <row r="108" spans="1:14" x14ac:dyDescent="0.55000000000000004">
      <c r="A108" s="49"/>
      <c r="B108" s="279"/>
      <c r="C108" s="279"/>
      <c r="D108" s="279"/>
      <c r="E108" s="279"/>
      <c r="F108" s="279"/>
      <c r="G108" s="279"/>
      <c r="H108" s="279"/>
      <c r="I108" s="279"/>
      <c r="J108" s="279"/>
      <c r="K108" s="279"/>
      <c r="L108" s="279"/>
      <c r="M108" s="279"/>
      <c r="N108" s="279"/>
    </row>
    <row r="109" spans="1:14" x14ac:dyDescent="0.55000000000000004">
      <c r="A109" s="49" t="s">
        <v>88</v>
      </c>
      <c r="B109" s="68">
        <f t="shared" ref="B109:N109" si="4">SUM(B98:B107)</f>
        <v>25946004.109999999</v>
      </c>
      <c r="C109" s="68">
        <f t="shared" si="4"/>
        <v>25610312.75</v>
      </c>
      <c r="D109" s="68">
        <f t="shared" si="4"/>
        <v>24169559.450000003</v>
      </c>
      <c r="E109" s="68">
        <f t="shared" si="4"/>
        <v>26534114.239999998</v>
      </c>
      <c r="F109" s="68">
        <f t="shared" si="4"/>
        <v>23538408.11999999</v>
      </c>
      <c r="G109" s="68">
        <f t="shared" si="4"/>
        <v>23182180.819999993</v>
      </c>
      <c r="H109" s="68">
        <f t="shared" si="4"/>
        <v>24355730.880000003</v>
      </c>
      <c r="I109" s="68">
        <f t="shared" si="4"/>
        <v>24291944.490000002</v>
      </c>
      <c r="J109" s="68">
        <f t="shared" si="4"/>
        <v>24506225.600000001</v>
      </c>
      <c r="K109" s="68">
        <f t="shared" si="4"/>
        <v>24880591.630000003</v>
      </c>
      <c r="L109" s="68">
        <f t="shared" si="4"/>
        <v>25568925.789999999</v>
      </c>
      <c r="M109" s="68">
        <f t="shared" si="4"/>
        <v>25409781.039999999</v>
      </c>
      <c r="N109" s="68">
        <f t="shared" si="4"/>
        <v>195734484.77999997</v>
      </c>
    </row>
    <row r="110" spans="1:14" x14ac:dyDescent="0.55000000000000004">
      <c r="A110" s="49"/>
      <c r="B110" s="279"/>
      <c r="C110" s="279"/>
      <c r="D110" s="279"/>
      <c r="E110" s="279"/>
      <c r="F110" s="279"/>
      <c r="G110" s="279"/>
      <c r="H110" s="279"/>
      <c r="I110" s="279"/>
      <c r="J110" s="279"/>
      <c r="K110" s="279"/>
      <c r="L110" s="279"/>
      <c r="M110" s="279"/>
      <c r="N110" s="279"/>
    </row>
    <row r="111" spans="1:14" ht="14.7" thickBot="1" x14ac:dyDescent="0.6">
      <c r="A111" s="49" t="s">
        <v>58</v>
      </c>
      <c r="B111" s="283">
        <f t="shared" ref="B111:N111" si="5">B39-B109</f>
        <v>-377419.66999999806</v>
      </c>
      <c r="C111" s="283">
        <f t="shared" si="5"/>
        <v>-1753720.3500000015</v>
      </c>
      <c r="D111" s="283">
        <f t="shared" si="5"/>
        <v>3201868.5999999978</v>
      </c>
      <c r="E111" s="283">
        <f t="shared" si="5"/>
        <v>-1969241.8599999994</v>
      </c>
      <c r="F111" s="283">
        <f t="shared" si="5"/>
        <v>226047.66000001132</v>
      </c>
      <c r="G111" s="283">
        <f t="shared" si="5"/>
        <v>-1541896.8299999982</v>
      </c>
      <c r="H111" s="283">
        <f t="shared" si="5"/>
        <v>-391974.61000000685</v>
      </c>
      <c r="I111" s="283">
        <f t="shared" si="5"/>
        <v>-758385.52000000328</v>
      </c>
      <c r="J111" s="283">
        <f t="shared" si="5"/>
        <v>36577.119999997318</v>
      </c>
      <c r="K111" s="283">
        <f t="shared" si="5"/>
        <v>-367733.06999999657</v>
      </c>
      <c r="L111" s="283">
        <f t="shared" si="5"/>
        <v>463196.29000000656</v>
      </c>
      <c r="M111" s="283">
        <f t="shared" si="5"/>
        <v>647304.16000000015</v>
      </c>
      <c r="N111" s="283">
        <f t="shared" si="5"/>
        <v>-1687561.2099999785</v>
      </c>
    </row>
    <row r="112" spans="1:14" ht="14.7" thickTop="1" x14ac:dyDescent="0.55000000000000004">
      <c r="A112" s="49" t="s">
        <v>89</v>
      </c>
      <c r="B112" s="68">
        <v>-304653.76</v>
      </c>
      <c r="C112" s="68">
        <v>-1644033.24</v>
      </c>
      <c r="D112" s="68">
        <v>3255790.84</v>
      </c>
      <c r="E112" s="68">
        <v>-1738478</v>
      </c>
      <c r="F112" s="68">
        <v>299216.34999999998</v>
      </c>
      <c r="G112" s="68">
        <v>-1466105.68</v>
      </c>
      <c r="H112" s="68">
        <v>-295399.63</v>
      </c>
      <c r="I112" s="68">
        <v>-659136.5</v>
      </c>
      <c r="J112" s="68">
        <v>138209.81</v>
      </c>
      <c r="K112" s="68">
        <v>-262121.66</v>
      </c>
      <c r="L112" s="68">
        <v>557443.29</v>
      </c>
      <c r="M112" s="68">
        <v>784433.34</v>
      </c>
      <c r="N112" s="68">
        <v>-904157.09</v>
      </c>
    </row>
    <row r="113" spans="1:14" x14ac:dyDescent="0.55000000000000004">
      <c r="A113" s="49" t="s">
        <v>12</v>
      </c>
      <c r="B113" s="68">
        <v>4090952.58</v>
      </c>
      <c r="C113" s="68">
        <v>2776707.74</v>
      </c>
      <c r="D113" s="68">
        <v>7894024.0499999998</v>
      </c>
      <c r="E113" s="68">
        <v>2927299.24</v>
      </c>
      <c r="F113" s="68">
        <v>4930977.5</v>
      </c>
      <c r="G113" s="68">
        <v>3158489.09</v>
      </c>
      <c r="H113" s="68">
        <v>4231544.22</v>
      </c>
      <c r="I113" s="68">
        <v>3989019.66</v>
      </c>
      <c r="J113" s="68">
        <v>4772320.59</v>
      </c>
      <c r="K113" s="68">
        <v>4432942.09</v>
      </c>
      <c r="L113" s="68">
        <v>5242059.6399999997</v>
      </c>
      <c r="M113" s="68">
        <v>5545674.9299999997</v>
      </c>
      <c r="N113" s="68">
        <v>36302331.310000002</v>
      </c>
    </row>
    <row r="114" spans="1:14" x14ac:dyDescent="0.55000000000000004">
      <c r="A114" s="49"/>
      <c r="B114" s="279"/>
      <c r="C114" s="279"/>
      <c r="D114" s="279"/>
      <c r="E114" s="279"/>
      <c r="F114" s="279"/>
      <c r="G114" s="279"/>
      <c r="H114" s="279"/>
      <c r="I114" s="279"/>
      <c r="J114" s="279"/>
      <c r="K114" s="279"/>
      <c r="L114" s="279"/>
      <c r="M114" s="279"/>
      <c r="N114" s="279"/>
    </row>
    <row r="115" spans="1:14" hidden="1" x14ac:dyDescent="0.55000000000000004">
      <c r="A115" s="49" t="s">
        <v>102</v>
      </c>
      <c r="B115" s="68">
        <v>48095</v>
      </c>
      <c r="C115" s="68">
        <v>49613</v>
      </c>
      <c r="D115" s="68">
        <v>47286</v>
      </c>
      <c r="E115" s="68">
        <v>45641</v>
      </c>
      <c r="F115" s="68">
        <v>45199</v>
      </c>
      <c r="G115" s="68">
        <v>42591</v>
      </c>
      <c r="H115" s="68">
        <v>47586</v>
      </c>
      <c r="I115" s="68">
        <v>47697</v>
      </c>
      <c r="J115" s="68">
        <v>50366</v>
      </c>
      <c r="K115" s="68">
        <v>50166</v>
      </c>
      <c r="L115" s="68">
        <v>53134</v>
      </c>
      <c r="M115" s="68">
        <v>52538</v>
      </c>
      <c r="N115" s="68">
        <v>389277</v>
      </c>
    </row>
    <row r="116" spans="1:14" hidden="1" x14ac:dyDescent="0.55000000000000004">
      <c r="A116" s="49" t="s">
        <v>103</v>
      </c>
      <c r="B116" s="68">
        <v>720</v>
      </c>
      <c r="C116" s="68">
        <v>744</v>
      </c>
      <c r="D116" s="68">
        <v>720</v>
      </c>
      <c r="E116" s="68">
        <v>744</v>
      </c>
      <c r="F116" s="68">
        <v>744</v>
      </c>
      <c r="G116" s="68">
        <v>672</v>
      </c>
      <c r="H116" s="68">
        <v>744</v>
      </c>
      <c r="I116" s="68">
        <v>720</v>
      </c>
      <c r="J116" s="68">
        <v>744</v>
      </c>
      <c r="K116" s="68">
        <v>720</v>
      </c>
      <c r="L116" s="68">
        <v>744</v>
      </c>
      <c r="M116" s="68">
        <v>744</v>
      </c>
      <c r="N116" s="68">
        <v>5832</v>
      </c>
    </row>
    <row r="117" spans="1:14" hidden="1" x14ac:dyDescent="0.55000000000000004">
      <c r="A117" s="49" t="s">
        <v>1174</v>
      </c>
      <c r="B117" s="279"/>
      <c r="C117" s="279"/>
      <c r="D117" s="279"/>
      <c r="E117" s="279"/>
      <c r="F117" s="279"/>
      <c r="G117" s="279"/>
      <c r="H117" s="279"/>
      <c r="I117" s="279"/>
      <c r="J117" s="279"/>
      <c r="K117" s="279"/>
      <c r="L117" s="279"/>
      <c r="M117" s="279"/>
      <c r="N117" s="279"/>
    </row>
    <row r="118" spans="1:14" hidden="1" x14ac:dyDescent="0.55000000000000004">
      <c r="A118" s="49" t="s">
        <v>104</v>
      </c>
      <c r="B118" s="279"/>
      <c r="C118" s="279"/>
      <c r="D118" s="279"/>
      <c r="E118" s="279"/>
      <c r="F118" s="279"/>
      <c r="G118" s="279"/>
      <c r="H118" s="279"/>
      <c r="I118" s="279"/>
      <c r="J118" s="279"/>
      <c r="K118" s="279"/>
      <c r="L118" s="279"/>
      <c r="M118" s="279"/>
      <c r="N118" s="279"/>
    </row>
    <row r="119" spans="1:14" x14ac:dyDescent="0.55000000000000004">
      <c r="A119" s="49"/>
      <c r="B119" s="279"/>
      <c r="C119" s="279"/>
      <c r="D119" s="279"/>
      <c r="E119" s="279"/>
      <c r="F119" s="279"/>
      <c r="G119" s="279"/>
      <c r="H119" s="279"/>
      <c r="I119" s="279"/>
      <c r="J119" s="279"/>
      <c r="K119" s="279"/>
      <c r="L119" s="279"/>
      <c r="M119" s="279"/>
      <c r="N119" s="279"/>
    </row>
    <row r="120" spans="1:14" x14ac:dyDescent="0.55000000000000004">
      <c r="A120" s="49"/>
      <c r="B120" s="279"/>
      <c r="C120" s="279"/>
      <c r="D120" s="279"/>
      <c r="E120" s="279"/>
      <c r="F120" s="279"/>
      <c r="G120" s="279"/>
      <c r="H120" s="279"/>
      <c r="I120" s="279"/>
      <c r="J120" s="279"/>
      <c r="K120" s="279"/>
      <c r="L120" s="279"/>
      <c r="M120" s="279"/>
      <c r="N120" s="279"/>
    </row>
    <row r="121" spans="1:14" x14ac:dyDescent="0.55000000000000004">
      <c r="A121" s="49"/>
      <c r="B121" s="279"/>
      <c r="C121" s="279"/>
      <c r="D121" s="279"/>
      <c r="E121" s="279"/>
      <c r="F121" s="279"/>
      <c r="G121" s="279"/>
      <c r="H121" s="279"/>
      <c r="I121" s="279"/>
      <c r="J121" s="279"/>
      <c r="K121" s="279"/>
      <c r="L121" s="279"/>
      <c r="M121" s="279"/>
      <c r="N121" s="279"/>
    </row>
    <row r="122" spans="1:14" x14ac:dyDescent="0.55000000000000004">
      <c r="A122" s="49"/>
      <c r="B122" s="279"/>
      <c r="C122" s="279"/>
      <c r="D122" s="279"/>
      <c r="E122" s="279"/>
      <c r="F122" s="279"/>
      <c r="G122" s="279"/>
      <c r="H122" s="279"/>
      <c r="I122" s="279"/>
      <c r="J122" s="279"/>
      <c r="K122" s="279"/>
      <c r="L122" s="279"/>
      <c r="M122" s="279"/>
      <c r="N122" s="279"/>
    </row>
    <row r="123" spans="1:14" x14ac:dyDescent="0.55000000000000004">
      <c r="A123" s="49"/>
      <c r="B123" s="279"/>
      <c r="C123" s="279"/>
      <c r="D123" s="279"/>
      <c r="E123" s="279"/>
      <c r="F123" s="279"/>
      <c r="G123" s="279"/>
      <c r="H123" s="279"/>
      <c r="I123" s="279"/>
      <c r="J123" s="279"/>
      <c r="K123" s="279"/>
      <c r="L123" s="279"/>
      <c r="M123" s="279"/>
      <c r="N123" s="279"/>
    </row>
    <row r="124" spans="1:14" x14ac:dyDescent="0.55000000000000004">
      <c r="A124" s="49"/>
      <c r="B124" s="279"/>
      <c r="C124" s="279"/>
      <c r="D124" s="279"/>
      <c r="E124" s="279"/>
      <c r="F124" s="279"/>
      <c r="G124" s="279"/>
      <c r="H124" s="279"/>
      <c r="I124" s="279"/>
      <c r="J124" s="279"/>
      <c r="K124" s="279"/>
      <c r="L124" s="279"/>
      <c r="M124" s="279"/>
      <c r="N124" s="279"/>
    </row>
    <row r="125" spans="1:14" x14ac:dyDescent="0.55000000000000004">
      <c r="A125" s="49"/>
      <c r="B125" s="279"/>
      <c r="C125" s="279"/>
      <c r="D125" s="279"/>
      <c r="E125" s="279"/>
      <c r="F125" s="279"/>
      <c r="G125" s="279"/>
      <c r="H125" s="279"/>
      <c r="I125" s="279"/>
      <c r="J125" s="279"/>
      <c r="K125" s="279"/>
      <c r="L125" s="279"/>
      <c r="M125" s="279"/>
      <c r="N125" s="279"/>
    </row>
    <row r="126" spans="1:14" x14ac:dyDescent="0.55000000000000004">
      <c r="A126" s="49"/>
      <c r="B126" s="279"/>
      <c r="C126" s="279"/>
      <c r="D126" s="279"/>
      <c r="E126" s="279"/>
      <c r="F126" s="279"/>
      <c r="G126" s="279"/>
      <c r="H126" s="279"/>
      <c r="I126" s="279"/>
      <c r="J126" s="279"/>
      <c r="K126" s="279"/>
      <c r="L126" s="279"/>
      <c r="M126" s="279"/>
      <c r="N126" s="279"/>
    </row>
    <row r="127" spans="1:14" x14ac:dyDescent="0.55000000000000004">
      <c r="A127" s="49"/>
      <c r="B127" s="279"/>
      <c r="C127" s="279"/>
      <c r="D127" s="279"/>
      <c r="E127" s="279"/>
      <c r="F127" s="279"/>
      <c r="G127" s="279"/>
      <c r="H127" s="279"/>
      <c r="I127" s="279"/>
      <c r="J127" s="279"/>
      <c r="K127" s="279"/>
      <c r="L127" s="279"/>
      <c r="M127" s="279"/>
      <c r="N127" s="279"/>
    </row>
    <row r="128" spans="1:14" x14ac:dyDescent="0.55000000000000004">
      <c r="A128" s="49"/>
      <c r="B128" s="279"/>
      <c r="C128" s="279"/>
      <c r="D128" s="279"/>
      <c r="E128" s="279"/>
      <c r="F128" s="279"/>
      <c r="G128" s="279"/>
      <c r="H128" s="279"/>
      <c r="I128" s="279"/>
      <c r="J128" s="279"/>
      <c r="K128" s="279"/>
      <c r="L128" s="279"/>
      <c r="M128" s="279"/>
      <c r="N128" s="279"/>
    </row>
    <row r="129" spans="1:14" x14ac:dyDescent="0.55000000000000004">
      <c r="A129" s="49"/>
      <c r="B129" s="279"/>
      <c r="C129" s="279"/>
      <c r="D129" s="279"/>
      <c r="E129" s="279"/>
      <c r="F129" s="279"/>
      <c r="G129" s="279"/>
      <c r="H129" s="279"/>
      <c r="I129" s="279"/>
      <c r="J129" s="279"/>
      <c r="K129" s="279"/>
      <c r="L129" s="279"/>
      <c r="M129" s="279"/>
      <c r="N129" s="279"/>
    </row>
  </sheetData>
  <mergeCells count="3">
    <mergeCell ref="A1:N1"/>
    <mergeCell ref="A2:N2"/>
    <mergeCell ref="A3:N3"/>
  </mergeCells>
  <pageMargins left="0.75" right="0.75" top="0.75" bottom="0.75" header="0.03" footer="0.03"/>
  <pageSetup pageOrder="overThenDown" orientation="portrait" r:id="rId1"/>
  <customProperties>
    <customPr name="FPMExcelClientCellBasedFunctionStatus" r:id="rId2"/>
  </customProperties>
  <drawing r:id="rId3"/>
  <legacyDrawing r:id="rId4"/>
  <controls>
    <mc:AlternateContent xmlns:mc="http://schemas.openxmlformats.org/markup-compatibility/2006">
      <mc:Choice Requires="x14">
        <control shapeId="7169" r:id="rId5" name="FPMExcelClientSheetOptionstb1">
          <controlPr defaultSize="0" autoLine="0" autoPict="0" r:id="rId6">
            <anchor moveWithCells="1" sizeWithCells="1">
              <from>
                <xdr:col>0</xdr:col>
                <xdr:colOff>0</xdr:colOff>
                <xdr:row>0</xdr:row>
                <xdr:rowOff>0</xdr:rowOff>
              </from>
              <to>
                <xdr:col>0</xdr:col>
                <xdr:colOff>914400</xdr:colOff>
                <xdr:row>0</xdr:row>
                <xdr:rowOff>0</xdr:rowOff>
              </to>
            </anchor>
          </controlPr>
        </control>
      </mc:Choice>
      <mc:Fallback>
        <control shapeId="7169" r:id="rId5" name="FPMExcelClientSheetOptionstb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FB50-26F9-447B-8275-D96476E9FE41}">
  <sheetPr>
    <tabColor rgb="FFFFFF00"/>
  </sheetPr>
  <dimension ref="A2:H143"/>
  <sheetViews>
    <sheetView zoomScale="90" zoomScaleNormal="90" workbookViewId="0">
      <selection activeCell="E1" sqref="E1"/>
    </sheetView>
  </sheetViews>
  <sheetFormatPr defaultColWidth="37.26171875" defaultRowHeight="12.9" x14ac:dyDescent="0.5"/>
  <cols>
    <col min="1" max="1" width="25.68359375" style="180" bestFit="1" customWidth="1"/>
    <col min="2" max="2" width="14" style="180" bestFit="1" customWidth="1"/>
    <col min="3" max="3" width="30.578125" style="180" customWidth="1"/>
    <col min="4" max="4" width="15.68359375" style="180" bestFit="1" customWidth="1"/>
    <col min="5" max="5" width="14.578125" style="180" bestFit="1" customWidth="1"/>
    <col min="6" max="6" width="11.68359375" style="180" bestFit="1" customWidth="1"/>
    <col min="7" max="7" width="12" style="180" bestFit="1" customWidth="1"/>
    <col min="8" max="8" width="11.578125" style="180" bestFit="1" customWidth="1"/>
    <col min="9" max="27" width="9.83984375" style="180" customWidth="1"/>
    <col min="28" max="16384" width="37.26171875" style="180"/>
  </cols>
  <sheetData>
    <row r="2" spans="1:7" ht="14.4" x14ac:dyDescent="0.55000000000000004">
      <c r="A2" s="86" t="s">
        <v>1118</v>
      </c>
    </row>
    <row r="3" spans="1:7" ht="13.2" thickBot="1" x14ac:dyDescent="0.55000000000000004"/>
    <row r="4" spans="1:7" ht="17.100000000000001" thickBot="1" x14ac:dyDescent="0.55000000000000004">
      <c r="B4" s="295" t="s">
        <v>105</v>
      </c>
      <c r="C4" s="296"/>
      <c r="D4" s="296"/>
      <c r="E4" s="296"/>
      <c r="F4" s="296"/>
      <c r="G4" s="297"/>
    </row>
    <row r="5" spans="1:7" x14ac:dyDescent="0.5">
      <c r="B5" s="250" t="s">
        <v>1121</v>
      </c>
      <c r="C5" s="234"/>
      <c r="D5" s="234"/>
      <c r="E5" s="234"/>
      <c r="F5" s="234"/>
      <c r="G5" s="251"/>
    </row>
    <row r="6" spans="1:7" x14ac:dyDescent="0.5">
      <c r="B6" s="252"/>
      <c r="C6" s="253" t="s">
        <v>1116</v>
      </c>
      <c r="D6" s="234"/>
      <c r="E6" s="234"/>
      <c r="F6" s="234"/>
      <c r="G6" s="251"/>
    </row>
    <row r="7" spans="1:7" x14ac:dyDescent="0.5">
      <c r="B7" s="252"/>
      <c r="C7" s="195" t="s">
        <v>1095</v>
      </c>
      <c r="D7" s="195" t="s">
        <v>1061</v>
      </c>
      <c r="E7" s="196" t="s">
        <v>1094</v>
      </c>
      <c r="F7" s="196" t="s">
        <v>21</v>
      </c>
      <c r="G7" s="254" t="s">
        <v>22</v>
      </c>
    </row>
    <row r="8" spans="1:7" x14ac:dyDescent="0.5">
      <c r="B8" s="252"/>
      <c r="C8" s="197" t="s">
        <v>46</v>
      </c>
      <c r="D8" s="192" t="s">
        <v>90</v>
      </c>
      <c r="E8" s="193">
        <v>5871.17</v>
      </c>
      <c r="F8" s="193">
        <v>7112.81</v>
      </c>
      <c r="G8" s="255">
        <f>E8-F8</f>
        <v>-1241.6400000000003</v>
      </c>
    </row>
    <row r="9" spans="1:7" x14ac:dyDescent="0.5">
      <c r="B9" s="252"/>
      <c r="C9" s="191"/>
      <c r="D9" s="234"/>
      <c r="E9" s="234"/>
      <c r="F9" s="234"/>
      <c r="G9" s="251"/>
    </row>
    <row r="10" spans="1:7" x14ac:dyDescent="0.5">
      <c r="B10" s="252"/>
      <c r="C10" s="253" t="s">
        <v>1093</v>
      </c>
      <c r="D10" s="234"/>
      <c r="E10" s="234"/>
      <c r="F10" s="234"/>
      <c r="G10" s="251"/>
    </row>
    <row r="11" spans="1:7" ht="25.8" x14ac:dyDescent="0.5">
      <c r="B11" s="252"/>
      <c r="C11" s="181" t="s">
        <v>1061</v>
      </c>
      <c r="D11" s="181" t="s">
        <v>1084</v>
      </c>
      <c r="E11" s="181" t="s">
        <v>1088</v>
      </c>
      <c r="F11" s="181" t="s">
        <v>1086</v>
      </c>
      <c r="G11" s="251"/>
    </row>
    <row r="12" spans="1:7" x14ac:dyDescent="0.5">
      <c r="B12" s="252"/>
      <c r="C12" s="184" t="s">
        <v>27</v>
      </c>
      <c r="D12" s="182">
        <v>12332937.65</v>
      </c>
      <c r="E12" s="182">
        <v>12225697.83</v>
      </c>
      <c r="F12" s="182">
        <f>D12-E12</f>
        <v>107239.8200000003</v>
      </c>
      <c r="G12" s="251"/>
    </row>
    <row r="13" spans="1:7" x14ac:dyDescent="0.5">
      <c r="B13" s="252"/>
      <c r="C13" s="185" t="s">
        <v>26</v>
      </c>
      <c r="D13" s="183">
        <v>5701913.5999999996</v>
      </c>
      <c r="E13" s="183">
        <v>5704522.2999999998</v>
      </c>
      <c r="F13" s="183">
        <f t="shared" ref="F13:F21" si="0">D13-E13</f>
        <v>-2608.7000000001863</v>
      </c>
      <c r="G13" s="251"/>
    </row>
    <row r="14" spans="1:7" x14ac:dyDescent="0.5">
      <c r="B14" s="252"/>
      <c r="C14" s="185" t="s">
        <v>28</v>
      </c>
      <c r="D14" s="183">
        <v>577500.35</v>
      </c>
      <c r="E14" s="183">
        <v>627604.98</v>
      </c>
      <c r="F14" s="183">
        <f t="shared" si="0"/>
        <v>-50104.630000000005</v>
      </c>
      <c r="G14" s="251"/>
    </row>
    <row r="15" spans="1:7" x14ac:dyDescent="0.5">
      <c r="B15" s="252"/>
      <c r="C15" s="185" t="s">
        <v>68</v>
      </c>
      <c r="D15" s="183">
        <v>136136.79999999999</v>
      </c>
      <c r="E15" s="183">
        <v>175280.51</v>
      </c>
      <c r="F15" s="183">
        <f t="shared" si="0"/>
        <v>-39143.710000000021</v>
      </c>
      <c r="G15" s="251"/>
    </row>
    <row r="16" spans="1:7" x14ac:dyDescent="0.5">
      <c r="B16" s="252"/>
      <c r="C16" s="185" t="s">
        <v>69</v>
      </c>
      <c r="D16" s="183">
        <v>2390114.09</v>
      </c>
      <c r="E16" s="183">
        <v>2350734.8199999998</v>
      </c>
      <c r="F16" s="183">
        <f t="shared" si="0"/>
        <v>39379.270000000019</v>
      </c>
      <c r="G16" s="251"/>
    </row>
    <row r="17" spans="2:8" x14ac:dyDescent="0.5">
      <c r="B17" s="252"/>
      <c r="C17" s="185" t="s">
        <v>1079</v>
      </c>
      <c r="D17" s="183">
        <v>377438.61</v>
      </c>
      <c r="E17" s="183">
        <v>0</v>
      </c>
      <c r="F17" s="183">
        <f t="shared" si="0"/>
        <v>377438.61</v>
      </c>
      <c r="G17" s="251"/>
    </row>
    <row r="18" spans="2:8" x14ac:dyDescent="0.5">
      <c r="B18" s="252"/>
      <c r="C18" s="185" t="s">
        <v>98</v>
      </c>
      <c r="D18" s="183">
        <v>684758.31</v>
      </c>
      <c r="E18" s="183">
        <v>813810.79</v>
      </c>
      <c r="F18" s="183">
        <f t="shared" si="0"/>
        <v>-129052.47999999998</v>
      </c>
      <c r="G18" s="251"/>
    </row>
    <row r="19" spans="2:8" x14ac:dyDescent="0.5">
      <c r="B19" s="252"/>
      <c r="C19" s="185" t="s">
        <v>1080</v>
      </c>
      <c r="D19" s="183">
        <v>4881004.5</v>
      </c>
      <c r="E19" s="183">
        <v>0</v>
      </c>
      <c r="F19" s="183">
        <f t="shared" si="0"/>
        <v>4881004.5</v>
      </c>
      <c r="G19" s="251"/>
    </row>
    <row r="20" spans="2:8" x14ac:dyDescent="0.5">
      <c r="B20" s="252"/>
      <c r="C20" s="185" t="s">
        <v>91</v>
      </c>
      <c r="D20" s="183">
        <v>597570.66</v>
      </c>
      <c r="E20" s="183">
        <v>338294.9</v>
      </c>
      <c r="F20" s="183">
        <f t="shared" si="0"/>
        <v>259275.76</v>
      </c>
      <c r="G20" s="251"/>
    </row>
    <row r="21" spans="2:8" x14ac:dyDescent="0.5">
      <c r="B21" s="252"/>
      <c r="C21" s="185" t="s">
        <v>1081</v>
      </c>
      <c r="D21" s="183">
        <v>-4844616.1399999997</v>
      </c>
      <c r="E21" s="183">
        <v>0</v>
      </c>
      <c r="F21" s="183">
        <f t="shared" si="0"/>
        <v>-4844616.1399999997</v>
      </c>
      <c r="G21" s="251"/>
    </row>
    <row r="22" spans="2:8" x14ac:dyDescent="0.5">
      <c r="B22" s="252"/>
      <c r="C22" s="185"/>
      <c r="D22" s="187"/>
      <c r="E22" s="187"/>
      <c r="F22" s="187"/>
      <c r="G22" s="251"/>
    </row>
    <row r="23" spans="2:8" ht="13.2" thickBot="1" x14ac:dyDescent="0.55000000000000004">
      <c r="B23" s="252"/>
      <c r="C23" s="292" t="s">
        <v>1089</v>
      </c>
      <c r="D23" s="293"/>
      <c r="E23" s="293"/>
      <c r="F23" s="223">
        <f>SUM(F12:F22)</f>
        <v>598812.29999999981</v>
      </c>
      <c r="G23" s="251"/>
    </row>
    <row r="24" spans="2:8" x14ac:dyDescent="0.5">
      <c r="B24" s="252"/>
      <c r="C24" s="234"/>
      <c r="D24" s="234"/>
      <c r="E24" s="234"/>
      <c r="F24" s="234"/>
      <c r="G24" s="251"/>
    </row>
    <row r="25" spans="2:8" s="227" customFormat="1" ht="14.7" thickBot="1" x14ac:dyDescent="0.6">
      <c r="B25" s="256"/>
      <c r="C25" s="294" t="s">
        <v>1117</v>
      </c>
      <c r="D25" s="294"/>
      <c r="E25" s="294"/>
      <c r="F25" s="294"/>
      <c r="G25" s="257">
        <f>SUM(G8,F23)</f>
        <v>597570.6599999998</v>
      </c>
      <c r="H25" s="259" t="s">
        <v>1140</v>
      </c>
    </row>
    <row r="26" spans="2:8" ht="13.2" thickTop="1" x14ac:dyDescent="0.5">
      <c r="B26" s="252"/>
      <c r="C26" s="234"/>
      <c r="D26" s="234"/>
      <c r="E26" s="234"/>
      <c r="F26" s="234"/>
      <c r="G26" s="251"/>
    </row>
    <row r="27" spans="2:8" x14ac:dyDescent="0.5">
      <c r="B27" s="252"/>
      <c r="C27" s="234"/>
      <c r="D27" s="234"/>
      <c r="E27" s="234"/>
      <c r="F27" s="234"/>
      <c r="G27" s="251"/>
    </row>
    <row r="28" spans="2:8" x14ac:dyDescent="0.5">
      <c r="B28" s="250" t="s">
        <v>1119</v>
      </c>
      <c r="C28" s="234"/>
      <c r="D28" s="234"/>
      <c r="E28" s="234"/>
      <c r="F28" s="234"/>
      <c r="G28" s="251"/>
    </row>
    <row r="29" spans="2:8" x14ac:dyDescent="0.5">
      <c r="B29" s="252"/>
      <c r="C29" s="253" t="s">
        <v>1093</v>
      </c>
      <c r="D29" s="234"/>
      <c r="E29" s="234"/>
      <c r="F29" s="234"/>
      <c r="G29" s="251"/>
    </row>
    <row r="30" spans="2:8" ht="25.8" x14ac:dyDescent="0.5">
      <c r="B30" s="252"/>
      <c r="C30" s="181" t="s">
        <v>1061</v>
      </c>
      <c r="D30" s="181" t="s">
        <v>1084</v>
      </c>
      <c r="E30" s="181" t="s">
        <v>1088</v>
      </c>
      <c r="F30" s="181" t="s">
        <v>1086</v>
      </c>
      <c r="G30" s="251"/>
    </row>
    <row r="31" spans="2:8" x14ac:dyDescent="0.5">
      <c r="B31" s="252"/>
      <c r="C31" s="184" t="s">
        <v>27</v>
      </c>
      <c r="D31" s="182">
        <v>10332419.65</v>
      </c>
      <c r="E31" s="182">
        <v>10251819.310000001</v>
      </c>
      <c r="F31" s="182">
        <f>D31-E31</f>
        <v>80600.339999999851</v>
      </c>
      <c r="G31" s="251"/>
    </row>
    <row r="32" spans="2:8" x14ac:dyDescent="0.5">
      <c r="B32" s="252"/>
      <c r="C32" s="185" t="s">
        <v>26</v>
      </c>
      <c r="D32" s="183">
        <v>5697231.6399999997</v>
      </c>
      <c r="E32" s="183">
        <v>5701022.0300000003</v>
      </c>
      <c r="F32" s="183">
        <f t="shared" ref="F32:F40" si="1">D32-E32</f>
        <v>-3790.390000000596</v>
      </c>
      <c r="G32" s="251"/>
    </row>
    <row r="33" spans="2:8" x14ac:dyDescent="0.5">
      <c r="B33" s="252"/>
      <c r="C33" s="185" t="s">
        <v>28</v>
      </c>
      <c r="D33" s="183">
        <v>610069.30000000005</v>
      </c>
      <c r="E33" s="183">
        <v>665533.44999999995</v>
      </c>
      <c r="F33" s="183">
        <f t="shared" si="1"/>
        <v>-55464.149999999907</v>
      </c>
      <c r="G33" s="251"/>
    </row>
    <row r="34" spans="2:8" x14ac:dyDescent="0.5">
      <c r="B34" s="252"/>
      <c r="C34" s="185" t="s">
        <v>68</v>
      </c>
      <c r="D34" s="183">
        <v>142638.32</v>
      </c>
      <c r="E34" s="183">
        <v>174353.34</v>
      </c>
      <c r="F34" s="183">
        <f t="shared" si="1"/>
        <v>-31715.01999999999</v>
      </c>
      <c r="G34" s="251"/>
    </row>
    <row r="35" spans="2:8" x14ac:dyDescent="0.5">
      <c r="B35" s="252"/>
      <c r="C35" s="185" t="s">
        <v>69</v>
      </c>
      <c r="D35" s="183">
        <v>2533849.4900000002</v>
      </c>
      <c r="E35" s="183">
        <v>2529422.67</v>
      </c>
      <c r="F35" s="183">
        <f t="shared" si="1"/>
        <v>4426.820000000298</v>
      </c>
      <c r="G35" s="251"/>
    </row>
    <row r="36" spans="2:8" x14ac:dyDescent="0.5">
      <c r="B36" s="252"/>
      <c r="C36" s="185" t="s">
        <v>1079</v>
      </c>
      <c r="D36" s="183">
        <v>357198.33</v>
      </c>
      <c r="E36" s="183">
        <v>0</v>
      </c>
      <c r="F36" s="183">
        <f t="shared" si="1"/>
        <v>357198.33</v>
      </c>
      <c r="G36" s="251"/>
    </row>
    <row r="37" spans="2:8" x14ac:dyDescent="0.5">
      <c r="B37" s="252"/>
      <c r="C37" s="185" t="s">
        <v>98</v>
      </c>
      <c r="D37" s="183">
        <v>582706.63</v>
      </c>
      <c r="E37" s="183">
        <v>716723.22</v>
      </c>
      <c r="F37" s="183">
        <f t="shared" si="1"/>
        <v>-134016.58999999997</v>
      </c>
      <c r="G37" s="251"/>
    </row>
    <row r="38" spans="2:8" x14ac:dyDescent="0.5">
      <c r="B38" s="252"/>
      <c r="C38" s="185" t="s">
        <v>1080</v>
      </c>
      <c r="D38" s="183">
        <v>4820499.16</v>
      </c>
      <c r="E38" s="183">
        <v>0</v>
      </c>
      <c r="F38" s="183">
        <f t="shared" si="1"/>
        <v>4820499.16</v>
      </c>
      <c r="G38" s="251"/>
    </row>
    <row r="39" spans="2:8" x14ac:dyDescent="0.5">
      <c r="B39" s="252"/>
      <c r="C39" s="185" t="s">
        <v>91</v>
      </c>
      <c r="D39" s="183">
        <v>477900.15</v>
      </c>
      <c r="E39" s="183">
        <v>325510.7</v>
      </c>
      <c r="F39" s="183">
        <f t="shared" si="1"/>
        <v>152389.45000000001</v>
      </c>
      <c r="G39" s="251"/>
    </row>
    <row r="40" spans="2:8" x14ac:dyDescent="0.5">
      <c r="B40" s="252"/>
      <c r="C40" s="185" t="s">
        <v>1081</v>
      </c>
      <c r="D40" s="183">
        <v>-4712255.1900000004</v>
      </c>
      <c r="E40" s="183">
        <v>0</v>
      </c>
      <c r="F40" s="183">
        <f t="shared" si="1"/>
        <v>-4712255.1900000004</v>
      </c>
      <c r="G40" s="251"/>
    </row>
    <row r="41" spans="2:8" x14ac:dyDescent="0.5">
      <c r="B41" s="252"/>
      <c r="C41" s="185"/>
      <c r="D41" s="187"/>
      <c r="E41" s="187"/>
      <c r="F41" s="187"/>
      <c r="G41" s="251"/>
    </row>
    <row r="42" spans="2:8" ht="14.7" thickBot="1" x14ac:dyDescent="0.6">
      <c r="B42" s="252"/>
      <c r="C42" s="292" t="s">
        <v>1127</v>
      </c>
      <c r="D42" s="293"/>
      <c r="E42" s="293"/>
      <c r="F42" s="223">
        <f>SUM(F31:F41)</f>
        <v>477872.75999999978</v>
      </c>
      <c r="G42" s="251"/>
      <c r="H42" s="259" t="s">
        <v>1141</v>
      </c>
    </row>
    <row r="43" spans="2:8" x14ac:dyDescent="0.5">
      <c r="B43" s="252"/>
      <c r="C43" s="234"/>
      <c r="D43" s="234"/>
      <c r="E43" s="234"/>
      <c r="F43" s="234"/>
      <c r="G43" s="251"/>
    </row>
    <row r="44" spans="2:8" x14ac:dyDescent="0.5">
      <c r="B44" s="252"/>
      <c r="C44" s="234"/>
      <c r="D44" s="234"/>
      <c r="E44" s="234"/>
      <c r="F44" s="234"/>
      <c r="G44" s="251"/>
    </row>
    <row r="45" spans="2:8" x14ac:dyDescent="0.5">
      <c r="B45" s="250" t="s">
        <v>1132</v>
      </c>
      <c r="C45" s="234"/>
      <c r="D45" s="234"/>
      <c r="E45" s="234"/>
      <c r="F45" s="234"/>
      <c r="G45" s="251"/>
    </row>
    <row r="46" spans="2:8" x14ac:dyDescent="0.5">
      <c r="B46" s="252"/>
      <c r="C46" s="253" t="s">
        <v>1116</v>
      </c>
      <c r="D46" s="234"/>
      <c r="E46" s="234"/>
      <c r="F46" s="234"/>
      <c r="G46" s="251"/>
    </row>
    <row r="47" spans="2:8" x14ac:dyDescent="0.5">
      <c r="B47" s="252"/>
      <c r="C47" s="232" t="s">
        <v>1175</v>
      </c>
      <c r="D47" s="233" t="s">
        <v>1094</v>
      </c>
      <c r="E47" s="233" t="s">
        <v>21</v>
      </c>
      <c r="F47" s="233" t="s">
        <v>22</v>
      </c>
      <c r="G47" s="251"/>
    </row>
    <row r="48" spans="2:8" ht="13.2" thickBot="1" x14ac:dyDescent="0.55000000000000004">
      <c r="B48" s="252"/>
      <c r="C48" s="236" t="s">
        <v>977</v>
      </c>
      <c r="D48" s="244">
        <v>23963756.269999996</v>
      </c>
      <c r="E48" s="244">
        <v>23869422.520000003</v>
      </c>
      <c r="F48" s="237">
        <f>D48-E48</f>
        <v>94333.749999992549</v>
      </c>
      <c r="G48" s="251"/>
      <c r="H48" s="263"/>
    </row>
    <row r="49" spans="2:8" ht="13.2" thickTop="1" x14ac:dyDescent="0.5">
      <c r="B49" s="252"/>
      <c r="C49" s="234"/>
      <c r="D49" s="234"/>
      <c r="E49" s="234"/>
      <c r="F49" s="234"/>
      <c r="G49" s="251"/>
    </row>
    <row r="50" spans="2:8" ht="14.7" thickBot="1" x14ac:dyDescent="0.6">
      <c r="B50" s="252"/>
      <c r="C50" s="292" t="s">
        <v>1131</v>
      </c>
      <c r="D50" s="293"/>
      <c r="E50" s="293"/>
      <c r="F50" s="223">
        <f>SUM(F48)</f>
        <v>94333.749999992549</v>
      </c>
      <c r="G50" s="251"/>
      <c r="H50" s="259" t="s">
        <v>1145</v>
      </c>
    </row>
    <row r="51" spans="2:8" x14ac:dyDescent="0.5">
      <c r="B51" s="252"/>
      <c r="C51" s="234"/>
      <c r="D51" s="234"/>
      <c r="E51" s="234"/>
      <c r="F51" s="234"/>
      <c r="G51" s="251"/>
    </row>
    <row r="52" spans="2:8" x14ac:dyDescent="0.5">
      <c r="B52" s="252"/>
      <c r="C52" s="234"/>
      <c r="D52" s="234"/>
      <c r="E52" s="234"/>
      <c r="F52" s="234"/>
      <c r="G52" s="251"/>
    </row>
    <row r="53" spans="2:8" x14ac:dyDescent="0.5">
      <c r="B53" s="252"/>
      <c r="C53" s="234"/>
      <c r="D53" s="234"/>
      <c r="E53" s="234"/>
      <c r="F53" s="234"/>
      <c r="G53" s="251"/>
    </row>
    <row r="54" spans="2:8" s="228" customFormat="1" ht="15" customHeight="1" thickBot="1" x14ac:dyDescent="0.65">
      <c r="B54" s="298" t="s">
        <v>1136</v>
      </c>
      <c r="C54" s="299"/>
      <c r="D54" s="299"/>
      <c r="E54" s="299"/>
      <c r="F54" s="299"/>
      <c r="G54" s="258">
        <f>SUM(G25,F42,F50)</f>
        <v>1169777.169999992</v>
      </c>
    </row>
    <row r="59" spans="2:8" ht="13.2" thickBot="1" x14ac:dyDescent="0.55000000000000004"/>
    <row r="60" spans="2:8" ht="17.100000000000001" thickBot="1" x14ac:dyDescent="0.55000000000000004">
      <c r="B60" s="295" t="s">
        <v>106</v>
      </c>
      <c r="C60" s="296"/>
      <c r="D60" s="296"/>
      <c r="E60" s="296"/>
      <c r="F60" s="296"/>
      <c r="G60" s="297"/>
    </row>
    <row r="61" spans="2:8" x14ac:dyDescent="0.5">
      <c r="B61" s="250" t="s">
        <v>1121</v>
      </c>
      <c r="C61" s="234"/>
      <c r="D61" s="234"/>
      <c r="E61" s="234"/>
      <c r="F61" s="234"/>
      <c r="G61" s="251"/>
    </row>
    <row r="62" spans="2:8" x14ac:dyDescent="0.5">
      <c r="B62" s="250"/>
      <c r="C62" s="253" t="s">
        <v>1116</v>
      </c>
      <c r="D62" s="234"/>
      <c r="E62" s="234"/>
      <c r="F62" s="234"/>
      <c r="G62" s="251"/>
    </row>
    <row r="63" spans="2:8" x14ac:dyDescent="0.5">
      <c r="B63" s="252"/>
      <c r="C63" s="232" t="s">
        <v>1175</v>
      </c>
      <c r="D63" s="233" t="s">
        <v>1094</v>
      </c>
      <c r="E63" s="233" t="s">
        <v>21</v>
      </c>
      <c r="F63" s="233" t="s">
        <v>22</v>
      </c>
      <c r="G63" s="251"/>
    </row>
    <row r="64" spans="2:8" ht="14.7" thickBot="1" x14ac:dyDescent="0.6">
      <c r="B64" s="252"/>
      <c r="C64" s="238" t="s">
        <v>1133</v>
      </c>
      <c r="D64" s="245">
        <v>18815531.819999993</v>
      </c>
      <c r="E64" s="245">
        <v>18830146.879999999</v>
      </c>
      <c r="F64" s="239">
        <f t="shared" ref="F64" si="2">D64-E64</f>
        <v>-14615.060000006109</v>
      </c>
      <c r="G64" s="251"/>
      <c r="H64" s="259"/>
    </row>
    <row r="65" spans="2:7" ht="13.2" thickTop="1" x14ac:dyDescent="0.5">
      <c r="B65" s="252"/>
      <c r="C65" s="229"/>
      <c r="D65" s="230"/>
      <c r="E65" s="230"/>
      <c r="F65" s="231"/>
      <c r="G65" s="251"/>
    </row>
    <row r="66" spans="2:7" x14ac:dyDescent="0.5">
      <c r="B66" s="252"/>
      <c r="C66" s="229"/>
      <c r="D66" s="230"/>
      <c r="E66" s="230"/>
      <c r="F66" s="231"/>
      <c r="G66" s="251"/>
    </row>
    <row r="67" spans="2:7" x14ac:dyDescent="0.5">
      <c r="B67" s="252"/>
      <c r="C67" s="253" t="s">
        <v>1093</v>
      </c>
      <c r="D67" s="230"/>
      <c r="E67" s="230"/>
      <c r="F67" s="231"/>
      <c r="G67" s="251"/>
    </row>
    <row r="68" spans="2:7" ht="25.8" x14ac:dyDescent="0.5">
      <c r="B68" s="252"/>
      <c r="C68" s="181" t="s">
        <v>1061</v>
      </c>
      <c r="D68" s="181" t="s">
        <v>1084</v>
      </c>
      <c r="E68" s="181" t="s">
        <v>1088</v>
      </c>
      <c r="F68" s="181" t="s">
        <v>1086</v>
      </c>
      <c r="G68" s="251"/>
    </row>
    <row r="69" spans="2:7" x14ac:dyDescent="0.5">
      <c r="B69" s="252"/>
      <c r="C69" s="189" t="s">
        <v>1090</v>
      </c>
      <c r="D69" s="182"/>
      <c r="E69" s="182"/>
      <c r="F69" s="182"/>
      <c r="G69" s="251"/>
    </row>
    <row r="70" spans="2:7" x14ac:dyDescent="0.5">
      <c r="B70" s="252"/>
      <c r="C70" s="185" t="s">
        <v>34</v>
      </c>
      <c r="D70" s="183">
        <v>5859806.8399999999</v>
      </c>
      <c r="E70" s="183">
        <v>6126249.4500000002</v>
      </c>
      <c r="F70" s="183">
        <f>D70-E70</f>
        <v>-266442.61000000034</v>
      </c>
      <c r="G70" s="251"/>
    </row>
    <row r="71" spans="2:7" x14ac:dyDescent="0.5">
      <c r="B71" s="252"/>
      <c r="C71" s="185" t="s">
        <v>1082</v>
      </c>
      <c r="D71" s="183">
        <v>291050.96999999997</v>
      </c>
      <c r="E71" s="183">
        <v>0</v>
      </c>
      <c r="F71" s="183">
        <f t="shared" ref="F71:F73" si="3">D71-E71</f>
        <v>291050.96999999997</v>
      </c>
      <c r="G71" s="251"/>
    </row>
    <row r="72" spans="2:7" x14ac:dyDescent="0.5">
      <c r="B72" s="252"/>
      <c r="C72" s="185" t="s">
        <v>74</v>
      </c>
      <c r="D72" s="183">
        <v>0</v>
      </c>
      <c r="E72" s="183">
        <v>1199162.6399999999</v>
      </c>
      <c r="F72" s="183">
        <f t="shared" si="3"/>
        <v>-1199162.6399999999</v>
      </c>
      <c r="G72" s="251"/>
    </row>
    <row r="73" spans="2:7" x14ac:dyDescent="0.5">
      <c r="B73" s="252"/>
      <c r="C73" s="185" t="s">
        <v>30</v>
      </c>
      <c r="D73" s="183">
        <v>2067526.26</v>
      </c>
      <c r="E73" s="183">
        <v>2433339.77</v>
      </c>
      <c r="F73" s="183">
        <f t="shared" si="3"/>
        <v>-365813.51</v>
      </c>
      <c r="G73" s="251"/>
    </row>
    <row r="74" spans="2:7" x14ac:dyDescent="0.5">
      <c r="B74" s="252"/>
      <c r="C74" s="190" t="s">
        <v>75</v>
      </c>
      <c r="D74" s="183"/>
      <c r="E74" s="183"/>
      <c r="F74" s="183"/>
      <c r="G74" s="251"/>
    </row>
    <row r="75" spans="2:7" x14ac:dyDescent="0.5">
      <c r="B75" s="252"/>
      <c r="C75" s="185" t="s">
        <v>34</v>
      </c>
      <c r="D75" s="183">
        <v>660038.94999999995</v>
      </c>
      <c r="E75" s="183">
        <v>678217.47</v>
      </c>
      <c r="F75" s="183">
        <f t="shared" ref="F75:F78" si="4">D75-E75</f>
        <v>-18178.520000000019</v>
      </c>
      <c r="G75" s="251"/>
    </row>
    <row r="76" spans="2:7" x14ac:dyDescent="0.5">
      <c r="B76" s="252"/>
      <c r="C76" s="185" t="s">
        <v>74</v>
      </c>
      <c r="D76" s="183">
        <v>2880004.84</v>
      </c>
      <c r="E76" s="183">
        <v>1315502.18</v>
      </c>
      <c r="F76" s="183">
        <f t="shared" si="4"/>
        <v>1564502.66</v>
      </c>
      <c r="G76" s="251"/>
    </row>
    <row r="77" spans="2:7" x14ac:dyDescent="0.5">
      <c r="B77" s="252"/>
      <c r="C77" s="185" t="s">
        <v>1083</v>
      </c>
      <c r="D77" s="183">
        <v>238257.37</v>
      </c>
      <c r="E77" s="183">
        <v>0</v>
      </c>
      <c r="F77" s="183">
        <f t="shared" si="4"/>
        <v>238257.37</v>
      </c>
      <c r="G77" s="251"/>
    </row>
    <row r="78" spans="2:7" x14ac:dyDescent="0.5">
      <c r="B78" s="252"/>
      <c r="C78" s="185" t="s">
        <v>1139</v>
      </c>
      <c r="D78" s="183">
        <v>0</v>
      </c>
      <c r="E78" s="183">
        <v>241283.37</v>
      </c>
      <c r="F78" s="183">
        <f t="shared" si="4"/>
        <v>-241283.37</v>
      </c>
      <c r="G78" s="251"/>
    </row>
    <row r="79" spans="2:7" x14ac:dyDescent="0.5">
      <c r="B79" s="252"/>
      <c r="C79" s="185"/>
      <c r="D79" s="183"/>
      <c r="E79" s="183"/>
      <c r="F79" s="183"/>
      <c r="G79" s="251"/>
    </row>
    <row r="80" spans="2:7" ht="15.9" thickBot="1" x14ac:dyDescent="0.65">
      <c r="B80" s="252"/>
      <c r="C80" s="186"/>
      <c r="D80" s="300" t="s">
        <v>1092</v>
      </c>
      <c r="E80" s="301"/>
      <c r="F80" s="188">
        <f>SUM(F70:F79)</f>
        <v>2930.3499999996275</v>
      </c>
      <c r="G80" s="251"/>
    </row>
    <row r="81" spans="2:8" ht="13.2" thickTop="1" x14ac:dyDescent="0.5">
      <c r="B81" s="252"/>
      <c r="C81" s="190" t="s">
        <v>1091</v>
      </c>
      <c r="D81" s="183"/>
      <c r="E81" s="183"/>
      <c r="F81" s="183"/>
      <c r="G81" s="251"/>
    </row>
    <row r="82" spans="2:8" ht="14.4" x14ac:dyDescent="0.55000000000000004">
      <c r="B82" s="252"/>
      <c r="C82" s="185" t="s">
        <v>101</v>
      </c>
      <c r="D82" s="183">
        <v>0</v>
      </c>
      <c r="E82" s="183">
        <v>-597570.66</v>
      </c>
      <c r="F82" s="183">
        <f t="shared" ref="F82" si="5">D82-E82</f>
        <v>597570.66</v>
      </c>
      <c r="G82" s="251"/>
      <c r="H82" s="259"/>
    </row>
    <row r="83" spans="2:8" x14ac:dyDescent="0.5">
      <c r="B83" s="252"/>
      <c r="C83" s="186"/>
      <c r="D83" s="194"/>
      <c r="E83" s="194"/>
      <c r="F83" s="194"/>
      <c r="G83" s="251"/>
    </row>
    <row r="84" spans="2:8" x14ac:dyDescent="0.5">
      <c r="B84" s="252"/>
      <c r="C84" s="229"/>
      <c r="D84" s="230"/>
      <c r="E84" s="230"/>
      <c r="F84" s="231"/>
      <c r="G84" s="251"/>
    </row>
    <row r="85" spans="2:8" x14ac:dyDescent="0.5">
      <c r="B85" s="252"/>
      <c r="C85" s="229"/>
      <c r="D85" s="230"/>
      <c r="E85" s="230"/>
      <c r="F85" s="231"/>
      <c r="G85" s="251"/>
    </row>
    <row r="86" spans="2:8" ht="14.7" thickBot="1" x14ac:dyDescent="0.6">
      <c r="B86" s="252"/>
      <c r="C86" s="294" t="s">
        <v>1124</v>
      </c>
      <c r="D86" s="294"/>
      <c r="E86" s="294"/>
      <c r="F86" s="260">
        <f>SUM(F64,F80)</f>
        <v>-11684.710000006482</v>
      </c>
      <c r="G86" s="251"/>
      <c r="H86" s="259" t="s">
        <v>1140</v>
      </c>
    </row>
    <row r="87" spans="2:8" ht="13.2" thickTop="1" x14ac:dyDescent="0.5">
      <c r="B87" s="252"/>
      <c r="C87" s="229"/>
      <c r="D87" s="230"/>
      <c r="E87" s="230"/>
      <c r="F87" s="231"/>
      <c r="G87" s="251"/>
    </row>
    <row r="88" spans="2:8" x14ac:dyDescent="0.5">
      <c r="B88" s="252"/>
      <c r="C88" s="229"/>
      <c r="D88" s="230"/>
      <c r="E88" s="230"/>
      <c r="F88" s="231"/>
      <c r="G88" s="251"/>
    </row>
    <row r="89" spans="2:8" x14ac:dyDescent="0.5">
      <c r="B89" s="250" t="s">
        <v>1137</v>
      </c>
      <c r="C89" s="234"/>
      <c r="D89" s="234"/>
      <c r="E89" s="234"/>
      <c r="F89" s="234"/>
      <c r="G89" s="251"/>
    </row>
    <row r="90" spans="2:8" x14ac:dyDescent="0.5">
      <c r="B90" s="250"/>
      <c r="C90" s="253" t="s">
        <v>1116</v>
      </c>
      <c r="D90" s="234"/>
      <c r="E90" s="234"/>
      <c r="F90" s="234"/>
      <c r="G90" s="251"/>
    </row>
    <row r="91" spans="2:8" x14ac:dyDescent="0.5">
      <c r="B91" s="252"/>
      <c r="C91" s="232" t="s">
        <v>1175</v>
      </c>
      <c r="D91" s="233" t="s">
        <v>1094</v>
      </c>
      <c r="E91" s="233" t="s">
        <v>21</v>
      </c>
      <c r="F91" s="233" t="s">
        <v>22</v>
      </c>
      <c r="G91" s="251"/>
    </row>
    <row r="92" spans="2:8" ht="13.2" thickBot="1" x14ac:dyDescent="0.55000000000000004">
      <c r="B92" s="252"/>
      <c r="C92" s="238" t="s">
        <v>1133</v>
      </c>
      <c r="D92" s="245">
        <v>18448655.809999995</v>
      </c>
      <c r="E92" s="245">
        <v>18439601.800000001</v>
      </c>
      <c r="F92" s="239">
        <f>D92-E92</f>
        <v>9054.0099999941885</v>
      </c>
      <c r="G92" s="251"/>
    </row>
    <row r="93" spans="2:8" ht="13.2" thickTop="1" x14ac:dyDescent="0.5">
      <c r="B93" s="252"/>
      <c r="C93" s="229"/>
      <c r="D93" s="230"/>
      <c r="E93" s="230"/>
      <c r="F93" s="231"/>
      <c r="G93" s="251"/>
    </row>
    <row r="94" spans="2:8" x14ac:dyDescent="0.5">
      <c r="B94" s="252"/>
      <c r="C94" s="253" t="s">
        <v>1093</v>
      </c>
      <c r="D94" s="230"/>
      <c r="E94" s="230"/>
      <c r="F94" s="231"/>
      <c r="G94" s="251"/>
    </row>
    <row r="95" spans="2:8" ht="25.8" x14ac:dyDescent="0.5">
      <c r="B95" s="252"/>
      <c r="C95" s="181" t="s">
        <v>1061</v>
      </c>
      <c r="D95" s="181" t="s">
        <v>1087</v>
      </c>
      <c r="E95" s="181" t="s">
        <v>1085</v>
      </c>
      <c r="F95" s="181" t="s">
        <v>1086</v>
      </c>
      <c r="G95" s="251"/>
    </row>
    <row r="96" spans="2:8" x14ac:dyDescent="0.5">
      <c r="B96" s="252"/>
      <c r="C96" s="189" t="s">
        <v>1090</v>
      </c>
      <c r="D96" s="182"/>
      <c r="E96" s="182"/>
      <c r="F96" s="182"/>
      <c r="G96" s="251"/>
    </row>
    <row r="97" spans="2:8" x14ac:dyDescent="0.5">
      <c r="B97" s="252"/>
      <c r="C97" s="185" t="s">
        <v>34</v>
      </c>
      <c r="D97" s="183">
        <v>5477127.5899999999</v>
      </c>
      <c r="E97" s="183">
        <v>5614771.75</v>
      </c>
      <c r="F97" s="183">
        <f>D97-E97</f>
        <v>-137644.16000000015</v>
      </c>
      <c r="G97" s="251"/>
    </row>
    <row r="98" spans="2:8" x14ac:dyDescent="0.5">
      <c r="B98" s="252"/>
      <c r="C98" s="185" t="s">
        <v>1082</v>
      </c>
      <c r="D98" s="183">
        <v>162339.5</v>
      </c>
      <c r="E98" s="183">
        <v>0</v>
      </c>
      <c r="F98" s="183">
        <f t="shared" ref="F98:F100" si="6">D98-E98</f>
        <v>162339.5</v>
      </c>
      <c r="G98" s="251"/>
    </row>
    <row r="99" spans="2:8" x14ac:dyDescent="0.5">
      <c r="B99" s="252"/>
      <c r="C99" s="185" t="s">
        <v>74</v>
      </c>
      <c r="D99" s="183">
        <v>0</v>
      </c>
      <c r="E99" s="183">
        <v>1227056.06</v>
      </c>
      <c r="F99" s="183">
        <f t="shared" si="6"/>
        <v>-1227056.06</v>
      </c>
      <c r="G99" s="251"/>
    </row>
    <row r="100" spans="2:8" x14ac:dyDescent="0.5">
      <c r="B100" s="252"/>
      <c r="C100" s="185" t="s">
        <v>30</v>
      </c>
      <c r="D100" s="183">
        <v>2140968.04</v>
      </c>
      <c r="E100" s="183">
        <v>2522340.2400000002</v>
      </c>
      <c r="F100" s="183">
        <f t="shared" si="6"/>
        <v>-381372.20000000019</v>
      </c>
      <c r="G100" s="251"/>
    </row>
    <row r="101" spans="2:8" x14ac:dyDescent="0.5">
      <c r="B101" s="252"/>
      <c r="C101" s="190" t="s">
        <v>75</v>
      </c>
      <c r="D101" s="183"/>
      <c r="E101" s="183"/>
      <c r="F101" s="183"/>
      <c r="G101" s="251"/>
    </row>
    <row r="102" spans="2:8" x14ac:dyDescent="0.5">
      <c r="B102" s="252"/>
      <c r="C102" s="185" t="s">
        <v>34</v>
      </c>
      <c r="D102" s="183">
        <v>646585.56000000006</v>
      </c>
      <c r="E102" s="183">
        <v>663412.72</v>
      </c>
      <c r="F102" s="183">
        <f t="shared" ref="F102:F104" si="7">D102-E102</f>
        <v>-16827.159999999916</v>
      </c>
      <c r="G102" s="251"/>
    </row>
    <row r="103" spans="2:8" ht="14.4" x14ac:dyDescent="0.55000000000000004">
      <c r="B103" s="252"/>
      <c r="C103" s="185" t="s">
        <v>74</v>
      </c>
      <c r="D103" s="183">
        <v>2853668.5000000005</v>
      </c>
      <c r="E103" s="183">
        <v>1244089.9099999999</v>
      </c>
      <c r="F103" s="183">
        <f t="shared" si="7"/>
        <v>1609578.5900000005</v>
      </c>
      <c r="G103" s="251"/>
      <c r="H103" s="259"/>
    </row>
    <row r="104" spans="2:8" x14ac:dyDescent="0.5">
      <c r="B104" s="252"/>
      <c r="C104" s="185" t="s">
        <v>1083</v>
      </c>
      <c r="D104" s="183">
        <v>236010.87</v>
      </c>
      <c r="E104" s="183">
        <v>239188.22</v>
      </c>
      <c r="F104" s="183">
        <f t="shared" si="7"/>
        <v>-3177.3500000000058</v>
      </c>
      <c r="G104" s="251"/>
    </row>
    <row r="105" spans="2:8" x14ac:dyDescent="0.5">
      <c r="B105" s="252"/>
      <c r="C105" s="185"/>
      <c r="D105" s="183"/>
      <c r="E105" s="183"/>
      <c r="F105" s="183"/>
      <c r="G105" s="251"/>
    </row>
    <row r="106" spans="2:8" ht="15.9" thickBot="1" x14ac:dyDescent="0.65">
      <c r="B106" s="252"/>
      <c r="C106" s="186"/>
      <c r="D106" s="300" t="s">
        <v>1092</v>
      </c>
      <c r="E106" s="301"/>
      <c r="F106" s="188">
        <f>SUM(F97:F105)</f>
        <v>5841.1600000002363</v>
      </c>
      <c r="G106" s="251"/>
    </row>
    <row r="107" spans="2:8" ht="13.2" thickTop="1" x14ac:dyDescent="0.5">
      <c r="B107" s="252"/>
      <c r="C107" s="190" t="s">
        <v>1091</v>
      </c>
      <c r="D107" s="183"/>
      <c r="E107" s="183"/>
      <c r="F107" s="183"/>
      <c r="G107" s="251"/>
    </row>
    <row r="108" spans="2:8" x14ac:dyDescent="0.5">
      <c r="B108" s="252"/>
      <c r="C108" s="185" t="s">
        <v>101</v>
      </c>
      <c r="D108" s="183">
        <v>0</v>
      </c>
      <c r="E108" s="183">
        <v>-477872.76</v>
      </c>
      <c r="F108" s="183">
        <f t="shared" ref="F108" si="8">D108-E108</f>
        <v>477872.76</v>
      </c>
      <c r="G108" s="251"/>
    </row>
    <row r="109" spans="2:8" x14ac:dyDescent="0.5">
      <c r="B109" s="252"/>
      <c r="C109" s="186"/>
      <c r="D109" s="194"/>
      <c r="E109" s="194"/>
      <c r="F109" s="194"/>
      <c r="G109" s="251"/>
    </row>
    <row r="110" spans="2:8" x14ac:dyDescent="0.5">
      <c r="B110" s="252"/>
      <c r="C110" s="234"/>
      <c r="D110" s="235"/>
      <c r="E110" s="235"/>
      <c r="F110" s="235"/>
      <c r="G110" s="251"/>
    </row>
    <row r="111" spans="2:8" ht="14.7" thickBot="1" x14ac:dyDescent="0.6">
      <c r="B111" s="252"/>
      <c r="C111" s="294" t="s">
        <v>1128</v>
      </c>
      <c r="D111" s="294"/>
      <c r="E111" s="294"/>
      <c r="F111" s="260">
        <f>SUM(F92,F106)</f>
        <v>14895.169999994425</v>
      </c>
      <c r="G111" s="251"/>
      <c r="H111" s="259" t="s">
        <v>1141</v>
      </c>
    </row>
    <row r="112" spans="2:8" ht="13.2" thickTop="1" x14ac:dyDescent="0.5">
      <c r="B112" s="252"/>
      <c r="C112" s="234"/>
      <c r="D112" s="235"/>
      <c r="E112" s="235"/>
      <c r="F112" s="235"/>
      <c r="G112" s="251"/>
    </row>
    <row r="113" spans="2:8" x14ac:dyDescent="0.5">
      <c r="B113" s="252"/>
      <c r="C113" s="234"/>
      <c r="D113" s="235"/>
      <c r="E113" s="235"/>
      <c r="F113" s="235"/>
      <c r="G113" s="251"/>
    </row>
    <row r="114" spans="2:8" x14ac:dyDescent="0.5">
      <c r="B114" s="250" t="s">
        <v>1132</v>
      </c>
      <c r="C114" s="234"/>
      <c r="D114" s="234"/>
      <c r="E114" s="234"/>
      <c r="F114" s="234"/>
      <c r="G114" s="251"/>
    </row>
    <row r="115" spans="2:8" x14ac:dyDescent="0.5">
      <c r="B115" s="252"/>
      <c r="C115" s="253" t="s">
        <v>1116</v>
      </c>
      <c r="D115" s="234"/>
      <c r="E115" s="234"/>
      <c r="F115" s="234"/>
      <c r="G115" s="251"/>
    </row>
    <row r="116" spans="2:8" x14ac:dyDescent="0.5">
      <c r="B116" s="252"/>
      <c r="C116" s="232" t="s">
        <v>1175</v>
      </c>
      <c r="D116" s="233" t="s">
        <v>1094</v>
      </c>
      <c r="E116" s="233" t="s">
        <v>21</v>
      </c>
      <c r="F116" s="233" t="s">
        <v>22</v>
      </c>
      <c r="G116" s="251"/>
    </row>
    <row r="117" spans="2:8" ht="14.7" thickBot="1" x14ac:dyDescent="0.6">
      <c r="B117" s="252"/>
      <c r="C117" s="238" t="s">
        <v>1133</v>
      </c>
      <c r="D117" s="245">
        <v>19635766.879999999</v>
      </c>
      <c r="E117" s="245">
        <v>19630809.840000004</v>
      </c>
      <c r="F117" s="239">
        <f t="shared" ref="F117" si="9">D117-E117</f>
        <v>4957.0399999953806</v>
      </c>
      <c r="G117" s="251"/>
      <c r="H117" s="259" t="s">
        <v>1145</v>
      </c>
    </row>
    <row r="118" spans="2:8" ht="13.2" thickTop="1" x14ac:dyDescent="0.5">
      <c r="B118" s="252"/>
      <c r="C118" s="240"/>
      <c r="D118" s="246"/>
      <c r="E118" s="246"/>
      <c r="F118" s="241"/>
      <c r="G118" s="251"/>
    </row>
    <row r="119" spans="2:8" x14ac:dyDescent="0.5">
      <c r="B119" s="252"/>
      <c r="C119" s="242" t="s">
        <v>1091</v>
      </c>
      <c r="D119" s="246"/>
      <c r="E119" s="246"/>
      <c r="F119" s="241"/>
      <c r="G119" s="251"/>
    </row>
    <row r="120" spans="2:8" x14ac:dyDescent="0.5">
      <c r="B120" s="252"/>
      <c r="C120" s="240" t="s">
        <v>447</v>
      </c>
      <c r="D120" s="246">
        <v>140693.68</v>
      </c>
      <c r="E120" s="246">
        <v>48163.12</v>
      </c>
      <c r="F120" s="241">
        <f t="shared" ref="F120:F121" si="10">D120-E120</f>
        <v>92530.559999999998</v>
      </c>
      <c r="G120" s="251"/>
    </row>
    <row r="121" spans="2:8" x14ac:dyDescent="0.5">
      <c r="B121" s="252"/>
      <c r="C121" s="240" t="s">
        <v>452</v>
      </c>
      <c r="D121" s="246">
        <v>0</v>
      </c>
      <c r="E121" s="246">
        <v>-1803.1899999999998</v>
      </c>
      <c r="F121" s="241">
        <f t="shared" si="10"/>
        <v>1803.1899999999998</v>
      </c>
      <c r="G121" s="251"/>
    </row>
    <row r="122" spans="2:8" ht="13.2" thickBot="1" x14ac:dyDescent="0.55000000000000004">
      <c r="B122" s="252"/>
      <c r="C122" s="243" t="s">
        <v>1135</v>
      </c>
      <c r="D122" s="244"/>
      <c r="E122" s="244"/>
      <c r="F122" s="237">
        <f>SUM(F120:F121)</f>
        <v>94333.75</v>
      </c>
      <c r="G122" s="251"/>
    </row>
    <row r="123" spans="2:8" ht="13.2" thickTop="1" x14ac:dyDescent="0.5">
      <c r="B123" s="252"/>
      <c r="C123" s="240"/>
      <c r="D123" s="246"/>
      <c r="E123" s="246"/>
      <c r="F123" s="241"/>
      <c r="G123" s="251"/>
    </row>
    <row r="124" spans="2:8" ht="13.2" thickBot="1" x14ac:dyDescent="0.55000000000000004">
      <c r="B124" s="252"/>
      <c r="C124" s="248" t="s">
        <v>1134</v>
      </c>
      <c r="D124" s="249">
        <v>-391373.14000000432</v>
      </c>
      <c r="E124" s="249">
        <v>-386416.10000000009</v>
      </c>
      <c r="F124" s="247">
        <f>D124-E124</f>
        <v>-4957.0400000042282</v>
      </c>
      <c r="G124" s="251"/>
    </row>
    <row r="125" spans="2:8" x14ac:dyDescent="0.5">
      <c r="B125" s="252"/>
      <c r="C125" s="234"/>
      <c r="D125" s="235"/>
      <c r="E125" s="235"/>
      <c r="F125" s="235"/>
      <c r="G125" s="251"/>
    </row>
    <row r="126" spans="2:8" x14ac:dyDescent="0.5">
      <c r="B126" s="252"/>
      <c r="C126" s="234"/>
      <c r="D126" s="235"/>
      <c r="E126" s="235"/>
      <c r="F126" s="235"/>
      <c r="G126" s="251"/>
    </row>
    <row r="127" spans="2:8" x14ac:dyDescent="0.5">
      <c r="B127" s="252"/>
      <c r="C127" s="253" t="s">
        <v>1093</v>
      </c>
      <c r="D127" s="230"/>
      <c r="E127" s="230"/>
      <c r="F127" s="231"/>
      <c r="G127" s="251"/>
    </row>
    <row r="128" spans="2:8" ht="25.8" x14ac:dyDescent="0.5">
      <c r="B128" s="252"/>
      <c r="C128" s="181" t="s">
        <v>1061</v>
      </c>
      <c r="D128" s="181" t="s">
        <v>1182</v>
      </c>
      <c r="E128" s="181" t="s">
        <v>1183</v>
      </c>
      <c r="F128" s="181" t="s">
        <v>1086</v>
      </c>
      <c r="G128" s="251"/>
    </row>
    <row r="129" spans="2:7" x14ac:dyDescent="0.5">
      <c r="B129" s="252"/>
      <c r="C129" s="190" t="s">
        <v>1184</v>
      </c>
      <c r="D129" s="183"/>
      <c r="E129" s="183"/>
      <c r="F129" s="183"/>
      <c r="G129" s="251"/>
    </row>
    <row r="130" spans="2:7" x14ac:dyDescent="0.5">
      <c r="B130" s="252"/>
      <c r="C130" s="185" t="s">
        <v>74</v>
      </c>
      <c r="D130" s="183">
        <v>203743.07</v>
      </c>
      <c r="E130" s="183">
        <v>203141.6</v>
      </c>
      <c r="F130" s="183">
        <f t="shared" ref="F130" si="11">D130-E130</f>
        <v>601.47000000000116</v>
      </c>
      <c r="G130" s="251"/>
    </row>
    <row r="131" spans="2:7" x14ac:dyDescent="0.5">
      <c r="B131" s="252"/>
      <c r="C131" s="185"/>
      <c r="D131" s="183"/>
      <c r="E131" s="183"/>
      <c r="F131" s="183"/>
      <c r="G131" s="251"/>
    </row>
    <row r="132" spans="2:7" ht="15.9" thickBot="1" x14ac:dyDescent="0.65">
      <c r="B132" s="252"/>
      <c r="C132" s="186"/>
      <c r="D132" s="300" t="s">
        <v>1092</v>
      </c>
      <c r="E132" s="301"/>
      <c r="F132" s="188">
        <f>SUM(F129:F131)</f>
        <v>601.47000000000116</v>
      </c>
      <c r="G132" s="251"/>
    </row>
    <row r="133" spans="2:7" ht="13.2" thickTop="1" x14ac:dyDescent="0.5">
      <c r="B133" s="252"/>
      <c r="C133" s="234"/>
      <c r="D133" s="235"/>
      <c r="E133" s="235"/>
      <c r="F133" s="235"/>
      <c r="G133" s="251"/>
    </row>
    <row r="134" spans="2:7" x14ac:dyDescent="0.5">
      <c r="B134" s="252"/>
      <c r="C134" s="234"/>
      <c r="D134" s="235"/>
      <c r="E134" s="235"/>
      <c r="F134" s="235"/>
      <c r="G134" s="251"/>
    </row>
    <row r="135" spans="2:7" ht="14.7" thickBot="1" x14ac:dyDescent="0.6">
      <c r="B135" s="252"/>
      <c r="C135" s="294" t="s">
        <v>1130</v>
      </c>
      <c r="D135" s="294"/>
      <c r="E135" s="294"/>
      <c r="F135" s="260">
        <f>SUM(F117,F132)</f>
        <v>5558.5099999953818</v>
      </c>
      <c r="G135" s="251"/>
    </row>
    <row r="136" spans="2:7" ht="13.2" thickTop="1" x14ac:dyDescent="0.5">
      <c r="B136" s="252"/>
      <c r="C136" s="234"/>
      <c r="D136" s="235"/>
      <c r="E136" s="235"/>
      <c r="F136" s="235"/>
      <c r="G136" s="251"/>
    </row>
    <row r="137" spans="2:7" x14ac:dyDescent="0.5">
      <c r="B137" s="252"/>
      <c r="C137" s="229"/>
      <c r="D137" s="230"/>
      <c r="E137" s="230"/>
      <c r="F137" s="231"/>
      <c r="G137" s="251"/>
    </row>
    <row r="138" spans="2:7" x14ac:dyDescent="0.5">
      <c r="B138" s="252"/>
      <c r="C138" s="229"/>
      <c r="D138" s="230"/>
      <c r="E138" s="230"/>
      <c r="F138" s="231"/>
      <c r="G138" s="251"/>
    </row>
    <row r="139" spans="2:7" ht="15.9" thickBot="1" x14ac:dyDescent="0.65">
      <c r="B139" s="298" t="s">
        <v>1138</v>
      </c>
      <c r="C139" s="299"/>
      <c r="D139" s="299"/>
      <c r="E139" s="299"/>
      <c r="F139" s="299"/>
      <c r="G139" s="258">
        <f>SUM(F86,F111,F135)</f>
        <v>8768.9699999833247</v>
      </c>
    </row>
    <row r="140" spans="2:7" x14ac:dyDescent="0.5">
      <c r="B140" s="234"/>
      <c r="C140" s="229"/>
      <c r="D140" s="230"/>
      <c r="E140" s="230"/>
      <c r="F140" s="231"/>
      <c r="G140" s="234"/>
    </row>
    <row r="141" spans="2:7" x14ac:dyDescent="0.5">
      <c r="B141" s="234"/>
      <c r="C141" s="229"/>
      <c r="D141" s="230"/>
      <c r="E141" s="230"/>
      <c r="F141" s="231"/>
      <c r="G141" s="234"/>
    </row>
    <row r="142" spans="2:7" x14ac:dyDescent="0.5">
      <c r="B142" s="234"/>
      <c r="C142" s="229"/>
      <c r="D142" s="230"/>
      <c r="E142" s="230"/>
      <c r="F142" s="231"/>
      <c r="G142" s="234"/>
    </row>
    <row r="143" spans="2:7" x14ac:dyDescent="0.5">
      <c r="C143" s="191"/>
    </row>
  </sheetData>
  <mergeCells count="14">
    <mergeCell ref="B60:G60"/>
    <mergeCell ref="D80:E80"/>
    <mergeCell ref="C86:E86"/>
    <mergeCell ref="D106:E106"/>
    <mergeCell ref="B139:F139"/>
    <mergeCell ref="C111:E111"/>
    <mergeCell ref="D132:E132"/>
    <mergeCell ref="C135:E135"/>
    <mergeCell ref="C23:E23"/>
    <mergeCell ref="C25:F25"/>
    <mergeCell ref="B4:G4"/>
    <mergeCell ref="C42:E42"/>
    <mergeCell ref="B54:F54"/>
    <mergeCell ref="C50:E5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132A4-120D-469E-8BE8-A3E35B09C6C4}">
  <sheetPr>
    <tabColor rgb="FF92D050"/>
  </sheetPr>
  <dimension ref="A2:AC115"/>
  <sheetViews>
    <sheetView zoomScale="80" zoomScaleNormal="80" workbookViewId="0">
      <pane xSplit="4" topLeftCell="E1" activePane="topRight" state="frozen"/>
      <selection activeCell="E1" sqref="E1"/>
      <selection pane="topRight" activeCell="E1" sqref="E1"/>
    </sheetView>
  </sheetViews>
  <sheetFormatPr defaultColWidth="20.83984375" defaultRowHeight="14.4" x14ac:dyDescent="0.55000000000000004"/>
  <cols>
    <col min="1" max="1" width="14.578125" style="198" bestFit="1" customWidth="1"/>
    <col min="2" max="2" width="5" style="198" customWidth="1"/>
    <col min="3" max="3" width="32.41796875" style="198" bestFit="1" customWidth="1"/>
    <col min="4" max="4" width="17.68359375" style="198" bestFit="1" customWidth="1"/>
    <col min="5" max="5" width="20.578125" style="198" bestFit="1" customWidth="1"/>
    <col min="6" max="6" width="18" style="198" bestFit="1" customWidth="1"/>
    <col min="7" max="7" width="20.26171875" style="198" bestFit="1" customWidth="1"/>
    <col min="8" max="8" width="16.41796875" style="198" bestFit="1" customWidth="1"/>
    <col min="9" max="9" width="20.83984375" style="198"/>
    <col min="10" max="10" width="20.68359375" style="198" bestFit="1" customWidth="1"/>
    <col min="11" max="11" width="20.15625" style="198" bestFit="1" customWidth="1"/>
    <col min="12" max="12" width="16" style="198" bestFit="1" customWidth="1"/>
    <col min="13" max="13" width="15.68359375" style="198" bestFit="1" customWidth="1"/>
    <col min="14" max="14" width="19.26171875" style="198" bestFit="1" customWidth="1"/>
    <col min="15" max="15" width="18.26171875" style="198" bestFit="1" customWidth="1"/>
    <col min="16" max="16" width="15.68359375" style="198" bestFit="1" customWidth="1"/>
    <col min="17" max="17" width="20.578125" style="198" bestFit="1" customWidth="1"/>
    <col min="18" max="18" width="16.68359375" style="198" bestFit="1" customWidth="1"/>
    <col min="19" max="19" width="16.83984375" style="198" bestFit="1" customWidth="1"/>
    <col min="20" max="20" width="20.578125" style="198" bestFit="1" customWidth="1"/>
    <col min="21" max="21" width="20.68359375" style="198" bestFit="1" customWidth="1"/>
    <col min="22" max="22" width="18.578125" style="198" bestFit="1" customWidth="1"/>
    <col min="23" max="23" width="17.83984375" style="198" bestFit="1" customWidth="1"/>
    <col min="24" max="25" width="19.41796875" style="198" bestFit="1" customWidth="1"/>
    <col min="26" max="26" width="19.68359375" style="198" bestFit="1" customWidth="1"/>
    <col min="27" max="27" width="19.578125" style="198" bestFit="1" customWidth="1"/>
    <col min="28" max="28" width="16" style="198" bestFit="1" customWidth="1"/>
    <col min="30" max="16384" width="20.83984375" style="198"/>
  </cols>
  <sheetData>
    <row r="2" spans="1:29" s="200" customFormat="1" ht="14.7" thickBot="1" x14ac:dyDescent="0.6">
      <c r="A2" s="226" t="s">
        <v>1121</v>
      </c>
      <c r="B2" s="198"/>
      <c r="AC2" s="201"/>
    </row>
    <row r="3" spans="1:29" s="200" customFormat="1" ht="14.7" thickBot="1" x14ac:dyDescent="0.6">
      <c r="C3" s="302" t="s">
        <v>1120</v>
      </c>
      <c r="D3" s="303"/>
      <c r="E3" s="304" t="s">
        <v>105</v>
      </c>
      <c r="F3" s="305"/>
      <c r="G3" s="305"/>
      <c r="H3" s="305"/>
      <c r="I3" s="305"/>
      <c r="J3" s="305"/>
      <c r="K3" s="305"/>
      <c r="L3" s="305"/>
      <c r="M3" s="305"/>
      <c r="N3" s="305"/>
      <c r="O3" s="305"/>
      <c r="P3" s="305"/>
      <c r="Q3" s="305"/>
      <c r="R3" s="305"/>
      <c r="S3" s="305"/>
      <c r="T3" s="305"/>
      <c r="U3" s="305"/>
      <c r="V3" s="305"/>
      <c r="W3" s="305"/>
      <c r="X3" s="305"/>
      <c r="Y3" s="305"/>
      <c r="Z3" s="305"/>
      <c r="AA3" s="305"/>
      <c r="AB3" s="306"/>
      <c r="AC3" s="201"/>
    </row>
    <row r="4" spans="1:29" s="202" customFormat="1" ht="13.2" thickBot="1" x14ac:dyDescent="0.55000000000000004">
      <c r="C4" s="224"/>
      <c r="D4" s="225" t="s">
        <v>1113</v>
      </c>
      <c r="E4" s="212" t="s">
        <v>1025</v>
      </c>
      <c r="F4" s="213" t="s">
        <v>1026</v>
      </c>
      <c r="G4" s="213" t="s">
        <v>1027</v>
      </c>
      <c r="H4" s="213" t="s">
        <v>1028</v>
      </c>
      <c r="I4" s="213" t="s">
        <v>1029</v>
      </c>
      <c r="J4" s="213" t="s">
        <v>1030</v>
      </c>
      <c r="K4" s="213" t="s">
        <v>1031</v>
      </c>
      <c r="L4" s="213" t="s">
        <v>1032</v>
      </c>
      <c r="M4" s="213" t="s">
        <v>1033</v>
      </c>
      <c r="N4" s="213" t="s">
        <v>1109</v>
      </c>
      <c r="O4" s="213" t="s">
        <v>1034</v>
      </c>
      <c r="P4" s="213" t="s">
        <v>1035</v>
      </c>
      <c r="Q4" s="213" t="s">
        <v>1036</v>
      </c>
      <c r="R4" s="213" t="s">
        <v>1037</v>
      </c>
      <c r="S4" s="213" t="s">
        <v>1038</v>
      </c>
      <c r="T4" s="213" t="s">
        <v>1039</v>
      </c>
      <c r="U4" s="213" t="s">
        <v>1040</v>
      </c>
      <c r="V4" s="213" t="s">
        <v>1041</v>
      </c>
      <c r="W4" s="213" t="s">
        <v>1042</v>
      </c>
      <c r="X4" s="213" t="s">
        <v>1043</v>
      </c>
      <c r="Y4" s="213" t="s">
        <v>1044</v>
      </c>
      <c r="Z4" s="213" t="s">
        <v>1045</v>
      </c>
      <c r="AA4" s="213" t="s">
        <v>1046</v>
      </c>
      <c r="AB4" s="214" t="s">
        <v>1047</v>
      </c>
    </row>
    <row r="5" spans="1:29" s="202" customFormat="1" ht="26.1" thickBot="1" x14ac:dyDescent="0.6">
      <c r="C5" s="221" t="s">
        <v>1110</v>
      </c>
      <c r="D5" s="222" t="s">
        <v>92</v>
      </c>
      <c r="E5" s="215" t="s">
        <v>1096</v>
      </c>
      <c r="F5" s="209" t="s">
        <v>35</v>
      </c>
      <c r="G5" s="209" t="s">
        <v>1097</v>
      </c>
      <c r="H5" s="209" t="s">
        <v>1098</v>
      </c>
      <c r="I5" s="209" t="s">
        <v>38</v>
      </c>
      <c r="J5" s="209" t="s">
        <v>47</v>
      </c>
      <c r="K5" s="209" t="s">
        <v>48</v>
      </c>
      <c r="L5" s="209" t="s">
        <v>1099</v>
      </c>
      <c r="M5" s="209" t="s">
        <v>43</v>
      </c>
      <c r="N5" s="210" t="s">
        <v>1100</v>
      </c>
      <c r="O5" s="209" t="s">
        <v>1101</v>
      </c>
      <c r="P5" s="209" t="s">
        <v>54</v>
      </c>
      <c r="Q5" s="209" t="s">
        <v>45</v>
      </c>
      <c r="R5" s="209" t="s">
        <v>46</v>
      </c>
      <c r="S5" s="209" t="s">
        <v>37</v>
      </c>
      <c r="T5" s="209" t="s">
        <v>1102</v>
      </c>
      <c r="U5" s="209" t="s">
        <v>1103</v>
      </c>
      <c r="V5" s="209" t="s">
        <v>49</v>
      </c>
      <c r="W5" s="209" t="s">
        <v>1104</v>
      </c>
      <c r="X5" s="209" t="s">
        <v>1105</v>
      </c>
      <c r="Y5" s="209" t="s">
        <v>1106</v>
      </c>
      <c r="Z5" s="209" t="s">
        <v>1107</v>
      </c>
      <c r="AA5" s="209" t="s">
        <v>42</v>
      </c>
      <c r="AB5" s="211" t="s">
        <v>1108</v>
      </c>
    </row>
    <row r="6" spans="1:29" ht="15" customHeight="1" thickBot="1" x14ac:dyDescent="0.55000000000000004">
      <c r="C6" s="307" t="s">
        <v>1114</v>
      </c>
      <c r="D6" s="308"/>
      <c r="E6" s="309" t="s">
        <v>1111</v>
      </c>
      <c r="F6" s="309"/>
      <c r="G6" s="309"/>
      <c r="H6" s="309"/>
      <c r="I6" s="309"/>
      <c r="J6" s="309"/>
      <c r="K6" s="309"/>
      <c r="L6" s="309"/>
      <c r="M6" s="309"/>
      <c r="N6" s="309"/>
      <c r="O6" s="309"/>
      <c r="P6" s="309"/>
      <c r="Q6" s="309"/>
      <c r="R6" s="309"/>
      <c r="S6" s="309"/>
      <c r="T6" s="309"/>
      <c r="U6" s="309"/>
      <c r="V6" s="309"/>
      <c r="W6" s="309"/>
      <c r="X6" s="309"/>
      <c r="Y6" s="309"/>
      <c r="Z6" s="309"/>
      <c r="AA6" s="309"/>
      <c r="AB6" s="310"/>
      <c r="AC6" s="198"/>
    </row>
    <row r="7" spans="1:29" ht="12.9" x14ac:dyDescent="0.5">
      <c r="A7" s="199"/>
      <c r="B7" s="199"/>
      <c r="C7" s="216" t="s">
        <v>27</v>
      </c>
      <c r="D7" s="217">
        <f>SUM(E7:AB7)</f>
        <v>12332937.65</v>
      </c>
      <c r="E7" s="203">
        <v>360219.9</v>
      </c>
      <c r="F7" s="203">
        <v>721410.89</v>
      </c>
      <c r="G7" s="203">
        <v>308960.08</v>
      </c>
      <c r="H7" s="203">
        <v>889750.53</v>
      </c>
      <c r="I7" s="203">
        <v>861363.15</v>
      </c>
      <c r="J7" s="203">
        <v>411547.45</v>
      </c>
      <c r="K7" s="203">
        <v>200950.12</v>
      </c>
      <c r="L7" s="203">
        <v>902890.25</v>
      </c>
      <c r="M7" s="203">
        <v>432516.08</v>
      </c>
      <c r="N7" s="203">
        <v>510513.35</v>
      </c>
      <c r="O7" s="203">
        <v>599406.93999999994</v>
      </c>
      <c r="P7" s="203">
        <v>684041.92</v>
      </c>
      <c r="Q7" s="203">
        <v>439184.87</v>
      </c>
      <c r="R7" s="203">
        <v>664526.69999999995</v>
      </c>
      <c r="S7" s="203">
        <v>609945.73</v>
      </c>
      <c r="T7" s="203">
        <v>265031.86</v>
      </c>
      <c r="U7" s="203">
        <v>694032.91</v>
      </c>
      <c r="V7" s="203">
        <v>168075.35</v>
      </c>
      <c r="W7" s="203">
        <v>572981.49</v>
      </c>
      <c r="X7" s="203">
        <v>417785.8</v>
      </c>
      <c r="Y7" s="203">
        <v>192166.42</v>
      </c>
      <c r="Z7" s="203">
        <v>428930.28</v>
      </c>
      <c r="AA7" s="203">
        <v>277748.26</v>
      </c>
      <c r="AB7" s="206">
        <v>718957.32</v>
      </c>
      <c r="AC7" s="198"/>
    </row>
    <row r="8" spans="1:29" ht="12.9" x14ac:dyDescent="0.5">
      <c r="C8" s="205" t="s">
        <v>26</v>
      </c>
      <c r="D8" s="217">
        <f t="shared" ref="D8:D16" si="0">SUM(E8:AB8)</f>
        <v>5701913.6000000006</v>
      </c>
      <c r="E8" s="203">
        <v>151815.04000000001</v>
      </c>
      <c r="F8" s="203">
        <v>189851.82</v>
      </c>
      <c r="G8" s="203">
        <v>448605.42</v>
      </c>
      <c r="H8" s="203">
        <v>154773.18</v>
      </c>
      <c r="I8" s="203">
        <v>155212.1</v>
      </c>
      <c r="J8" s="203">
        <v>13742.61</v>
      </c>
      <c r="K8" s="203">
        <v>152930.63</v>
      </c>
      <c r="L8" s="203">
        <v>418337.03</v>
      </c>
      <c r="M8" s="203">
        <v>125552.9</v>
      </c>
      <c r="N8" s="203">
        <v>255383.58</v>
      </c>
      <c r="O8" s="203">
        <v>97212.57</v>
      </c>
      <c r="P8" s="203">
        <v>139671.63</v>
      </c>
      <c r="Q8" s="203">
        <v>319230.51</v>
      </c>
      <c r="R8" s="203">
        <v>143536.71</v>
      </c>
      <c r="S8" s="203">
        <v>291366.2</v>
      </c>
      <c r="T8" s="203">
        <v>152496.76</v>
      </c>
      <c r="U8" s="203">
        <v>25868.84</v>
      </c>
      <c r="V8" s="203">
        <v>124926.51</v>
      </c>
      <c r="W8" s="203">
        <v>284834.75</v>
      </c>
      <c r="X8" s="203">
        <v>492907.24</v>
      </c>
      <c r="Y8" s="203">
        <v>389926.08</v>
      </c>
      <c r="Z8" s="203">
        <v>364497.1</v>
      </c>
      <c r="AA8" s="203">
        <v>407380.24</v>
      </c>
      <c r="AB8" s="206">
        <v>401854.15</v>
      </c>
      <c r="AC8" s="198"/>
    </row>
    <row r="9" spans="1:29" ht="12.9" x14ac:dyDescent="0.5">
      <c r="C9" s="205" t="s">
        <v>28</v>
      </c>
      <c r="D9" s="217">
        <f t="shared" si="0"/>
        <v>577500.35000000009</v>
      </c>
      <c r="E9" s="203">
        <v>38360.239999999998</v>
      </c>
      <c r="F9" s="203">
        <v>9885</v>
      </c>
      <c r="G9" s="203">
        <v>19050</v>
      </c>
      <c r="H9" s="203">
        <v>7650</v>
      </c>
      <c r="I9" s="203">
        <v>700</v>
      </c>
      <c r="J9" s="203">
        <v>5700</v>
      </c>
      <c r="K9" s="203">
        <v>20350</v>
      </c>
      <c r="L9" s="203">
        <v>3055.56</v>
      </c>
      <c r="M9" s="203">
        <v>15600</v>
      </c>
      <c r="N9" s="203">
        <v>32000</v>
      </c>
      <c r="O9" s="203">
        <v>8985.0400000000009</v>
      </c>
      <c r="P9" s="203">
        <v>610</v>
      </c>
      <c r="Q9" s="203">
        <v>10652.91</v>
      </c>
      <c r="R9" s="203">
        <v>22797.47</v>
      </c>
      <c r="S9" s="203">
        <v>-225</v>
      </c>
      <c r="T9" s="203">
        <v>13264.05</v>
      </c>
      <c r="U9" s="203">
        <v>87450</v>
      </c>
      <c r="V9" s="203">
        <v>9935.4</v>
      </c>
      <c r="W9" s="203">
        <v>7555.84</v>
      </c>
      <c r="X9" s="203">
        <v>14179.81</v>
      </c>
      <c r="Y9" s="203">
        <v>99608.53</v>
      </c>
      <c r="Z9" s="203">
        <v>51730</v>
      </c>
      <c r="AA9" s="203">
        <v>57238.19</v>
      </c>
      <c r="AB9" s="206">
        <v>41367.31</v>
      </c>
      <c r="AC9" s="198"/>
    </row>
    <row r="10" spans="1:29" ht="12.9" x14ac:dyDescent="0.5">
      <c r="C10" s="205" t="s">
        <v>68</v>
      </c>
      <c r="D10" s="217">
        <f t="shared" si="0"/>
        <v>136136.79999999999</v>
      </c>
      <c r="E10" s="203">
        <v>0</v>
      </c>
      <c r="F10" s="203">
        <v>2175</v>
      </c>
      <c r="G10" s="203">
        <v>0</v>
      </c>
      <c r="H10" s="203">
        <v>0</v>
      </c>
      <c r="I10" s="203">
        <v>0</v>
      </c>
      <c r="J10" s="203">
        <v>0</v>
      </c>
      <c r="K10" s="203">
        <v>0</v>
      </c>
      <c r="L10" s="203">
        <v>0</v>
      </c>
      <c r="M10" s="203">
        <v>0</v>
      </c>
      <c r="N10" s="203">
        <v>0</v>
      </c>
      <c r="O10" s="203">
        <v>0</v>
      </c>
      <c r="P10" s="203">
        <v>28480</v>
      </c>
      <c r="Q10" s="203">
        <v>90588.25</v>
      </c>
      <c r="R10" s="203">
        <v>0</v>
      </c>
      <c r="S10" s="203">
        <v>14893.55</v>
      </c>
      <c r="T10" s="203">
        <v>0</v>
      </c>
      <c r="U10" s="203">
        <v>0</v>
      </c>
      <c r="V10" s="203">
        <v>0</v>
      </c>
      <c r="W10" s="203">
        <v>0</v>
      </c>
      <c r="X10" s="203">
        <v>0</v>
      </c>
      <c r="Y10" s="203">
        <v>0</v>
      </c>
      <c r="Z10" s="203">
        <v>0</v>
      </c>
      <c r="AA10" s="203">
        <v>0</v>
      </c>
      <c r="AB10" s="206">
        <v>0</v>
      </c>
      <c r="AC10" s="198"/>
    </row>
    <row r="11" spans="1:29" ht="12.9" x14ac:dyDescent="0.5">
      <c r="C11" s="205" t="s">
        <v>69</v>
      </c>
      <c r="D11" s="217">
        <f t="shared" si="0"/>
        <v>2390114.0899999994</v>
      </c>
      <c r="E11" s="203">
        <v>42062.32</v>
      </c>
      <c r="F11" s="203">
        <v>90836.92</v>
      </c>
      <c r="G11" s="203">
        <v>66337.95</v>
      </c>
      <c r="H11" s="203">
        <v>36659.660000000003</v>
      </c>
      <c r="I11" s="203">
        <v>43844.34</v>
      </c>
      <c r="J11" s="203">
        <v>32512.75</v>
      </c>
      <c r="K11" s="203">
        <v>99250</v>
      </c>
      <c r="L11" s="203">
        <v>3364.38</v>
      </c>
      <c r="M11" s="203">
        <v>228098.6</v>
      </c>
      <c r="N11" s="203">
        <v>196234.28</v>
      </c>
      <c r="O11" s="203">
        <v>177472.48</v>
      </c>
      <c r="P11" s="203">
        <v>300931.56</v>
      </c>
      <c r="Q11" s="203">
        <v>51323.22</v>
      </c>
      <c r="R11" s="203">
        <v>60144.12</v>
      </c>
      <c r="S11" s="203">
        <v>30416.54</v>
      </c>
      <c r="T11" s="203">
        <v>29225</v>
      </c>
      <c r="U11" s="203">
        <v>495885.65</v>
      </c>
      <c r="V11" s="203">
        <v>85815.74</v>
      </c>
      <c r="W11" s="203">
        <v>44418</v>
      </c>
      <c r="X11" s="203">
        <v>-2440</v>
      </c>
      <c r="Y11" s="203">
        <v>32413.02</v>
      </c>
      <c r="Z11" s="203">
        <v>82440.59</v>
      </c>
      <c r="AA11" s="203">
        <v>1821.82</v>
      </c>
      <c r="AB11" s="206">
        <v>161045.15</v>
      </c>
      <c r="AC11" s="198"/>
    </row>
    <row r="12" spans="1:29" ht="12.9" x14ac:dyDescent="0.5">
      <c r="C12" s="205" t="s">
        <v>1079</v>
      </c>
      <c r="D12" s="217">
        <f t="shared" si="0"/>
        <v>377438.61000000004</v>
      </c>
      <c r="E12" s="203">
        <v>11871.55</v>
      </c>
      <c r="F12" s="203">
        <v>9461.16</v>
      </c>
      <c r="G12" s="203">
        <v>30368.05</v>
      </c>
      <c r="H12" s="203">
        <v>513</v>
      </c>
      <c r="I12" s="203">
        <v>0</v>
      </c>
      <c r="J12" s="203">
        <v>0</v>
      </c>
      <c r="K12" s="203">
        <v>20700.12</v>
      </c>
      <c r="L12" s="203">
        <v>36666.519999999997</v>
      </c>
      <c r="M12" s="203">
        <v>6703.06</v>
      </c>
      <c r="N12" s="203">
        <v>30040.15</v>
      </c>
      <c r="O12" s="203">
        <v>15651.36</v>
      </c>
      <c r="P12" s="203">
        <v>19616.5</v>
      </c>
      <c r="Q12" s="203">
        <v>73399.14</v>
      </c>
      <c r="R12" s="203">
        <v>12278.52</v>
      </c>
      <c r="S12" s="203">
        <v>31608.639999999999</v>
      </c>
      <c r="T12" s="203">
        <v>30172.82</v>
      </c>
      <c r="U12" s="203">
        <v>0</v>
      </c>
      <c r="V12" s="203">
        <v>0</v>
      </c>
      <c r="W12" s="203">
        <v>0</v>
      </c>
      <c r="X12" s="203">
        <v>0</v>
      </c>
      <c r="Y12" s="203">
        <v>8668.5300000000007</v>
      </c>
      <c r="Z12" s="203">
        <v>0</v>
      </c>
      <c r="AA12" s="203">
        <v>24039.57</v>
      </c>
      <c r="AB12" s="206">
        <v>15679.92</v>
      </c>
      <c r="AC12" s="198"/>
    </row>
    <row r="13" spans="1:29" ht="12.9" x14ac:dyDescent="0.5">
      <c r="C13" s="205" t="s">
        <v>98</v>
      </c>
      <c r="D13" s="217">
        <f t="shared" si="0"/>
        <v>684758.31</v>
      </c>
      <c r="E13" s="203">
        <v>0</v>
      </c>
      <c r="F13" s="203">
        <v>0</v>
      </c>
      <c r="G13" s="203">
        <v>0</v>
      </c>
      <c r="H13" s="203">
        <v>0</v>
      </c>
      <c r="I13" s="203">
        <v>0</v>
      </c>
      <c r="J13" s="203">
        <v>0</v>
      </c>
      <c r="K13" s="203">
        <v>0</v>
      </c>
      <c r="L13" s="203">
        <v>0</v>
      </c>
      <c r="M13" s="203">
        <v>0</v>
      </c>
      <c r="N13" s="203">
        <v>0</v>
      </c>
      <c r="O13" s="203">
        <v>0</v>
      </c>
      <c r="P13" s="203">
        <v>0</v>
      </c>
      <c r="Q13" s="203">
        <v>0</v>
      </c>
      <c r="R13" s="203">
        <v>0</v>
      </c>
      <c r="S13" s="203">
        <v>0</v>
      </c>
      <c r="T13" s="203">
        <v>0</v>
      </c>
      <c r="U13" s="203">
        <v>0</v>
      </c>
      <c r="V13" s="203">
        <v>0</v>
      </c>
      <c r="W13" s="203">
        <v>0</v>
      </c>
      <c r="X13" s="203">
        <v>0</v>
      </c>
      <c r="Y13" s="203">
        <v>0</v>
      </c>
      <c r="Z13" s="203">
        <v>0</v>
      </c>
      <c r="AA13" s="203">
        <v>0</v>
      </c>
      <c r="AB13" s="206">
        <v>684758.31</v>
      </c>
      <c r="AC13" s="198"/>
    </row>
    <row r="14" spans="1:29" ht="12.9" x14ac:dyDescent="0.5">
      <c r="C14" s="205" t="s">
        <v>1080</v>
      </c>
      <c r="D14" s="217">
        <f t="shared" si="0"/>
        <v>4881004.5</v>
      </c>
      <c r="E14" s="203">
        <v>135518.18</v>
      </c>
      <c r="F14" s="203">
        <v>246350.02</v>
      </c>
      <c r="G14" s="203">
        <v>139500.68</v>
      </c>
      <c r="H14" s="203">
        <v>249168.68</v>
      </c>
      <c r="I14" s="203">
        <v>199297.68</v>
      </c>
      <c r="J14" s="203">
        <v>186737.13</v>
      </c>
      <c r="K14" s="203">
        <v>109112.9</v>
      </c>
      <c r="L14" s="203">
        <v>290361.84000000003</v>
      </c>
      <c r="M14" s="203">
        <v>261395.56</v>
      </c>
      <c r="N14" s="203">
        <v>272476.09000000003</v>
      </c>
      <c r="O14" s="203">
        <v>342914.54</v>
      </c>
      <c r="P14" s="203">
        <v>440646.11</v>
      </c>
      <c r="Q14" s="203">
        <v>173662.65</v>
      </c>
      <c r="R14" s="203">
        <v>132832</v>
      </c>
      <c r="S14" s="203">
        <v>112509.6</v>
      </c>
      <c r="T14" s="203">
        <v>104704.34</v>
      </c>
      <c r="U14" s="203">
        <v>400363.41</v>
      </c>
      <c r="V14" s="203">
        <v>92113.26</v>
      </c>
      <c r="W14" s="203">
        <v>77325.850000000006</v>
      </c>
      <c r="X14" s="203">
        <v>115596.22</v>
      </c>
      <c r="Y14" s="203">
        <v>79101.58</v>
      </c>
      <c r="Z14" s="203">
        <v>162679.1</v>
      </c>
      <c r="AA14" s="203">
        <v>73544.17</v>
      </c>
      <c r="AB14" s="206">
        <v>483092.91</v>
      </c>
      <c r="AC14" s="198"/>
    </row>
    <row r="15" spans="1:29" ht="12.9" x14ac:dyDescent="0.5">
      <c r="C15" s="205" t="s">
        <v>91</v>
      </c>
      <c r="D15" s="217">
        <f t="shared" si="0"/>
        <v>597570.65999999992</v>
      </c>
      <c r="E15" s="203">
        <v>50.63</v>
      </c>
      <c r="F15" s="203">
        <v>31.26</v>
      </c>
      <c r="G15" s="203">
        <v>47.19</v>
      </c>
      <c r="H15" s="203">
        <v>75304.87</v>
      </c>
      <c r="I15" s="203">
        <v>50.38</v>
      </c>
      <c r="J15" s="203">
        <v>25517.599999999999</v>
      </c>
      <c r="K15" s="203">
        <v>56980.14</v>
      </c>
      <c r="L15" s="203">
        <v>245.06</v>
      </c>
      <c r="M15" s="203">
        <v>28494.31</v>
      </c>
      <c r="N15" s="203">
        <v>13.01</v>
      </c>
      <c r="O15" s="203">
        <v>19.38</v>
      </c>
      <c r="P15" s="203">
        <v>46.09</v>
      </c>
      <c r="Q15" s="203">
        <v>180</v>
      </c>
      <c r="R15" s="203">
        <v>-14.34</v>
      </c>
      <c r="S15" s="203">
        <v>49350.43</v>
      </c>
      <c r="T15" s="203">
        <v>26754.1</v>
      </c>
      <c r="U15" s="203">
        <v>22822.04</v>
      </c>
      <c r="V15" s="203">
        <v>0</v>
      </c>
      <c r="W15" s="203">
        <v>0.34</v>
      </c>
      <c r="X15" s="203">
        <v>76682.84</v>
      </c>
      <c r="Y15" s="203">
        <v>67118.850000000006</v>
      </c>
      <c r="Z15" s="203">
        <v>78097.27</v>
      </c>
      <c r="AA15" s="203">
        <v>89777.76</v>
      </c>
      <c r="AB15" s="206">
        <v>1.45</v>
      </c>
      <c r="AC15" s="198"/>
    </row>
    <row r="16" spans="1:29" ht="12.9" x14ac:dyDescent="0.5">
      <c r="C16" s="205" t="s">
        <v>1081</v>
      </c>
      <c r="D16" s="217">
        <f t="shared" si="0"/>
        <v>-4844616.1399999997</v>
      </c>
      <c r="E16" s="203">
        <v>-136049.32</v>
      </c>
      <c r="F16" s="203">
        <v>-247881.95</v>
      </c>
      <c r="G16" s="203">
        <v>-144097.60999999999</v>
      </c>
      <c r="H16" s="203">
        <v>-249307.66</v>
      </c>
      <c r="I16" s="203">
        <v>-203691.12</v>
      </c>
      <c r="J16" s="203">
        <v>-189179.8</v>
      </c>
      <c r="K16" s="203">
        <v>-114362.92</v>
      </c>
      <c r="L16" s="203">
        <v>-298492.73</v>
      </c>
      <c r="M16" s="203">
        <v>-261571.93</v>
      </c>
      <c r="N16" s="203">
        <v>-280548.25</v>
      </c>
      <c r="O16" s="203">
        <v>-343663.88</v>
      </c>
      <c r="P16" s="203">
        <v>-440646.11</v>
      </c>
      <c r="Q16" s="203">
        <v>-176249.24</v>
      </c>
      <c r="R16" s="203">
        <v>-136018.51999999999</v>
      </c>
      <c r="S16" s="203">
        <v>-119619.35</v>
      </c>
      <c r="T16" s="203">
        <v>-111758.42</v>
      </c>
      <c r="U16" s="203">
        <v>-389831.6</v>
      </c>
      <c r="V16" s="203">
        <v>-91948.4</v>
      </c>
      <c r="W16" s="203">
        <v>-86253.82</v>
      </c>
      <c r="X16" s="203">
        <v>-125732.33</v>
      </c>
      <c r="Y16" s="203">
        <v>-88700.99</v>
      </c>
      <c r="Z16" s="203">
        <v>-172487.41</v>
      </c>
      <c r="AA16" s="203">
        <v>-83196.45</v>
      </c>
      <c r="AB16" s="206">
        <v>-353326.33</v>
      </c>
      <c r="AC16" s="198"/>
    </row>
    <row r="17" spans="1:29" ht="13.2" thickBot="1" x14ac:dyDescent="0.55000000000000004">
      <c r="C17" s="205"/>
      <c r="D17" s="217"/>
      <c r="E17" s="203"/>
      <c r="F17" s="203"/>
      <c r="G17" s="203"/>
      <c r="H17" s="203"/>
      <c r="I17" s="203"/>
      <c r="J17" s="203"/>
      <c r="K17" s="203"/>
      <c r="L17" s="203"/>
      <c r="M17" s="203"/>
      <c r="N17" s="203"/>
      <c r="O17" s="203"/>
      <c r="P17" s="203"/>
      <c r="Q17" s="203"/>
      <c r="R17" s="203"/>
      <c r="S17" s="203"/>
      <c r="T17" s="203"/>
      <c r="U17" s="203"/>
      <c r="V17" s="203"/>
      <c r="W17" s="203"/>
      <c r="X17" s="203"/>
      <c r="Y17" s="203"/>
      <c r="Z17" s="203"/>
      <c r="AA17" s="203"/>
      <c r="AB17" s="206"/>
      <c r="AC17" s="198"/>
    </row>
    <row r="18" spans="1:29" ht="15" customHeight="1" thickBot="1" x14ac:dyDescent="0.55000000000000004">
      <c r="C18" s="307" t="s">
        <v>1115</v>
      </c>
      <c r="D18" s="308"/>
      <c r="E18" s="309" t="s">
        <v>1112</v>
      </c>
      <c r="F18" s="309"/>
      <c r="G18" s="309"/>
      <c r="H18" s="309"/>
      <c r="I18" s="309"/>
      <c r="J18" s="309"/>
      <c r="K18" s="309"/>
      <c r="L18" s="309"/>
      <c r="M18" s="309"/>
      <c r="N18" s="309"/>
      <c r="O18" s="309"/>
      <c r="P18" s="309"/>
      <c r="Q18" s="309"/>
      <c r="R18" s="309"/>
      <c r="S18" s="309"/>
      <c r="T18" s="309"/>
      <c r="U18" s="309"/>
      <c r="V18" s="309"/>
      <c r="W18" s="309"/>
      <c r="X18" s="309"/>
      <c r="Y18" s="309"/>
      <c r="Z18" s="309"/>
      <c r="AA18" s="309"/>
      <c r="AB18" s="310"/>
      <c r="AC18" s="198"/>
    </row>
    <row r="19" spans="1:29" ht="12.9" x14ac:dyDescent="0.5">
      <c r="A19" s="199"/>
      <c r="B19" s="199"/>
      <c r="C19" s="216" t="s">
        <v>27</v>
      </c>
      <c r="D19" s="217">
        <f>SUM(E19:AB19)</f>
        <v>12225697.83</v>
      </c>
      <c r="E19" s="203">
        <v>359705.68</v>
      </c>
      <c r="F19" s="203">
        <v>721532.56</v>
      </c>
      <c r="G19" s="203">
        <v>299675.32</v>
      </c>
      <c r="H19" s="203">
        <v>891697.61</v>
      </c>
      <c r="I19" s="203">
        <v>862253.71</v>
      </c>
      <c r="J19" s="203">
        <v>408266.93</v>
      </c>
      <c r="K19" s="203">
        <v>195710.9</v>
      </c>
      <c r="L19" s="203">
        <v>903997.82</v>
      </c>
      <c r="M19" s="203">
        <v>429945.68</v>
      </c>
      <c r="N19" s="203">
        <v>506620.46</v>
      </c>
      <c r="O19" s="203">
        <v>603605.76000000001</v>
      </c>
      <c r="P19" s="203">
        <v>684611.3</v>
      </c>
      <c r="Q19" s="203">
        <v>431060.43</v>
      </c>
      <c r="R19" s="203">
        <v>662124.80000000005</v>
      </c>
      <c r="S19" s="203">
        <v>599736.23</v>
      </c>
      <c r="T19" s="203">
        <v>257821.98</v>
      </c>
      <c r="U19" s="203">
        <v>682030.89</v>
      </c>
      <c r="V19" s="203">
        <v>164012</v>
      </c>
      <c r="W19" s="203">
        <v>567232.15</v>
      </c>
      <c r="X19" s="203">
        <v>407807.05</v>
      </c>
      <c r="Y19" s="203">
        <v>183010.85</v>
      </c>
      <c r="Z19" s="203">
        <v>418105.45</v>
      </c>
      <c r="AA19" s="203">
        <v>266700.75</v>
      </c>
      <c r="AB19" s="206">
        <v>718431.52</v>
      </c>
      <c r="AC19" s="198"/>
    </row>
    <row r="20" spans="1:29" ht="12.9" x14ac:dyDescent="0.5">
      <c r="C20" s="205" t="s">
        <v>26</v>
      </c>
      <c r="D20" s="217">
        <f t="shared" ref="D20:D28" si="1">SUM(E20:AB20)</f>
        <v>5704522.2999999998</v>
      </c>
      <c r="E20" s="203">
        <v>151815.04000000001</v>
      </c>
      <c r="F20" s="203">
        <v>189851.82</v>
      </c>
      <c r="G20" s="203">
        <v>449369.19</v>
      </c>
      <c r="H20" s="203">
        <v>154773.18</v>
      </c>
      <c r="I20" s="203">
        <v>155212.1</v>
      </c>
      <c r="J20" s="203">
        <v>13742.61</v>
      </c>
      <c r="K20" s="203">
        <v>152930.63</v>
      </c>
      <c r="L20" s="203">
        <v>418337.03</v>
      </c>
      <c r="M20" s="203">
        <v>125552.9</v>
      </c>
      <c r="N20" s="203">
        <v>255383.58</v>
      </c>
      <c r="O20" s="203">
        <v>97212.57</v>
      </c>
      <c r="P20" s="203">
        <v>139671.63</v>
      </c>
      <c r="Q20" s="203">
        <v>320706.84000000003</v>
      </c>
      <c r="R20" s="203">
        <v>143832.31</v>
      </c>
      <c r="S20" s="203">
        <v>291401.67</v>
      </c>
      <c r="T20" s="203">
        <v>152576.79999999999</v>
      </c>
      <c r="U20" s="203">
        <v>26013.17</v>
      </c>
      <c r="V20" s="203">
        <v>124926.51</v>
      </c>
      <c r="W20" s="203">
        <v>284647.90999999997</v>
      </c>
      <c r="X20" s="203">
        <v>492907.24</v>
      </c>
      <c r="Y20" s="203">
        <v>389926.08</v>
      </c>
      <c r="Z20" s="203">
        <v>364497.1</v>
      </c>
      <c r="AA20" s="203">
        <v>407380.24</v>
      </c>
      <c r="AB20" s="206">
        <v>401854.15</v>
      </c>
      <c r="AC20" s="198"/>
    </row>
    <row r="21" spans="1:29" ht="12.9" x14ac:dyDescent="0.5">
      <c r="C21" s="205" t="s">
        <v>28</v>
      </c>
      <c r="D21" s="217">
        <f t="shared" si="1"/>
        <v>627604.98</v>
      </c>
      <c r="E21" s="203">
        <v>38343.32</v>
      </c>
      <c r="F21" s="203">
        <v>10085</v>
      </c>
      <c r="G21" s="203">
        <v>25094.080000000002</v>
      </c>
      <c r="H21" s="203">
        <v>7650</v>
      </c>
      <c r="I21" s="203">
        <v>700</v>
      </c>
      <c r="J21" s="203">
        <v>6537.85</v>
      </c>
      <c r="K21" s="203">
        <v>20350</v>
      </c>
      <c r="L21" s="203">
        <v>3055.56</v>
      </c>
      <c r="M21" s="203">
        <v>17996.599999999999</v>
      </c>
      <c r="N21" s="203">
        <v>32572.73</v>
      </c>
      <c r="O21" s="203">
        <v>8244.76</v>
      </c>
      <c r="P21" s="203">
        <v>610</v>
      </c>
      <c r="Q21" s="203">
        <v>14766.11</v>
      </c>
      <c r="R21" s="203">
        <v>23107.47</v>
      </c>
      <c r="S21" s="203">
        <v>2839.28</v>
      </c>
      <c r="T21" s="203">
        <v>13339.81</v>
      </c>
      <c r="U21" s="203">
        <v>109839.5</v>
      </c>
      <c r="V21" s="203">
        <v>13862.67</v>
      </c>
      <c r="W21" s="203">
        <v>7755.84</v>
      </c>
      <c r="X21" s="203">
        <v>14317.81</v>
      </c>
      <c r="Y21" s="203">
        <v>100997.73</v>
      </c>
      <c r="Z21" s="203">
        <v>51730</v>
      </c>
      <c r="AA21" s="203">
        <v>61201.65</v>
      </c>
      <c r="AB21" s="206">
        <v>42607.21</v>
      </c>
      <c r="AC21" s="198"/>
    </row>
    <row r="22" spans="1:29" ht="12.9" x14ac:dyDescent="0.5">
      <c r="C22" s="205" t="s">
        <v>68</v>
      </c>
      <c r="D22" s="217">
        <f t="shared" si="1"/>
        <v>175280.51</v>
      </c>
      <c r="E22" s="203">
        <v>0</v>
      </c>
      <c r="F22" s="203">
        <v>2280</v>
      </c>
      <c r="G22" s="203">
        <v>0</v>
      </c>
      <c r="H22" s="203">
        <v>0</v>
      </c>
      <c r="I22" s="203">
        <v>0</v>
      </c>
      <c r="J22" s="203">
        <v>0</v>
      </c>
      <c r="K22" s="203">
        <v>0</v>
      </c>
      <c r="L22" s="203">
        <v>0</v>
      </c>
      <c r="M22" s="203">
        <v>0</v>
      </c>
      <c r="N22" s="203">
        <v>0</v>
      </c>
      <c r="O22" s="203">
        <v>0</v>
      </c>
      <c r="P22" s="203">
        <v>34131.89</v>
      </c>
      <c r="Q22" s="203">
        <v>123975.07</v>
      </c>
      <c r="R22" s="203">
        <v>0</v>
      </c>
      <c r="S22" s="203">
        <v>14893.55</v>
      </c>
      <c r="T22" s="203">
        <v>0</v>
      </c>
      <c r="U22" s="203">
        <v>0</v>
      </c>
      <c r="V22" s="203">
        <v>0</v>
      </c>
      <c r="W22" s="203">
        <v>0</v>
      </c>
      <c r="X22" s="203">
        <v>0</v>
      </c>
      <c r="Y22" s="203">
        <v>0</v>
      </c>
      <c r="Z22" s="203">
        <v>0</v>
      </c>
      <c r="AA22" s="203">
        <v>0</v>
      </c>
      <c r="AB22" s="206">
        <v>0</v>
      </c>
      <c r="AC22" s="198"/>
    </row>
    <row r="23" spans="1:29" ht="12.9" x14ac:dyDescent="0.5">
      <c r="C23" s="205" t="s">
        <v>69</v>
      </c>
      <c r="D23" s="217">
        <f t="shared" si="1"/>
        <v>2350734.8199999994</v>
      </c>
      <c r="E23" s="203">
        <v>42062.32</v>
      </c>
      <c r="F23" s="203">
        <v>88983.32</v>
      </c>
      <c r="G23" s="203">
        <v>64217.93</v>
      </c>
      <c r="H23" s="203">
        <v>34573.599999999999</v>
      </c>
      <c r="I23" s="203">
        <v>38560.339999999997</v>
      </c>
      <c r="J23" s="203">
        <v>32512.75</v>
      </c>
      <c r="K23" s="203">
        <v>99239.2</v>
      </c>
      <c r="L23" s="203">
        <v>-5874.08</v>
      </c>
      <c r="M23" s="203">
        <v>228096.03</v>
      </c>
      <c r="N23" s="203">
        <v>191482.28</v>
      </c>
      <c r="O23" s="203">
        <v>173264.6</v>
      </c>
      <c r="P23" s="203">
        <v>300362.18</v>
      </c>
      <c r="Q23" s="203">
        <v>51271.54</v>
      </c>
      <c r="R23" s="203">
        <v>57512.26</v>
      </c>
      <c r="S23" s="203">
        <v>30416.54</v>
      </c>
      <c r="T23" s="203">
        <v>29225</v>
      </c>
      <c r="U23" s="203">
        <v>495885.65</v>
      </c>
      <c r="V23" s="203">
        <v>86116.68</v>
      </c>
      <c r="W23" s="203">
        <v>41226.21</v>
      </c>
      <c r="X23" s="203">
        <v>-2735.36</v>
      </c>
      <c r="Y23" s="203">
        <v>30579.98</v>
      </c>
      <c r="Z23" s="203">
        <v>83457.11</v>
      </c>
      <c r="AA23" s="203">
        <v>-746.41</v>
      </c>
      <c r="AB23" s="206">
        <v>161045.15</v>
      </c>
      <c r="AC23" s="198"/>
    </row>
    <row r="24" spans="1:29" ht="12.9" x14ac:dyDescent="0.5">
      <c r="C24" s="205" t="s">
        <v>1079</v>
      </c>
      <c r="D24" s="217">
        <f t="shared" si="1"/>
        <v>0</v>
      </c>
      <c r="E24" s="203">
        <v>0</v>
      </c>
      <c r="F24" s="203">
        <v>0</v>
      </c>
      <c r="G24" s="203">
        <v>0</v>
      </c>
      <c r="H24" s="203">
        <v>0</v>
      </c>
      <c r="I24" s="203">
        <v>0</v>
      </c>
      <c r="J24" s="203">
        <v>0</v>
      </c>
      <c r="K24" s="203">
        <v>0</v>
      </c>
      <c r="L24" s="203">
        <v>0</v>
      </c>
      <c r="M24" s="203">
        <v>0</v>
      </c>
      <c r="N24" s="203">
        <v>0</v>
      </c>
      <c r="O24" s="203">
        <v>0</v>
      </c>
      <c r="P24" s="203">
        <v>0</v>
      </c>
      <c r="Q24" s="203">
        <v>0</v>
      </c>
      <c r="R24" s="203">
        <v>0</v>
      </c>
      <c r="S24" s="203">
        <v>0</v>
      </c>
      <c r="T24" s="203">
        <v>0</v>
      </c>
      <c r="U24" s="203">
        <v>0</v>
      </c>
      <c r="V24" s="203">
        <v>0</v>
      </c>
      <c r="W24" s="203">
        <v>0</v>
      </c>
      <c r="X24" s="203">
        <v>0</v>
      </c>
      <c r="Y24" s="203">
        <v>0</v>
      </c>
      <c r="Z24" s="203">
        <v>0</v>
      </c>
      <c r="AA24" s="203">
        <v>0</v>
      </c>
      <c r="AB24" s="206">
        <v>0</v>
      </c>
      <c r="AC24" s="198"/>
    </row>
    <row r="25" spans="1:29" ht="12.9" x14ac:dyDescent="0.5">
      <c r="C25" s="205" t="s">
        <v>98</v>
      </c>
      <c r="D25" s="217">
        <f t="shared" si="1"/>
        <v>813810.79</v>
      </c>
      <c r="E25" s="203">
        <v>0</v>
      </c>
      <c r="F25" s="203">
        <v>0</v>
      </c>
      <c r="G25" s="203">
        <v>0</v>
      </c>
      <c r="H25" s="203">
        <v>0</v>
      </c>
      <c r="I25" s="203">
        <v>0</v>
      </c>
      <c r="J25" s="203">
        <v>0</v>
      </c>
      <c r="K25" s="203">
        <v>0</v>
      </c>
      <c r="L25" s="203">
        <v>0</v>
      </c>
      <c r="M25" s="203">
        <v>0</v>
      </c>
      <c r="N25" s="203">
        <v>0</v>
      </c>
      <c r="O25" s="203">
        <v>0</v>
      </c>
      <c r="P25" s="203">
        <v>0</v>
      </c>
      <c r="Q25" s="203">
        <v>0</v>
      </c>
      <c r="R25" s="203">
        <v>0</v>
      </c>
      <c r="S25" s="203">
        <v>0</v>
      </c>
      <c r="T25" s="203">
        <v>0</v>
      </c>
      <c r="U25" s="203">
        <v>0</v>
      </c>
      <c r="V25" s="203">
        <v>0</v>
      </c>
      <c r="W25" s="203">
        <v>0</v>
      </c>
      <c r="X25" s="203">
        <v>0</v>
      </c>
      <c r="Y25" s="203">
        <v>0</v>
      </c>
      <c r="Z25" s="203">
        <v>0</v>
      </c>
      <c r="AA25" s="203">
        <v>0</v>
      </c>
      <c r="AB25" s="206">
        <v>813810.79</v>
      </c>
      <c r="AC25" s="198"/>
    </row>
    <row r="26" spans="1:29" ht="12.9" x14ac:dyDescent="0.5">
      <c r="C26" s="205" t="s">
        <v>1080</v>
      </c>
      <c r="D26" s="217">
        <f t="shared" si="1"/>
        <v>0</v>
      </c>
      <c r="E26" s="203">
        <v>0</v>
      </c>
      <c r="F26" s="203">
        <v>0</v>
      </c>
      <c r="G26" s="203">
        <v>0</v>
      </c>
      <c r="H26" s="203">
        <v>0</v>
      </c>
      <c r="I26" s="203">
        <v>0</v>
      </c>
      <c r="J26" s="203">
        <v>0</v>
      </c>
      <c r="K26" s="203">
        <v>0</v>
      </c>
      <c r="L26" s="203">
        <v>0</v>
      </c>
      <c r="M26" s="203">
        <v>0</v>
      </c>
      <c r="N26" s="203">
        <v>0</v>
      </c>
      <c r="O26" s="203">
        <v>0</v>
      </c>
      <c r="P26" s="203">
        <v>0</v>
      </c>
      <c r="Q26" s="203">
        <v>0</v>
      </c>
      <c r="R26" s="203">
        <v>0</v>
      </c>
      <c r="S26" s="203">
        <v>0</v>
      </c>
      <c r="T26" s="203">
        <v>0</v>
      </c>
      <c r="U26" s="203">
        <v>0</v>
      </c>
      <c r="V26" s="203">
        <v>0</v>
      </c>
      <c r="W26" s="203">
        <v>0</v>
      </c>
      <c r="X26" s="203">
        <v>0</v>
      </c>
      <c r="Y26" s="203">
        <v>0</v>
      </c>
      <c r="Z26" s="203">
        <v>0</v>
      </c>
      <c r="AA26" s="203">
        <v>0</v>
      </c>
      <c r="AB26" s="206">
        <v>0</v>
      </c>
      <c r="AC26" s="198"/>
    </row>
    <row r="27" spans="1:29" ht="12.9" x14ac:dyDescent="0.5">
      <c r="C27" s="205" t="s">
        <v>91</v>
      </c>
      <c r="D27" s="217">
        <f t="shared" si="1"/>
        <v>338294.89999999997</v>
      </c>
      <c r="E27" s="203">
        <v>11871.55</v>
      </c>
      <c r="F27" s="203">
        <v>9356.16</v>
      </c>
      <c r="G27" s="203">
        <v>30368.05</v>
      </c>
      <c r="H27" s="203">
        <v>513</v>
      </c>
      <c r="I27" s="203">
        <v>0</v>
      </c>
      <c r="J27" s="203">
        <v>0</v>
      </c>
      <c r="K27" s="203">
        <v>20700.12</v>
      </c>
      <c r="L27" s="203">
        <v>36666.519999999997</v>
      </c>
      <c r="M27" s="203">
        <v>6703.06</v>
      </c>
      <c r="N27" s="203">
        <v>30040.15</v>
      </c>
      <c r="O27" s="203">
        <v>15651.36</v>
      </c>
      <c r="P27" s="203">
        <v>13964.61</v>
      </c>
      <c r="Q27" s="203">
        <v>40012.32</v>
      </c>
      <c r="R27" s="203">
        <v>12278.52</v>
      </c>
      <c r="S27" s="203">
        <v>31608.639999999999</v>
      </c>
      <c r="T27" s="203">
        <v>30172.82</v>
      </c>
      <c r="U27" s="203">
        <v>0</v>
      </c>
      <c r="V27" s="203">
        <v>0</v>
      </c>
      <c r="W27" s="203">
        <v>0</v>
      </c>
      <c r="X27" s="203">
        <v>0</v>
      </c>
      <c r="Y27" s="203">
        <v>8668.5300000000007</v>
      </c>
      <c r="Z27" s="203">
        <v>0</v>
      </c>
      <c r="AA27" s="203">
        <v>24039.57</v>
      </c>
      <c r="AB27" s="206">
        <v>15679.92</v>
      </c>
      <c r="AC27" s="198"/>
    </row>
    <row r="28" spans="1:29" ht="12.9" x14ac:dyDescent="0.5">
      <c r="C28" s="205" t="s">
        <v>1081</v>
      </c>
      <c r="D28" s="217">
        <f t="shared" si="1"/>
        <v>0</v>
      </c>
      <c r="E28" s="203">
        <v>0</v>
      </c>
      <c r="F28" s="203">
        <v>0</v>
      </c>
      <c r="G28" s="203">
        <v>0</v>
      </c>
      <c r="H28" s="203">
        <v>0</v>
      </c>
      <c r="I28" s="203">
        <v>0</v>
      </c>
      <c r="J28" s="203">
        <v>0</v>
      </c>
      <c r="K28" s="203">
        <v>0</v>
      </c>
      <c r="L28" s="203">
        <v>0</v>
      </c>
      <c r="M28" s="203">
        <v>0</v>
      </c>
      <c r="N28" s="203">
        <v>0</v>
      </c>
      <c r="O28" s="203">
        <v>0</v>
      </c>
      <c r="P28" s="203">
        <v>0</v>
      </c>
      <c r="Q28" s="203">
        <v>0</v>
      </c>
      <c r="R28" s="203">
        <v>0</v>
      </c>
      <c r="S28" s="203">
        <v>0</v>
      </c>
      <c r="T28" s="203">
        <v>0</v>
      </c>
      <c r="U28" s="203">
        <v>0</v>
      </c>
      <c r="V28" s="203">
        <v>0</v>
      </c>
      <c r="W28" s="203">
        <v>0</v>
      </c>
      <c r="X28" s="203">
        <v>0</v>
      </c>
      <c r="Y28" s="203">
        <v>0</v>
      </c>
      <c r="Z28" s="203">
        <v>0</v>
      </c>
      <c r="AA28" s="203">
        <v>0</v>
      </c>
      <c r="AB28" s="206">
        <v>0</v>
      </c>
      <c r="AC28" s="198"/>
    </row>
    <row r="29" spans="1:29" ht="13.2" thickBot="1" x14ac:dyDescent="0.55000000000000004">
      <c r="C29" s="205"/>
      <c r="D29" s="217"/>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6"/>
      <c r="AC29" s="198"/>
    </row>
    <row r="30" spans="1:29" ht="15" customHeight="1" thickBot="1" x14ac:dyDescent="0.55000000000000004">
      <c r="C30" s="307" t="s">
        <v>1122</v>
      </c>
      <c r="D30" s="308"/>
      <c r="E30" s="311" t="s">
        <v>114</v>
      </c>
      <c r="F30" s="311"/>
      <c r="G30" s="311"/>
      <c r="H30" s="311"/>
      <c r="I30" s="311"/>
      <c r="J30" s="311"/>
      <c r="K30" s="311"/>
      <c r="L30" s="311"/>
      <c r="M30" s="311"/>
      <c r="N30" s="311"/>
      <c r="O30" s="311"/>
      <c r="P30" s="311"/>
      <c r="Q30" s="311"/>
      <c r="R30" s="311"/>
      <c r="S30" s="311"/>
      <c r="T30" s="311"/>
      <c r="U30" s="311"/>
      <c r="V30" s="311"/>
      <c r="W30" s="311"/>
      <c r="X30" s="311"/>
      <c r="Y30" s="311"/>
      <c r="Z30" s="311"/>
      <c r="AA30" s="311"/>
      <c r="AB30" s="312"/>
      <c r="AC30" s="198"/>
    </row>
    <row r="31" spans="1:29" ht="12.9" x14ac:dyDescent="0.5">
      <c r="A31" s="199"/>
      <c r="B31" s="199"/>
      <c r="C31" s="216" t="s">
        <v>27</v>
      </c>
      <c r="D31" s="217">
        <f>SUM(E31:AB31)</f>
        <v>107239.81999999992</v>
      </c>
      <c r="E31" s="203">
        <f>E7-E19</f>
        <v>514.22000000003027</v>
      </c>
      <c r="F31" s="203">
        <f>F7-F19</f>
        <v>-121.67000000004191</v>
      </c>
      <c r="G31" s="203">
        <f t="shared" ref="G31:AB40" si="2">G7-G19</f>
        <v>9284.7600000000093</v>
      </c>
      <c r="H31" s="203">
        <f t="shared" si="2"/>
        <v>-1947.0799999999581</v>
      </c>
      <c r="I31" s="203">
        <f t="shared" si="2"/>
        <v>-890.55999999993946</v>
      </c>
      <c r="J31" s="203">
        <f t="shared" si="2"/>
        <v>3280.5200000000186</v>
      </c>
      <c r="K31" s="203">
        <f t="shared" si="2"/>
        <v>5239.2200000000012</v>
      </c>
      <c r="L31" s="203">
        <f t="shared" si="2"/>
        <v>-1107.5699999999488</v>
      </c>
      <c r="M31" s="203">
        <f t="shared" si="2"/>
        <v>2570.4000000000233</v>
      </c>
      <c r="N31" s="203">
        <f t="shared" si="2"/>
        <v>3892.8899999999558</v>
      </c>
      <c r="O31" s="203">
        <f t="shared" si="2"/>
        <v>-4198.8200000000652</v>
      </c>
      <c r="P31" s="203">
        <f t="shared" si="2"/>
        <v>-569.38000000000466</v>
      </c>
      <c r="Q31" s="203">
        <f t="shared" si="2"/>
        <v>8124.4400000000023</v>
      </c>
      <c r="R31" s="203">
        <f t="shared" si="2"/>
        <v>2401.8999999999069</v>
      </c>
      <c r="S31" s="203">
        <f t="shared" si="2"/>
        <v>10209.5</v>
      </c>
      <c r="T31" s="203">
        <f t="shared" si="2"/>
        <v>7209.8799999999756</v>
      </c>
      <c r="U31" s="203">
        <f t="shared" si="2"/>
        <v>12002.020000000019</v>
      </c>
      <c r="V31" s="203">
        <f t="shared" si="2"/>
        <v>4063.3500000000058</v>
      </c>
      <c r="W31" s="203">
        <f t="shared" si="2"/>
        <v>5749.3399999999674</v>
      </c>
      <c r="X31" s="203">
        <f t="shared" si="2"/>
        <v>9978.75</v>
      </c>
      <c r="Y31" s="203">
        <f t="shared" si="2"/>
        <v>9155.570000000007</v>
      </c>
      <c r="Z31" s="203">
        <f t="shared" si="2"/>
        <v>10824.830000000016</v>
      </c>
      <c r="AA31" s="203">
        <f t="shared" si="2"/>
        <v>11047.510000000009</v>
      </c>
      <c r="AB31" s="206">
        <f t="shared" si="2"/>
        <v>525.79999999993015</v>
      </c>
      <c r="AC31" s="198"/>
    </row>
    <row r="32" spans="1:29" ht="12.9" x14ac:dyDescent="0.5">
      <c r="C32" s="205" t="s">
        <v>26</v>
      </c>
      <c r="D32" s="217">
        <f t="shared" ref="D32:D40" si="3">SUM(E32:AB32)</f>
        <v>-2608.6999999999643</v>
      </c>
      <c r="E32" s="203">
        <f>E8-E20</f>
        <v>0</v>
      </c>
      <c r="F32" s="203">
        <f t="shared" ref="F32:U40" si="4">F8-F20</f>
        <v>0</v>
      </c>
      <c r="G32" s="203">
        <f t="shared" si="4"/>
        <v>-763.77000000001863</v>
      </c>
      <c r="H32" s="203">
        <f t="shared" si="4"/>
        <v>0</v>
      </c>
      <c r="I32" s="203">
        <f t="shared" si="4"/>
        <v>0</v>
      </c>
      <c r="J32" s="203">
        <f t="shared" si="4"/>
        <v>0</v>
      </c>
      <c r="K32" s="203">
        <f t="shared" si="4"/>
        <v>0</v>
      </c>
      <c r="L32" s="203">
        <f t="shared" si="4"/>
        <v>0</v>
      </c>
      <c r="M32" s="203">
        <f t="shared" si="4"/>
        <v>0</v>
      </c>
      <c r="N32" s="203">
        <f t="shared" si="4"/>
        <v>0</v>
      </c>
      <c r="O32" s="203">
        <f t="shared" si="4"/>
        <v>0</v>
      </c>
      <c r="P32" s="203">
        <f t="shared" si="4"/>
        <v>0</v>
      </c>
      <c r="Q32" s="203">
        <f t="shared" si="4"/>
        <v>-1476.3300000000163</v>
      </c>
      <c r="R32" s="203">
        <f t="shared" si="4"/>
        <v>-295.60000000000582</v>
      </c>
      <c r="S32" s="203">
        <f t="shared" si="4"/>
        <v>-35.46999999997206</v>
      </c>
      <c r="T32" s="203">
        <f t="shared" si="4"/>
        <v>-80.039999999979045</v>
      </c>
      <c r="U32" s="203">
        <f t="shared" si="4"/>
        <v>-144.32999999999811</v>
      </c>
      <c r="V32" s="203">
        <f t="shared" si="2"/>
        <v>0</v>
      </c>
      <c r="W32" s="203">
        <f t="shared" si="2"/>
        <v>186.84000000002561</v>
      </c>
      <c r="X32" s="203">
        <f t="shared" si="2"/>
        <v>0</v>
      </c>
      <c r="Y32" s="203">
        <f t="shared" si="2"/>
        <v>0</v>
      </c>
      <c r="Z32" s="203">
        <f t="shared" si="2"/>
        <v>0</v>
      </c>
      <c r="AA32" s="203">
        <f t="shared" si="2"/>
        <v>0</v>
      </c>
      <c r="AB32" s="206">
        <f t="shared" si="2"/>
        <v>0</v>
      </c>
      <c r="AC32" s="198"/>
    </row>
    <row r="33" spans="3:29" ht="12.9" x14ac:dyDescent="0.5">
      <c r="C33" s="205" t="s">
        <v>28</v>
      </c>
      <c r="D33" s="217">
        <f t="shared" si="3"/>
        <v>-50104.630000000005</v>
      </c>
      <c r="E33" s="203">
        <f t="shared" ref="E33:E40" si="5">E9-E21</f>
        <v>16.919999999998254</v>
      </c>
      <c r="F33" s="203">
        <f t="shared" si="4"/>
        <v>-200</v>
      </c>
      <c r="G33" s="203">
        <f t="shared" si="2"/>
        <v>-6044.0800000000017</v>
      </c>
      <c r="H33" s="203">
        <f t="shared" si="2"/>
        <v>0</v>
      </c>
      <c r="I33" s="203">
        <f t="shared" si="2"/>
        <v>0</v>
      </c>
      <c r="J33" s="203">
        <f t="shared" si="2"/>
        <v>-837.85000000000036</v>
      </c>
      <c r="K33" s="203">
        <f t="shared" si="2"/>
        <v>0</v>
      </c>
      <c r="L33" s="203">
        <f t="shared" si="2"/>
        <v>0</v>
      </c>
      <c r="M33" s="203">
        <f t="shared" si="2"/>
        <v>-2396.5999999999985</v>
      </c>
      <c r="N33" s="203">
        <f t="shared" si="2"/>
        <v>-572.72999999999956</v>
      </c>
      <c r="O33" s="203">
        <f t="shared" si="2"/>
        <v>740.28000000000065</v>
      </c>
      <c r="P33" s="203">
        <f t="shared" si="2"/>
        <v>0</v>
      </c>
      <c r="Q33" s="203">
        <f t="shared" si="2"/>
        <v>-4113.2000000000007</v>
      </c>
      <c r="R33" s="203">
        <f t="shared" si="2"/>
        <v>-310</v>
      </c>
      <c r="S33" s="203">
        <f t="shared" si="2"/>
        <v>-3064.28</v>
      </c>
      <c r="T33" s="203">
        <f t="shared" si="2"/>
        <v>-75.760000000000218</v>
      </c>
      <c r="U33" s="203">
        <f t="shared" si="2"/>
        <v>-22389.5</v>
      </c>
      <c r="V33" s="203">
        <f t="shared" si="2"/>
        <v>-3927.2700000000004</v>
      </c>
      <c r="W33" s="203">
        <f t="shared" si="2"/>
        <v>-200</v>
      </c>
      <c r="X33" s="203">
        <f t="shared" si="2"/>
        <v>-138</v>
      </c>
      <c r="Y33" s="203">
        <f t="shared" si="2"/>
        <v>-1389.1999999999971</v>
      </c>
      <c r="Z33" s="203">
        <f t="shared" si="2"/>
        <v>0</v>
      </c>
      <c r="AA33" s="203">
        <f t="shared" si="2"/>
        <v>-3963.4599999999991</v>
      </c>
      <c r="AB33" s="206">
        <f t="shared" si="2"/>
        <v>-1239.9000000000015</v>
      </c>
      <c r="AC33" s="198"/>
    </row>
    <row r="34" spans="3:29" ht="12.9" x14ac:dyDescent="0.5">
      <c r="C34" s="205" t="s">
        <v>68</v>
      </c>
      <c r="D34" s="217">
        <f t="shared" si="3"/>
        <v>-39143.710000000006</v>
      </c>
      <c r="E34" s="203">
        <f t="shared" si="5"/>
        <v>0</v>
      </c>
      <c r="F34" s="203">
        <f t="shared" si="4"/>
        <v>-105</v>
      </c>
      <c r="G34" s="203">
        <f t="shared" si="2"/>
        <v>0</v>
      </c>
      <c r="H34" s="203">
        <f t="shared" si="2"/>
        <v>0</v>
      </c>
      <c r="I34" s="203">
        <f t="shared" si="2"/>
        <v>0</v>
      </c>
      <c r="J34" s="203">
        <f t="shared" si="2"/>
        <v>0</v>
      </c>
      <c r="K34" s="203">
        <f t="shared" si="2"/>
        <v>0</v>
      </c>
      <c r="L34" s="203">
        <f t="shared" si="2"/>
        <v>0</v>
      </c>
      <c r="M34" s="203">
        <f t="shared" si="2"/>
        <v>0</v>
      </c>
      <c r="N34" s="203">
        <f t="shared" si="2"/>
        <v>0</v>
      </c>
      <c r="O34" s="203">
        <f t="shared" si="2"/>
        <v>0</v>
      </c>
      <c r="P34" s="203">
        <f t="shared" si="2"/>
        <v>-5651.8899999999994</v>
      </c>
      <c r="Q34" s="203">
        <f t="shared" si="2"/>
        <v>-33386.820000000007</v>
      </c>
      <c r="R34" s="203">
        <f t="shared" si="2"/>
        <v>0</v>
      </c>
      <c r="S34" s="203">
        <f t="shared" si="2"/>
        <v>0</v>
      </c>
      <c r="T34" s="203">
        <f t="shared" si="2"/>
        <v>0</v>
      </c>
      <c r="U34" s="203">
        <f t="shared" si="2"/>
        <v>0</v>
      </c>
      <c r="V34" s="203">
        <f t="shared" si="2"/>
        <v>0</v>
      </c>
      <c r="W34" s="203">
        <f t="shared" si="2"/>
        <v>0</v>
      </c>
      <c r="X34" s="203">
        <f t="shared" si="2"/>
        <v>0</v>
      </c>
      <c r="Y34" s="203">
        <f t="shared" si="2"/>
        <v>0</v>
      </c>
      <c r="Z34" s="203">
        <f t="shared" si="2"/>
        <v>0</v>
      </c>
      <c r="AA34" s="203">
        <f t="shared" si="2"/>
        <v>0</v>
      </c>
      <c r="AB34" s="206">
        <f t="shared" si="2"/>
        <v>0</v>
      </c>
      <c r="AC34" s="198"/>
    </row>
    <row r="35" spans="3:29" ht="12.9" x14ac:dyDescent="0.5">
      <c r="C35" s="205" t="s">
        <v>69</v>
      </c>
      <c r="D35" s="217">
        <f t="shared" si="3"/>
        <v>39379.270000000026</v>
      </c>
      <c r="E35" s="203">
        <f t="shared" si="5"/>
        <v>0</v>
      </c>
      <c r="F35" s="203">
        <f t="shared" si="4"/>
        <v>1853.5999999999913</v>
      </c>
      <c r="G35" s="203">
        <f t="shared" si="2"/>
        <v>2120.0199999999968</v>
      </c>
      <c r="H35" s="203">
        <f t="shared" si="2"/>
        <v>2086.0600000000049</v>
      </c>
      <c r="I35" s="203">
        <f t="shared" si="2"/>
        <v>5284</v>
      </c>
      <c r="J35" s="203">
        <f t="shared" si="2"/>
        <v>0</v>
      </c>
      <c r="K35" s="203">
        <f t="shared" si="2"/>
        <v>10.80000000000291</v>
      </c>
      <c r="L35" s="203">
        <f t="shared" si="2"/>
        <v>9238.4599999999991</v>
      </c>
      <c r="M35" s="203">
        <f t="shared" si="2"/>
        <v>2.5700000000069849</v>
      </c>
      <c r="N35" s="203">
        <f t="shared" si="2"/>
        <v>4752</v>
      </c>
      <c r="O35" s="203">
        <f t="shared" si="2"/>
        <v>4207.8800000000047</v>
      </c>
      <c r="P35" s="203">
        <f t="shared" si="2"/>
        <v>569.38000000000466</v>
      </c>
      <c r="Q35" s="203">
        <f t="shared" si="2"/>
        <v>51.680000000000291</v>
      </c>
      <c r="R35" s="203">
        <f t="shared" si="2"/>
        <v>2631.8600000000006</v>
      </c>
      <c r="S35" s="203">
        <f t="shared" si="2"/>
        <v>0</v>
      </c>
      <c r="T35" s="203">
        <f t="shared" si="2"/>
        <v>0</v>
      </c>
      <c r="U35" s="203">
        <f t="shared" si="2"/>
        <v>0</v>
      </c>
      <c r="V35" s="203">
        <f t="shared" si="2"/>
        <v>-300.93999999998778</v>
      </c>
      <c r="W35" s="203">
        <f t="shared" si="2"/>
        <v>3191.7900000000009</v>
      </c>
      <c r="X35" s="203">
        <f t="shared" si="2"/>
        <v>295.36000000000013</v>
      </c>
      <c r="Y35" s="203">
        <f t="shared" si="2"/>
        <v>1833.0400000000009</v>
      </c>
      <c r="Z35" s="203">
        <f t="shared" si="2"/>
        <v>-1016.5200000000041</v>
      </c>
      <c r="AA35" s="203">
        <f t="shared" si="2"/>
        <v>2568.23</v>
      </c>
      <c r="AB35" s="206">
        <f t="shared" si="2"/>
        <v>0</v>
      </c>
      <c r="AC35" s="198"/>
    </row>
    <row r="36" spans="3:29" ht="12.9" x14ac:dyDescent="0.5">
      <c r="C36" s="205" t="s">
        <v>1079</v>
      </c>
      <c r="D36" s="217">
        <f t="shared" si="3"/>
        <v>377438.61000000004</v>
      </c>
      <c r="E36" s="203">
        <f t="shared" si="5"/>
        <v>11871.55</v>
      </c>
      <c r="F36" s="203">
        <f t="shared" si="4"/>
        <v>9461.16</v>
      </c>
      <c r="G36" s="203">
        <f t="shared" si="2"/>
        <v>30368.05</v>
      </c>
      <c r="H36" s="203">
        <f t="shared" si="2"/>
        <v>513</v>
      </c>
      <c r="I36" s="203">
        <f t="shared" si="2"/>
        <v>0</v>
      </c>
      <c r="J36" s="203">
        <f t="shared" si="2"/>
        <v>0</v>
      </c>
      <c r="K36" s="203">
        <f t="shared" si="2"/>
        <v>20700.12</v>
      </c>
      <c r="L36" s="203">
        <f t="shared" si="2"/>
        <v>36666.519999999997</v>
      </c>
      <c r="M36" s="203">
        <f t="shared" si="2"/>
        <v>6703.06</v>
      </c>
      <c r="N36" s="203">
        <f t="shared" si="2"/>
        <v>30040.15</v>
      </c>
      <c r="O36" s="203">
        <f t="shared" si="2"/>
        <v>15651.36</v>
      </c>
      <c r="P36" s="203">
        <f t="shared" si="2"/>
        <v>19616.5</v>
      </c>
      <c r="Q36" s="203">
        <f t="shared" si="2"/>
        <v>73399.14</v>
      </c>
      <c r="R36" s="203">
        <f t="shared" si="2"/>
        <v>12278.52</v>
      </c>
      <c r="S36" s="203">
        <f t="shared" si="2"/>
        <v>31608.639999999999</v>
      </c>
      <c r="T36" s="203">
        <f t="shared" si="2"/>
        <v>30172.82</v>
      </c>
      <c r="U36" s="203">
        <f t="shared" si="2"/>
        <v>0</v>
      </c>
      <c r="V36" s="203">
        <f t="shared" si="2"/>
        <v>0</v>
      </c>
      <c r="W36" s="203">
        <f t="shared" si="2"/>
        <v>0</v>
      </c>
      <c r="X36" s="203">
        <f t="shared" si="2"/>
        <v>0</v>
      </c>
      <c r="Y36" s="203">
        <f t="shared" si="2"/>
        <v>8668.5300000000007</v>
      </c>
      <c r="Z36" s="203">
        <f t="shared" si="2"/>
        <v>0</v>
      </c>
      <c r="AA36" s="203">
        <f t="shared" si="2"/>
        <v>24039.57</v>
      </c>
      <c r="AB36" s="206">
        <f t="shared" si="2"/>
        <v>15679.92</v>
      </c>
      <c r="AC36" s="198"/>
    </row>
    <row r="37" spans="3:29" x14ac:dyDescent="0.55000000000000004">
      <c r="C37" s="205" t="s">
        <v>98</v>
      </c>
      <c r="D37" s="217">
        <f t="shared" si="3"/>
        <v>-129052.47999999998</v>
      </c>
      <c r="E37" s="203">
        <f t="shared" si="5"/>
        <v>0</v>
      </c>
      <c r="F37" s="203">
        <f t="shared" si="4"/>
        <v>0</v>
      </c>
      <c r="G37" s="203">
        <f t="shared" si="2"/>
        <v>0</v>
      </c>
      <c r="H37" s="203">
        <f t="shared" si="2"/>
        <v>0</v>
      </c>
      <c r="I37" s="203">
        <f t="shared" si="2"/>
        <v>0</v>
      </c>
      <c r="J37" s="203">
        <f t="shared" si="2"/>
        <v>0</v>
      </c>
      <c r="K37" s="203">
        <f t="shared" si="2"/>
        <v>0</v>
      </c>
      <c r="L37" s="203">
        <f t="shared" si="2"/>
        <v>0</v>
      </c>
      <c r="M37" s="203">
        <f t="shared" si="2"/>
        <v>0</v>
      </c>
      <c r="N37" s="203">
        <f t="shared" si="2"/>
        <v>0</v>
      </c>
      <c r="O37" s="203">
        <f t="shared" si="2"/>
        <v>0</v>
      </c>
      <c r="P37" s="203">
        <f t="shared" si="2"/>
        <v>0</v>
      </c>
      <c r="Q37" s="203">
        <f t="shared" si="2"/>
        <v>0</v>
      </c>
      <c r="R37" s="203">
        <f t="shared" si="2"/>
        <v>0</v>
      </c>
      <c r="S37" s="203">
        <f t="shared" si="2"/>
        <v>0</v>
      </c>
      <c r="T37" s="203">
        <f t="shared" si="2"/>
        <v>0</v>
      </c>
      <c r="U37" s="203">
        <f t="shared" si="2"/>
        <v>0</v>
      </c>
      <c r="V37" s="203">
        <f t="shared" si="2"/>
        <v>0</v>
      </c>
      <c r="W37" s="203">
        <f t="shared" si="2"/>
        <v>0</v>
      </c>
      <c r="X37" s="203">
        <f t="shared" si="2"/>
        <v>0</v>
      </c>
      <c r="Y37" s="203">
        <f t="shared" si="2"/>
        <v>0</v>
      </c>
      <c r="Z37" s="203">
        <f t="shared" si="2"/>
        <v>0</v>
      </c>
      <c r="AA37" s="203">
        <f t="shared" si="2"/>
        <v>0</v>
      </c>
      <c r="AB37" s="206">
        <f t="shared" si="2"/>
        <v>-129052.47999999998</v>
      </c>
    </row>
    <row r="38" spans="3:29" x14ac:dyDescent="0.55000000000000004">
      <c r="C38" s="205" t="s">
        <v>1080</v>
      </c>
      <c r="D38" s="217">
        <f t="shared" si="3"/>
        <v>4881004.5</v>
      </c>
      <c r="E38" s="203">
        <f t="shared" si="5"/>
        <v>135518.18</v>
      </c>
      <c r="F38" s="203">
        <f t="shared" si="4"/>
        <v>246350.02</v>
      </c>
      <c r="G38" s="203">
        <f t="shared" si="2"/>
        <v>139500.68</v>
      </c>
      <c r="H38" s="203">
        <f t="shared" si="2"/>
        <v>249168.68</v>
      </c>
      <c r="I38" s="203">
        <f t="shared" si="2"/>
        <v>199297.68</v>
      </c>
      <c r="J38" s="203">
        <f t="shared" si="2"/>
        <v>186737.13</v>
      </c>
      <c r="K38" s="203">
        <f t="shared" si="2"/>
        <v>109112.9</v>
      </c>
      <c r="L38" s="203">
        <f t="shared" si="2"/>
        <v>290361.84000000003</v>
      </c>
      <c r="M38" s="203">
        <f t="shared" si="2"/>
        <v>261395.56</v>
      </c>
      <c r="N38" s="203">
        <f t="shared" si="2"/>
        <v>272476.09000000003</v>
      </c>
      <c r="O38" s="203">
        <f t="shared" si="2"/>
        <v>342914.54</v>
      </c>
      <c r="P38" s="203">
        <f t="shared" si="2"/>
        <v>440646.11</v>
      </c>
      <c r="Q38" s="203">
        <f t="shared" si="2"/>
        <v>173662.65</v>
      </c>
      <c r="R38" s="203">
        <f t="shared" si="2"/>
        <v>132832</v>
      </c>
      <c r="S38" s="203">
        <f t="shared" si="2"/>
        <v>112509.6</v>
      </c>
      <c r="T38" s="203">
        <f t="shared" si="2"/>
        <v>104704.34</v>
      </c>
      <c r="U38" s="203">
        <f t="shared" si="2"/>
        <v>400363.41</v>
      </c>
      <c r="V38" s="203">
        <f t="shared" si="2"/>
        <v>92113.26</v>
      </c>
      <c r="W38" s="203">
        <f t="shared" si="2"/>
        <v>77325.850000000006</v>
      </c>
      <c r="X38" s="203">
        <f t="shared" si="2"/>
        <v>115596.22</v>
      </c>
      <c r="Y38" s="203">
        <f t="shared" si="2"/>
        <v>79101.58</v>
      </c>
      <c r="Z38" s="203">
        <f t="shared" si="2"/>
        <v>162679.1</v>
      </c>
      <c r="AA38" s="203">
        <f t="shared" si="2"/>
        <v>73544.17</v>
      </c>
      <c r="AB38" s="206">
        <f t="shared" si="2"/>
        <v>483092.91</v>
      </c>
    </row>
    <row r="39" spans="3:29" x14ac:dyDescent="0.55000000000000004">
      <c r="C39" s="205" t="s">
        <v>91</v>
      </c>
      <c r="D39" s="217">
        <f t="shared" si="3"/>
        <v>259275.76000000004</v>
      </c>
      <c r="E39" s="203">
        <f t="shared" si="5"/>
        <v>-11820.92</v>
      </c>
      <c r="F39" s="203">
        <f t="shared" si="4"/>
        <v>-9324.9</v>
      </c>
      <c r="G39" s="203">
        <f t="shared" si="2"/>
        <v>-30320.86</v>
      </c>
      <c r="H39" s="203">
        <f t="shared" si="2"/>
        <v>74791.87</v>
      </c>
      <c r="I39" s="203">
        <f t="shared" si="2"/>
        <v>50.38</v>
      </c>
      <c r="J39" s="203">
        <f t="shared" si="2"/>
        <v>25517.599999999999</v>
      </c>
      <c r="K39" s="203">
        <f t="shared" si="2"/>
        <v>36280.020000000004</v>
      </c>
      <c r="L39" s="203">
        <f t="shared" si="2"/>
        <v>-36421.46</v>
      </c>
      <c r="M39" s="203">
        <f t="shared" si="2"/>
        <v>21791.25</v>
      </c>
      <c r="N39" s="203">
        <f t="shared" si="2"/>
        <v>-30027.140000000003</v>
      </c>
      <c r="O39" s="203">
        <f t="shared" si="2"/>
        <v>-15631.980000000001</v>
      </c>
      <c r="P39" s="203">
        <f t="shared" si="2"/>
        <v>-13918.52</v>
      </c>
      <c r="Q39" s="203">
        <f t="shared" si="2"/>
        <v>-39832.32</v>
      </c>
      <c r="R39" s="203">
        <f t="shared" si="2"/>
        <v>-12292.86</v>
      </c>
      <c r="S39" s="203">
        <f t="shared" si="2"/>
        <v>17741.79</v>
      </c>
      <c r="T39" s="203">
        <f t="shared" si="2"/>
        <v>-3418.7200000000012</v>
      </c>
      <c r="U39" s="203">
        <f t="shared" si="2"/>
        <v>22822.04</v>
      </c>
      <c r="V39" s="203">
        <f t="shared" si="2"/>
        <v>0</v>
      </c>
      <c r="W39" s="203">
        <f t="shared" si="2"/>
        <v>0.34</v>
      </c>
      <c r="X39" s="203">
        <f t="shared" si="2"/>
        <v>76682.84</v>
      </c>
      <c r="Y39" s="203">
        <f t="shared" si="2"/>
        <v>58450.320000000007</v>
      </c>
      <c r="Z39" s="203">
        <f t="shared" si="2"/>
        <v>78097.27</v>
      </c>
      <c r="AA39" s="203">
        <f t="shared" si="2"/>
        <v>65738.19</v>
      </c>
      <c r="AB39" s="206">
        <f t="shared" si="2"/>
        <v>-15678.47</v>
      </c>
    </row>
    <row r="40" spans="3:29" x14ac:dyDescent="0.55000000000000004">
      <c r="C40" s="205" t="s">
        <v>1081</v>
      </c>
      <c r="D40" s="217">
        <f t="shared" si="3"/>
        <v>-4844616.1399999997</v>
      </c>
      <c r="E40" s="203">
        <f t="shared" si="5"/>
        <v>-136049.32</v>
      </c>
      <c r="F40" s="203">
        <f t="shared" si="4"/>
        <v>-247881.95</v>
      </c>
      <c r="G40" s="203">
        <f t="shared" si="2"/>
        <v>-144097.60999999999</v>
      </c>
      <c r="H40" s="203">
        <f t="shared" si="2"/>
        <v>-249307.66</v>
      </c>
      <c r="I40" s="203">
        <f t="shared" si="2"/>
        <v>-203691.12</v>
      </c>
      <c r="J40" s="203">
        <f t="shared" si="2"/>
        <v>-189179.8</v>
      </c>
      <c r="K40" s="203">
        <f t="shared" si="2"/>
        <v>-114362.92</v>
      </c>
      <c r="L40" s="203">
        <f t="shared" si="2"/>
        <v>-298492.73</v>
      </c>
      <c r="M40" s="203">
        <f t="shared" si="2"/>
        <v>-261571.93</v>
      </c>
      <c r="N40" s="203">
        <f t="shared" si="2"/>
        <v>-280548.25</v>
      </c>
      <c r="O40" s="203">
        <f t="shared" si="2"/>
        <v>-343663.88</v>
      </c>
      <c r="P40" s="203">
        <f t="shared" si="2"/>
        <v>-440646.11</v>
      </c>
      <c r="Q40" s="203">
        <f t="shared" si="2"/>
        <v>-176249.24</v>
      </c>
      <c r="R40" s="203">
        <f t="shared" si="2"/>
        <v>-136018.51999999999</v>
      </c>
      <c r="S40" s="203">
        <f t="shared" si="2"/>
        <v>-119619.35</v>
      </c>
      <c r="T40" s="203">
        <f t="shared" si="2"/>
        <v>-111758.42</v>
      </c>
      <c r="U40" s="203">
        <f t="shared" si="2"/>
        <v>-389831.6</v>
      </c>
      <c r="V40" s="203">
        <f t="shared" si="2"/>
        <v>-91948.4</v>
      </c>
      <c r="W40" s="203">
        <f t="shared" si="2"/>
        <v>-86253.82</v>
      </c>
      <c r="X40" s="203">
        <f t="shared" si="2"/>
        <v>-125732.33</v>
      </c>
      <c r="Y40" s="203">
        <f t="shared" si="2"/>
        <v>-88700.99</v>
      </c>
      <c r="Z40" s="203">
        <f t="shared" si="2"/>
        <v>-172487.41</v>
      </c>
      <c r="AA40" s="203">
        <f t="shared" si="2"/>
        <v>-83196.45</v>
      </c>
      <c r="AB40" s="206">
        <f t="shared" si="2"/>
        <v>-353326.33</v>
      </c>
    </row>
    <row r="41" spans="3:29" ht="14.7" thickBot="1" x14ac:dyDescent="0.6">
      <c r="C41" s="205"/>
      <c r="D41" s="218"/>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8"/>
    </row>
    <row r="42" spans="3:29" s="200" customFormat="1" ht="14.7" thickBot="1" x14ac:dyDescent="0.6">
      <c r="C42" s="219" t="s">
        <v>1117</v>
      </c>
      <c r="D42" s="220">
        <f>SUM(D31:D40)</f>
        <v>598812.29999999981</v>
      </c>
      <c r="E42" s="204">
        <f t="shared" ref="E42:AB42" si="6">SUM(E31:E40)</f>
        <v>50.630000000004657</v>
      </c>
      <c r="F42" s="204">
        <f t="shared" si="6"/>
        <v>31.259999999922002</v>
      </c>
      <c r="G42" s="204">
        <f t="shared" si="6"/>
        <v>47.190000000002328</v>
      </c>
      <c r="H42" s="204">
        <f t="shared" si="6"/>
        <v>75304.870000000024</v>
      </c>
      <c r="I42" s="204">
        <f t="shared" si="6"/>
        <v>50.380000000062864</v>
      </c>
      <c r="J42" s="204">
        <f t="shared" si="6"/>
        <v>25517.600000000035</v>
      </c>
      <c r="K42" s="204">
        <f t="shared" si="6"/>
        <v>56980.14</v>
      </c>
      <c r="L42" s="204">
        <f t="shared" si="6"/>
        <v>245.06000000005588</v>
      </c>
      <c r="M42" s="204">
        <f t="shared" si="6"/>
        <v>28494.310000000056</v>
      </c>
      <c r="N42" s="204">
        <f t="shared" si="6"/>
        <v>13.009999999951106</v>
      </c>
      <c r="O42" s="204">
        <f t="shared" si="6"/>
        <v>19.379999999946449</v>
      </c>
      <c r="P42" s="204">
        <f t="shared" si="6"/>
        <v>46.089999999967404</v>
      </c>
      <c r="Q42" s="204">
        <f t="shared" si="6"/>
        <v>179.9999999999709</v>
      </c>
      <c r="R42" s="204">
        <f t="shared" si="6"/>
        <v>1227.299999999901</v>
      </c>
      <c r="S42" s="204">
        <f t="shared" si="6"/>
        <v>49350.430000000051</v>
      </c>
      <c r="T42" s="204">
        <f t="shared" si="6"/>
        <v>26754.099999999991</v>
      </c>
      <c r="U42" s="204">
        <f t="shared" si="6"/>
        <v>22822.039999999979</v>
      </c>
      <c r="V42" s="204">
        <f t="shared" si="6"/>
        <v>0</v>
      </c>
      <c r="W42" s="204">
        <f t="shared" si="6"/>
        <v>0.33999999999650754</v>
      </c>
      <c r="X42" s="204">
        <f t="shared" si="6"/>
        <v>76682.839999999982</v>
      </c>
      <c r="Y42" s="204">
        <f t="shared" si="6"/>
        <v>67118.85000000002</v>
      </c>
      <c r="Z42" s="204">
        <f t="shared" si="6"/>
        <v>78097.270000000048</v>
      </c>
      <c r="AA42" s="204">
        <f t="shared" si="6"/>
        <v>89777.760000000024</v>
      </c>
      <c r="AB42" s="204">
        <f t="shared" si="6"/>
        <v>1.4499999999534339</v>
      </c>
      <c r="AC42" s="201"/>
    </row>
    <row r="45" spans="3:29" ht="14.7" thickBot="1" x14ac:dyDescent="0.6"/>
    <row r="46" spans="3:29" ht="14.7" thickBot="1" x14ac:dyDescent="0.6">
      <c r="C46" s="302" t="s">
        <v>1123</v>
      </c>
      <c r="D46" s="303"/>
      <c r="E46" s="304" t="s">
        <v>106</v>
      </c>
      <c r="F46" s="305"/>
      <c r="G46" s="305"/>
      <c r="H46" s="305"/>
      <c r="I46" s="305"/>
      <c r="J46" s="305"/>
      <c r="K46" s="305"/>
      <c r="L46" s="305"/>
      <c r="M46" s="305"/>
      <c r="N46" s="305"/>
      <c r="O46" s="305"/>
      <c r="P46" s="305"/>
      <c r="Q46" s="305"/>
      <c r="R46" s="305"/>
      <c r="S46" s="305"/>
      <c r="T46" s="305"/>
      <c r="U46" s="305"/>
      <c r="V46" s="305"/>
      <c r="W46" s="305"/>
      <c r="X46" s="305"/>
      <c r="Y46" s="305"/>
      <c r="Z46" s="305"/>
      <c r="AA46" s="305"/>
      <c r="AB46" s="306"/>
    </row>
    <row r="47" spans="3:29" ht="14.7" thickBot="1" x14ac:dyDescent="0.6">
      <c r="C47" s="224"/>
      <c r="D47" s="225" t="s">
        <v>1113</v>
      </c>
      <c r="E47" s="212" t="s">
        <v>1025</v>
      </c>
      <c r="F47" s="213" t="s">
        <v>1026</v>
      </c>
      <c r="G47" s="213" t="s">
        <v>1027</v>
      </c>
      <c r="H47" s="213" t="s">
        <v>1028</v>
      </c>
      <c r="I47" s="213" t="s">
        <v>1029</v>
      </c>
      <c r="J47" s="213" t="s">
        <v>1030</v>
      </c>
      <c r="K47" s="213" t="s">
        <v>1031</v>
      </c>
      <c r="L47" s="213" t="s">
        <v>1032</v>
      </c>
      <c r="M47" s="213" t="s">
        <v>1033</v>
      </c>
      <c r="N47" s="213" t="s">
        <v>1109</v>
      </c>
      <c r="O47" s="213" t="s">
        <v>1034</v>
      </c>
      <c r="P47" s="213" t="s">
        <v>1035</v>
      </c>
      <c r="Q47" s="213" t="s">
        <v>1036</v>
      </c>
      <c r="R47" s="213" t="s">
        <v>1037</v>
      </c>
      <c r="S47" s="213" t="s">
        <v>1038</v>
      </c>
      <c r="T47" s="213" t="s">
        <v>1039</v>
      </c>
      <c r="U47" s="213" t="s">
        <v>1040</v>
      </c>
      <c r="V47" s="213" t="s">
        <v>1041</v>
      </c>
      <c r="W47" s="213" t="s">
        <v>1042</v>
      </c>
      <c r="X47" s="213" t="s">
        <v>1043</v>
      </c>
      <c r="Y47" s="213" t="s">
        <v>1044</v>
      </c>
      <c r="Z47" s="213" t="s">
        <v>1045</v>
      </c>
      <c r="AA47" s="213" t="s">
        <v>1046</v>
      </c>
      <c r="AB47" s="214" t="s">
        <v>1047</v>
      </c>
    </row>
    <row r="48" spans="3:29" ht="26.1" thickBot="1" x14ac:dyDescent="0.6">
      <c r="C48" s="221" t="s">
        <v>1110</v>
      </c>
      <c r="D48" s="222" t="s">
        <v>92</v>
      </c>
      <c r="E48" s="215" t="s">
        <v>1096</v>
      </c>
      <c r="F48" s="209" t="s">
        <v>35</v>
      </c>
      <c r="G48" s="209" t="s">
        <v>1097</v>
      </c>
      <c r="H48" s="209" t="s">
        <v>1098</v>
      </c>
      <c r="I48" s="209" t="s">
        <v>38</v>
      </c>
      <c r="J48" s="209" t="s">
        <v>47</v>
      </c>
      <c r="K48" s="209" t="s">
        <v>48</v>
      </c>
      <c r="L48" s="209" t="s">
        <v>1099</v>
      </c>
      <c r="M48" s="209" t="s">
        <v>43</v>
      </c>
      <c r="N48" s="210" t="s">
        <v>1100</v>
      </c>
      <c r="O48" s="209" t="s">
        <v>1101</v>
      </c>
      <c r="P48" s="209" t="s">
        <v>54</v>
      </c>
      <c r="Q48" s="209" t="s">
        <v>45</v>
      </c>
      <c r="R48" s="209" t="s">
        <v>46</v>
      </c>
      <c r="S48" s="209" t="s">
        <v>37</v>
      </c>
      <c r="T48" s="209" t="s">
        <v>1102</v>
      </c>
      <c r="U48" s="209" t="s">
        <v>1103</v>
      </c>
      <c r="V48" s="209" t="s">
        <v>49</v>
      </c>
      <c r="W48" s="209" t="s">
        <v>1104</v>
      </c>
      <c r="X48" s="209" t="s">
        <v>1105</v>
      </c>
      <c r="Y48" s="209" t="s">
        <v>1106</v>
      </c>
      <c r="Z48" s="209" t="s">
        <v>1107</v>
      </c>
      <c r="AA48" s="209" t="s">
        <v>42</v>
      </c>
      <c r="AB48" s="211" t="s">
        <v>1108</v>
      </c>
    </row>
    <row r="49" spans="3:28" ht="14.7" thickBot="1" x14ac:dyDescent="0.6">
      <c r="C49" s="307" t="s">
        <v>1114</v>
      </c>
      <c r="D49" s="308"/>
      <c r="E49" s="309" t="s">
        <v>1111</v>
      </c>
      <c r="F49" s="309"/>
      <c r="G49" s="309"/>
      <c r="H49" s="309"/>
      <c r="I49" s="309"/>
      <c r="J49" s="309"/>
      <c r="K49" s="309"/>
      <c r="L49" s="309"/>
      <c r="M49" s="309"/>
      <c r="N49" s="309"/>
      <c r="O49" s="309"/>
      <c r="P49" s="309"/>
      <c r="Q49" s="309"/>
      <c r="R49" s="309"/>
      <c r="S49" s="309"/>
      <c r="T49" s="309"/>
      <c r="U49" s="309"/>
      <c r="V49" s="309"/>
      <c r="W49" s="309"/>
      <c r="X49" s="309"/>
      <c r="Y49" s="309"/>
      <c r="Z49" s="309"/>
      <c r="AA49" s="309"/>
      <c r="AB49" s="310"/>
    </row>
    <row r="50" spans="3:28" x14ac:dyDescent="0.55000000000000004">
      <c r="C50" s="261"/>
      <c r="D50" s="217"/>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6"/>
    </row>
    <row r="51" spans="3:28" x14ac:dyDescent="0.55000000000000004">
      <c r="C51" s="205" t="s">
        <v>34</v>
      </c>
      <c r="D51" s="217">
        <f t="shared" ref="D51:D56" si="7">SUM(E51:AB51)</f>
        <v>6519845.79</v>
      </c>
      <c r="E51" s="203">
        <v>209562.46</v>
      </c>
      <c r="F51" s="203">
        <v>228320.23</v>
      </c>
      <c r="G51" s="203">
        <v>312958.02</v>
      </c>
      <c r="H51" s="203">
        <v>213771.4</v>
      </c>
      <c r="I51" s="203">
        <v>301817.81</v>
      </c>
      <c r="J51" s="203">
        <v>146134.88</v>
      </c>
      <c r="K51" s="203">
        <v>187468.79999999999</v>
      </c>
      <c r="L51" s="203">
        <v>386403.60000000003</v>
      </c>
      <c r="M51" s="203">
        <v>175743.22</v>
      </c>
      <c r="N51" s="203">
        <v>319451.01</v>
      </c>
      <c r="O51" s="203">
        <v>220733.15000000002</v>
      </c>
      <c r="P51" s="203">
        <v>234616.19</v>
      </c>
      <c r="Q51" s="203">
        <v>294550.88</v>
      </c>
      <c r="R51" s="203">
        <v>166999.98000000001</v>
      </c>
      <c r="S51" s="203">
        <v>281384.78999999998</v>
      </c>
      <c r="T51" s="203">
        <v>159441.95000000001</v>
      </c>
      <c r="U51" s="203">
        <v>342708.69</v>
      </c>
      <c r="V51" s="203">
        <v>135828.07</v>
      </c>
      <c r="W51" s="203">
        <v>249424.17</v>
      </c>
      <c r="X51" s="203">
        <v>346470.33999999997</v>
      </c>
      <c r="Y51" s="203">
        <v>307396.64999999997</v>
      </c>
      <c r="Z51" s="203">
        <v>322170.78999999998</v>
      </c>
      <c r="AA51" s="203">
        <v>321617.53999999998</v>
      </c>
      <c r="AB51" s="206">
        <v>654871.17000000004</v>
      </c>
    </row>
    <row r="52" spans="3:28" x14ac:dyDescent="0.55000000000000004">
      <c r="C52" s="205" t="s">
        <v>1082</v>
      </c>
      <c r="D52" s="217">
        <f t="shared" si="7"/>
        <v>291050.96999999997</v>
      </c>
      <c r="E52" s="203">
        <v>0</v>
      </c>
      <c r="F52" s="203">
        <v>0</v>
      </c>
      <c r="G52" s="203">
        <v>0</v>
      </c>
      <c r="H52" s="203">
        <v>0</v>
      </c>
      <c r="I52" s="203">
        <v>0</v>
      </c>
      <c r="J52" s="203">
        <v>0</v>
      </c>
      <c r="K52" s="203">
        <v>9730.39</v>
      </c>
      <c r="L52" s="203">
        <v>0</v>
      </c>
      <c r="M52" s="203">
        <v>0</v>
      </c>
      <c r="N52" s="203">
        <v>0</v>
      </c>
      <c r="O52" s="203">
        <v>0</v>
      </c>
      <c r="P52" s="203">
        <v>22.56</v>
      </c>
      <c r="Q52" s="203">
        <v>73048.45</v>
      </c>
      <c r="R52" s="203">
        <v>0</v>
      </c>
      <c r="S52" s="203">
        <v>8178.01</v>
      </c>
      <c r="T52" s="203">
        <v>0</v>
      </c>
      <c r="U52" s="203">
        <v>0</v>
      </c>
      <c r="V52" s="203">
        <v>0</v>
      </c>
      <c r="W52" s="203">
        <v>11403</v>
      </c>
      <c r="X52" s="203">
        <v>-3593.5</v>
      </c>
      <c r="Y52" s="203">
        <v>0</v>
      </c>
      <c r="Z52" s="203">
        <v>0</v>
      </c>
      <c r="AA52" s="203">
        <v>32696.639999999999</v>
      </c>
      <c r="AB52" s="206">
        <v>159565.42000000001</v>
      </c>
    </row>
    <row r="53" spans="3:28" x14ac:dyDescent="0.55000000000000004">
      <c r="C53" s="205" t="s">
        <v>74</v>
      </c>
      <c r="D53" s="217">
        <f t="shared" si="7"/>
        <v>2880004.84</v>
      </c>
      <c r="E53" s="203">
        <v>75492.66</v>
      </c>
      <c r="F53" s="203">
        <v>126135.67999999999</v>
      </c>
      <c r="G53" s="203">
        <v>102339.25</v>
      </c>
      <c r="H53" s="203">
        <v>128071.78</v>
      </c>
      <c r="I53" s="203">
        <v>106801.21</v>
      </c>
      <c r="J53" s="203">
        <v>94975.76</v>
      </c>
      <c r="K53" s="203">
        <v>80074.429999999993</v>
      </c>
      <c r="L53" s="203">
        <v>160387.22</v>
      </c>
      <c r="M53" s="203">
        <v>133557.66</v>
      </c>
      <c r="N53" s="203">
        <v>131954.98000000001</v>
      </c>
      <c r="O53" s="203">
        <v>138860.45000000001</v>
      </c>
      <c r="P53" s="203">
        <v>204698.99</v>
      </c>
      <c r="Q53" s="203">
        <v>78173.86</v>
      </c>
      <c r="R53" s="203">
        <v>101360.53</v>
      </c>
      <c r="S53" s="203">
        <v>92844.86</v>
      </c>
      <c r="T53" s="203">
        <v>101004.4</v>
      </c>
      <c r="U53" s="203">
        <v>186072.97</v>
      </c>
      <c r="V53" s="203">
        <v>86033.97</v>
      </c>
      <c r="W53" s="203">
        <v>79994.880000000005</v>
      </c>
      <c r="X53" s="203">
        <v>94478.25</v>
      </c>
      <c r="Y53" s="203">
        <v>73826.03</v>
      </c>
      <c r="Z53" s="203">
        <v>92741.68</v>
      </c>
      <c r="AA53" s="203">
        <v>64439.88</v>
      </c>
      <c r="AB53" s="206">
        <v>345683.46</v>
      </c>
    </row>
    <row r="54" spans="3:28" x14ac:dyDescent="0.55000000000000004">
      <c r="C54" s="205" t="s">
        <v>30</v>
      </c>
      <c r="D54" s="217">
        <f t="shared" si="7"/>
        <v>1957784.9000000004</v>
      </c>
      <c r="E54" s="203">
        <v>42481.88</v>
      </c>
      <c r="F54" s="203">
        <v>69734.61</v>
      </c>
      <c r="G54" s="203">
        <v>89870.04</v>
      </c>
      <c r="H54" s="203">
        <v>79271.7</v>
      </c>
      <c r="I54" s="203">
        <v>87714.87</v>
      </c>
      <c r="J54" s="203">
        <v>66014.84</v>
      </c>
      <c r="K54" s="203">
        <v>63512.75</v>
      </c>
      <c r="L54" s="203">
        <v>141359.99</v>
      </c>
      <c r="M54" s="203">
        <v>72525.84</v>
      </c>
      <c r="N54" s="203">
        <v>49036.54</v>
      </c>
      <c r="O54" s="203">
        <v>64789.86</v>
      </c>
      <c r="P54" s="203">
        <v>88240.46</v>
      </c>
      <c r="Q54" s="203">
        <v>87946.240000000005</v>
      </c>
      <c r="R54" s="203">
        <v>67388.03</v>
      </c>
      <c r="S54" s="203">
        <v>69284.59</v>
      </c>
      <c r="T54" s="203">
        <v>51234.62</v>
      </c>
      <c r="U54" s="203">
        <v>0</v>
      </c>
      <c r="V54" s="203">
        <v>81214.83</v>
      </c>
      <c r="W54" s="203">
        <v>124809.2</v>
      </c>
      <c r="X54" s="203">
        <v>121493.56</v>
      </c>
      <c r="Y54" s="203">
        <v>97873.12</v>
      </c>
      <c r="Z54" s="203">
        <v>137172.99</v>
      </c>
      <c r="AA54" s="203">
        <v>115564.59</v>
      </c>
      <c r="AB54" s="206">
        <v>89249.75</v>
      </c>
    </row>
    <row r="55" spans="3:28" x14ac:dyDescent="0.55000000000000004">
      <c r="C55" s="205" t="s">
        <v>1083</v>
      </c>
      <c r="D55" s="217">
        <f t="shared" si="7"/>
        <v>233061.71999999997</v>
      </c>
      <c r="E55" s="203">
        <v>3351.63</v>
      </c>
      <c r="F55" s="203">
        <v>9836.06</v>
      </c>
      <c r="G55" s="203">
        <v>16676.95</v>
      </c>
      <c r="H55" s="203">
        <v>8914.18</v>
      </c>
      <c r="I55" s="203">
        <v>9068.5</v>
      </c>
      <c r="J55" s="203">
        <v>7867.33</v>
      </c>
      <c r="K55" s="203">
        <v>7803.37</v>
      </c>
      <c r="L55" s="203">
        <v>15496.35</v>
      </c>
      <c r="M55" s="203">
        <v>4034</v>
      </c>
      <c r="N55" s="203">
        <v>7683.33</v>
      </c>
      <c r="O55" s="203">
        <v>4652.51</v>
      </c>
      <c r="P55" s="203">
        <v>5307.3</v>
      </c>
      <c r="Q55" s="203">
        <v>8037.33</v>
      </c>
      <c r="R55" s="203">
        <v>4484.33</v>
      </c>
      <c r="S55" s="203">
        <v>7279.5</v>
      </c>
      <c r="T55" s="203">
        <v>4044.17</v>
      </c>
      <c r="U55" s="203">
        <v>0</v>
      </c>
      <c r="V55" s="203">
        <v>5605.82</v>
      </c>
      <c r="W55" s="203">
        <v>6749.33</v>
      </c>
      <c r="X55" s="203">
        <v>22014.38</v>
      </c>
      <c r="Y55" s="203">
        <v>18544.919999999998</v>
      </c>
      <c r="Z55" s="203">
        <v>20399.55</v>
      </c>
      <c r="AA55" s="203">
        <v>25365.38</v>
      </c>
      <c r="AB55" s="206">
        <v>9845.5</v>
      </c>
    </row>
    <row r="56" spans="3:28" x14ac:dyDescent="0.55000000000000004">
      <c r="C56" s="205" t="s">
        <v>1139</v>
      </c>
      <c r="D56" s="217">
        <f t="shared" si="7"/>
        <v>0</v>
      </c>
      <c r="E56" s="203">
        <v>0</v>
      </c>
      <c r="F56" s="203">
        <v>0</v>
      </c>
      <c r="G56" s="203">
        <v>0</v>
      </c>
      <c r="H56" s="203">
        <v>0</v>
      </c>
      <c r="I56" s="203">
        <v>0</v>
      </c>
      <c r="J56" s="203">
        <v>0</v>
      </c>
      <c r="K56" s="203">
        <v>0</v>
      </c>
      <c r="L56" s="203">
        <v>0</v>
      </c>
      <c r="M56" s="203">
        <v>0</v>
      </c>
      <c r="N56" s="203">
        <v>0</v>
      </c>
      <c r="O56" s="203">
        <v>0</v>
      </c>
      <c r="P56" s="203">
        <v>0</v>
      </c>
      <c r="Q56" s="203">
        <v>0</v>
      </c>
      <c r="R56" s="203">
        <v>0</v>
      </c>
      <c r="S56" s="203">
        <v>0</v>
      </c>
      <c r="T56" s="203">
        <v>0</v>
      </c>
      <c r="U56" s="203">
        <v>0</v>
      </c>
      <c r="V56" s="203">
        <v>0</v>
      </c>
      <c r="W56" s="203">
        <v>0</v>
      </c>
      <c r="X56" s="203">
        <v>0</v>
      </c>
      <c r="Y56" s="203">
        <v>0</v>
      </c>
      <c r="Z56" s="203">
        <v>0</v>
      </c>
      <c r="AA56" s="203">
        <v>0</v>
      </c>
      <c r="AB56" s="206">
        <v>0</v>
      </c>
    </row>
    <row r="57" spans="3:28" ht="14.7" thickBot="1" x14ac:dyDescent="0.6">
      <c r="C57" s="264" t="s">
        <v>15</v>
      </c>
      <c r="D57" s="265">
        <f>SUM(D51:D56)</f>
        <v>11881748.220000001</v>
      </c>
      <c r="E57" s="267">
        <v>330888.63</v>
      </c>
      <c r="F57" s="267">
        <v>434026.58</v>
      </c>
      <c r="G57" s="267">
        <v>521844.26</v>
      </c>
      <c r="H57" s="267">
        <v>430029.06</v>
      </c>
      <c r="I57" s="267">
        <v>505402.39</v>
      </c>
      <c r="J57" s="267">
        <v>314992.81</v>
      </c>
      <c r="K57" s="267">
        <v>348589.74</v>
      </c>
      <c r="L57" s="267">
        <v>703647.16</v>
      </c>
      <c r="M57" s="267">
        <v>385860.72</v>
      </c>
      <c r="N57" s="267">
        <v>508125.86</v>
      </c>
      <c r="O57" s="267">
        <v>429035.97000000003</v>
      </c>
      <c r="P57" s="267">
        <v>532885.5</v>
      </c>
      <c r="Q57" s="267">
        <v>541756.76</v>
      </c>
      <c r="R57" s="267">
        <v>340232.87000000005</v>
      </c>
      <c r="S57" s="267">
        <v>458971.75</v>
      </c>
      <c r="T57" s="267">
        <v>315725.14</v>
      </c>
      <c r="U57" s="267">
        <f>SUM(U51:U56)</f>
        <v>528781.66</v>
      </c>
      <c r="V57" s="267">
        <v>308682.69</v>
      </c>
      <c r="W57" s="267">
        <v>472380.58000000007</v>
      </c>
      <c r="X57" s="267">
        <v>580863.02999999991</v>
      </c>
      <c r="Y57" s="267">
        <v>497640.71999999991</v>
      </c>
      <c r="Z57" s="267">
        <v>572485.01</v>
      </c>
      <c r="AA57" s="267">
        <v>559684.03</v>
      </c>
      <c r="AB57" s="268">
        <v>1259215.3</v>
      </c>
    </row>
    <row r="58" spans="3:28" ht="14.7" thickTop="1" x14ac:dyDescent="0.55000000000000004">
      <c r="C58" s="205"/>
      <c r="D58" s="217"/>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6"/>
    </row>
    <row r="59" spans="3:28" x14ac:dyDescent="0.55000000000000004">
      <c r="C59" s="262" t="s">
        <v>1091</v>
      </c>
      <c r="D59" s="217"/>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6"/>
    </row>
    <row r="60" spans="3:28" x14ac:dyDescent="0.55000000000000004">
      <c r="C60" s="205" t="s">
        <v>101</v>
      </c>
      <c r="D60" s="217">
        <f t="shared" ref="D60" si="8">SUM(E60:AB60)</f>
        <v>0</v>
      </c>
      <c r="E60" s="203">
        <v>0</v>
      </c>
      <c r="F60" s="203">
        <v>0</v>
      </c>
      <c r="G60" s="203">
        <v>0</v>
      </c>
      <c r="H60" s="203">
        <v>0</v>
      </c>
      <c r="I60" s="203">
        <v>0</v>
      </c>
      <c r="J60" s="203">
        <v>0</v>
      </c>
      <c r="K60" s="203">
        <v>0</v>
      </c>
      <c r="L60" s="203">
        <v>0</v>
      </c>
      <c r="M60" s="203">
        <v>0</v>
      </c>
      <c r="N60" s="203">
        <v>0</v>
      </c>
      <c r="O60" s="203">
        <v>0</v>
      </c>
      <c r="P60" s="203">
        <v>0</v>
      </c>
      <c r="Q60" s="203">
        <v>0</v>
      </c>
      <c r="R60" s="203">
        <v>0</v>
      </c>
      <c r="S60" s="203">
        <v>0</v>
      </c>
      <c r="T60" s="203">
        <v>0</v>
      </c>
      <c r="U60" s="203">
        <v>0</v>
      </c>
      <c r="V60" s="203">
        <v>0</v>
      </c>
      <c r="W60" s="203">
        <v>0</v>
      </c>
      <c r="X60" s="203">
        <v>0</v>
      </c>
      <c r="Y60" s="203">
        <v>0</v>
      </c>
      <c r="Z60" s="203">
        <v>0</v>
      </c>
      <c r="AA60" s="203">
        <v>0</v>
      </c>
      <c r="AB60" s="206">
        <v>0</v>
      </c>
    </row>
    <row r="61" spans="3:28" ht="14.7" thickBot="1" x14ac:dyDescent="0.6">
      <c r="C61" s="205"/>
      <c r="D61" s="217"/>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6"/>
    </row>
    <row r="62" spans="3:28" ht="14.7" thickBot="1" x14ac:dyDescent="0.6">
      <c r="C62" s="307" t="s">
        <v>1115</v>
      </c>
      <c r="D62" s="308"/>
      <c r="E62" s="309" t="s">
        <v>1112</v>
      </c>
      <c r="F62" s="309"/>
      <c r="G62" s="309"/>
      <c r="H62" s="309"/>
      <c r="I62" s="309"/>
      <c r="J62" s="309"/>
      <c r="K62" s="309"/>
      <c r="L62" s="309"/>
      <c r="M62" s="309"/>
      <c r="N62" s="309"/>
      <c r="O62" s="309"/>
      <c r="P62" s="309"/>
      <c r="Q62" s="309"/>
      <c r="R62" s="309"/>
      <c r="S62" s="309"/>
      <c r="T62" s="309"/>
      <c r="U62" s="309"/>
      <c r="V62" s="309"/>
      <c r="W62" s="309"/>
      <c r="X62" s="309"/>
      <c r="Y62" s="309"/>
      <c r="Z62" s="309"/>
      <c r="AA62" s="309"/>
      <c r="AB62" s="310"/>
    </row>
    <row r="63" spans="3:28" x14ac:dyDescent="0.55000000000000004">
      <c r="C63" s="205"/>
      <c r="D63" s="217"/>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6"/>
    </row>
    <row r="64" spans="3:28" x14ac:dyDescent="0.55000000000000004">
      <c r="C64" s="205" t="s">
        <v>34</v>
      </c>
      <c r="D64" s="217">
        <f t="shared" ref="D64:D69" si="9">SUM(E64:AB64)</f>
        <v>6804466.9199999999</v>
      </c>
      <c r="E64" s="203">
        <v>209327.19999999998</v>
      </c>
      <c r="F64" s="203">
        <v>227797.38</v>
      </c>
      <c r="G64" s="203">
        <v>312958.02</v>
      </c>
      <c r="H64" s="203">
        <v>213771.40000000002</v>
      </c>
      <c r="I64" s="203">
        <v>301474.95</v>
      </c>
      <c r="J64" s="203">
        <v>145869.06</v>
      </c>
      <c r="K64" s="203">
        <v>197199.18999999997</v>
      </c>
      <c r="L64" s="203">
        <v>386403.6</v>
      </c>
      <c r="M64" s="203">
        <v>175623.22</v>
      </c>
      <c r="N64" s="203">
        <v>318995.76</v>
      </c>
      <c r="O64" s="203">
        <v>220231.69</v>
      </c>
      <c r="P64" s="203">
        <v>234638.75</v>
      </c>
      <c r="Q64" s="203">
        <v>366899.33</v>
      </c>
      <c r="R64" s="203">
        <v>166701.32999999999</v>
      </c>
      <c r="S64" s="203">
        <v>288909.46000000002</v>
      </c>
      <c r="T64" s="203">
        <v>159168.93</v>
      </c>
      <c r="U64" s="203">
        <v>342073.83</v>
      </c>
      <c r="V64" s="203">
        <v>135828.07</v>
      </c>
      <c r="W64" s="203">
        <v>260827.17</v>
      </c>
      <c r="X64" s="203">
        <v>342643.72</v>
      </c>
      <c r="Y64" s="203">
        <v>307009.68</v>
      </c>
      <c r="Z64" s="203">
        <v>321865.03999999998</v>
      </c>
      <c r="AA64" s="203">
        <v>354017.55</v>
      </c>
      <c r="AB64" s="206">
        <v>814232.59000000008</v>
      </c>
    </row>
    <row r="65" spans="3:28" x14ac:dyDescent="0.55000000000000004">
      <c r="C65" s="205" t="s">
        <v>1082</v>
      </c>
      <c r="D65" s="217">
        <f t="shared" si="9"/>
        <v>0</v>
      </c>
      <c r="E65" s="203">
        <v>0</v>
      </c>
      <c r="F65" s="203">
        <v>0</v>
      </c>
      <c r="G65" s="203">
        <v>0</v>
      </c>
      <c r="H65" s="203">
        <v>0</v>
      </c>
      <c r="I65" s="203">
        <v>0</v>
      </c>
      <c r="J65" s="203">
        <v>0</v>
      </c>
      <c r="K65" s="203">
        <v>0</v>
      </c>
      <c r="L65" s="203">
        <v>0</v>
      </c>
      <c r="M65" s="203">
        <v>0</v>
      </c>
      <c r="N65" s="203">
        <v>0</v>
      </c>
      <c r="O65" s="203">
        <v>0</v>
      </c>
      <c r="P65" s="203">
        <v>0</v>
      </c>
      <c r="Q65" s="203">
        <v>0</v>
      </c>
      <c r="R65" s="203">
        <v>0</v>
      </c>
      <c r="S65" s="203">
        <v>0</v>
      </c>
      <c r="T65" s="203">
        <v>0</v>
      </c>
      <c r="U65" s="203">
        <v>0</v>
      </c>
      <c r="V65" s="203">
        <v>0</v>
      </c>
      <c r="W65" s="203">
        <v>0</v>
      </c>
      <c r="X65" s="203">
        <v>0</v>
      </c>
      <c r="Y65" s="203">
        <v>0</v>
      </c>
      <c r="Z65" s="203">
        <v>0</v>
      </c>
      <c r="AA65" s="203">
        <v>0</v>
      </c>
      <c r="AB65" s="206">
        <v>0</v>
      </c>
    </row>
    <row r="66" spans="3:28" x14ac:dyDescent="0.55000000000000004">
      <c r="C66" s="205" t="s">
        <v>74</v>
      </c>
      <c r="D66" s="217">
        <f t="shared" si="9"/>
        <v>2537019.25</v>
      </c>
      <c r="E66" s="203">
        <v>72962.19</v>
      </c>
      <c r="F66" s="203">
        <v>111495.41</v>
      </c>
      <c r="G66" s="203">
        <v>87560.709999999992</v>
      </c>
      <c r="H66" s="203">
        <v>97180.540000000008</v>
      </c>
      <c r="I66" s="203">
        <v>98511.85</v>
      </c>
      <c r="J66" s="203">
        <v>71533.03</v>
      </c>
      <c r="K66" s="203">
        <v>68624.929999999993</v>
      </c>
      <c r="L66" s="203">
        <v>132401.04</v>
      </c>
      <c r="M66" s="203">
        <v>110280.54000000001</v>
      </c>
      <c r="N66" s="203">
        <v>123070.64</v>
      </c>
      <c r="O66" s="203">
        <v>138860.45000000001</v>
      </c>
      <c r="P66" s="203">
        <v>174006.95</v>
      </c>
      <c r="Q66" s="203">
        <v>69133.33</v>
      </c>
      <c r="R66" s="203">
        <v>84529.76999999999</v>
      </c>
      <c r="S66" s="203">
        <v>82091.97</v>
      </c>
      <c r="T66" s="203">
        <v>75692.210000000006</v>
      </c>
      <c r="U66" s="203">
        <v>186546.46</v>
      </c>
      <c r="V66" s="203">
        <v>62665.82</v>
      </c>
      <c r="W66" s="203">
        <v>62091.040000000008</v>
      </c>
      <c r="X66" s="203">
        <v>94478.25</v>
      </c>
      <c r="Y66" s="203">
        <v>69830.19</v>
      </c>
      <c r="Z66" s="203">
        <v>81478.549999999988</v>
      </c>
      <c r="AA66" s="203">
        <v>64439.88</v>
      </c>
      <c r="AB66" s="206">
        <v>317553.5</v>
      </c>
    </row>
    <row r="67" spans="3:28" x14ac:dyDescent="0.55000000000000004">
      <c r="C67" s="205" t="s">
        <v>30</v>
      </c>
      <c r="D67" s="217">
        <f t="shared" si="9"/>
        <v>2301243.98</v>
      </c>
      <c r="E67" s="203">
        <v>45012.35</v>
      </c>
      <c r="F67" s="203">
        <v>84374.88</v>
      </c>
      <c r="G67" s="203">
        <v>104648.58</v>
      </c>
      <c r="H67" s="203">
        <v>110162.94</v>
      </c>
      <c r="I67" s="203">
        <v>96004.23</v>
      </c>
      <c r="J67" s="203">
        <v>89457.57</v>
      </c>
      <c r="K67" s="203">
        <v>74962.25</v>
      </c>
      <c r="L67" s="203">
        <v>169346.17</v>
      </c>
      <c r="M67" s="203">
        <v>95802.96</v>
      </c>
      <c r="N67" s="203">
        <v>57920.88</v>
      </c>
      <c r="O67" s="203">
        <v>64789.86</v>
      </c>
      <c r="P67" s="203">
        <v>118932.5</v>
      </c>
      <c r="Q67" s="203">
        <v>96986.77</v>
      </c>
      <c r="R67" s="203">
        <v>84218.79</v>
      </c>
      <c r="S67" s="203">
        <v>80037.48</v>
      </c>
      <c r="T67" s="203">
        <v>76546.81</v>
      </c>
      <c r="U67" s="203">
        <v>0</v>
      </c>
      <c r="V67" s="203">
        <v>104582.98</v>
      </c>
      <c r="W67" s="203">
        <v>142713.04</v>
      </c>
      <c r="X67" s="203">
        <v>121493.56</v>
      </c>
      <c r="Y67" s="203">
        <v>101868.96</v>
      </c>
      <c r="Z67" s="203">
        <v>148436.12</v>
      </c>
      <c r="AA67" s="203">
        <v>115564.59</v>
      </c>
      <c r="AB67" s="206">
        <v>117379.71</v>
      </c>
    </row>
    <row r="68" spans="3:28" x14ac:dyDescent="0.55000000000000004">
      <c r="C68" s="205" t="s">
        <v>1083</v>
      </c>
      <c r="D68" s="217">
        <f t="shared" si="9"/>
        <v>0</v>
      </c>
      <c r="E68" s="203">
        <v>0</v>
      </c>
      <c r="F68" s="203">
        <v>0</v>
      </c>
      <c r="G68" s="203">
        <v>0</v>
      </c>
      <c r="H68" s="203">
        <v>0</v>
      </c>
      <c r="I68" s="203">
        <v>0</v>
      </c>
      <c r="J68" s="203">
        <v>0</v>
      </c>
      <c r="K68" s="203">
        <v>0</v>
      </c>
      <c r="L68" s="203">
        <v>0</v>
      </c>
      <c r="M68" s="203">
        <v>0</v>
      </c>
      <c r="N68" s="203">
        <v>0</v>
      </c>
      <c r="O68" s="203">
        <v>0</v>
      </c>
      <c r="P68" s="203">
        <v>0</v>
      </c>
      <c r="Q68" s="203">
        <v>0</v>
      </c>
      <c r="R68" s="203">
        <v>0</v>
      </c>
      <c r="S68" s="203">
        <v>0</v>
      </c>
      <c r="T68" s="203">
        <v>0</v>
      </c>
      <c r="U68" s="203">
        <v>0</v>
      </c>
      <c r="V68" s="203">
        <v>0</v>
      </c>
      <c r="W68" s="203">
        <v>0</v>
      </c>
      <c r="X68" s="203">
        <v>0</v>
      </c>
      <c r="Y68" s="203">
        <v>0</v>
      </c>
      <c r="Z68" s="203">
        <v>0</v>
      </c>
      <c r="AA68" s="203">
        <v>0</v>
      </c>
      <c r="AB68" s="206">
        <v>0</v>
      </c>
    </row>
    <row r="69" spans="3:28" x14ac:dyDescent="0.55000000000000004">
      <c r="C69" s="205" t="s">
        <v>1139</v>
      </c>
      <c r="D69" s="217">
        <f t="shared" si="9"/>
        <v>236087.71999999997</v>
      </c>
      <c r="E69" s="203">
        <v>3351.63</v>
      </c>
      <c r="F69" s="203">
        <v>9836.06</v>
      </c>
      <c r="G69" s="203">
        <v>16676.95</v>
      </c>
      <c r="H69" s="203">
        <v>8914.18</v>
      </c>
      <c r="I69" s="203">
        <v>9068.5</v>
      </c>
      <c r="J69" s="203">
        <v>7867.33</v>
      </c>
      <c r="K69" s="203">
        <v>7803.37</v>
      </c>
      <c r="L69" s="203">
        <v>15496.35</v>
      </c>
      <c r="M69" s="203">
        <v>4034</v>
      </c>
      <c r="N69" s="203">
        <v>7683.33</v>
      </c>
      <c r="O69" s="203">
        <v>4652.51</v>
      </c>
      <c r="P69" s="203">
        <v>5307.3</v>
      </c>
      <c r="Q69" s="203">
        <v>11063.33</v>
      </c>
      <c r="R69" s="203">
        <v>4484.33</v>
      </c>
      <c r="S69" s="203">
        <v>7279.5</v>
      </c>
      <c r="T69" s="203">
        <v>4044.17</v>
      </c>
      <c r="U69" s="203">
        <v>0</v>
      </c>
      <c r="V69" s="203">
        <v>5605.82</v>
      </c>
      <c r="W69" s="203">
        <v>6749.33</v>
      </c>
      <c r="X69" s="203">
        <v>22014.38</v>
      </c>
      <c r="Y69" s="203">
        <v>18544.919999999998</v>
      </c>
      <c r="Z69" s="203">
        <v>20399.55</v>
      </c>
      <c r="AA69" s="203">
        <v>25365.38</v>
      </c>
      <c r="AB69" s="206">
        <v>9845.5</v>
      </c>
    </row>
    <row r="70" spans="3:28" ht="14.7" thickBot="1" x14ac:dyDescent="0.6">
      <c r="C70" s="264" t="s">
        <v>15</v>
      </c>
      <c r="D70" s="265">
        <f>SUM(D64:D69)</f>
        <v>11878817.870000001</v>
      </c>
      <c r="E70" s="266">
        <v>330653.37</v>
      </c>
      <c r="F70" s="267">
        <v>433503.73000000004</v>
      </c>
      <c r="G70" s="267">
        <v>521844.26</v>
      </c>
      <c r="H70" s="267">
        <v>430029.06000000006</v>
      </c>
      <c r="I70" s="267">
        <v>505059.53</v>
      </c>
      <c r="J70" s="267">
        <v>314726.99000000005</v>
      </c>
      <c r="K70" s="267">
        <v>348589.74</v>
      </c>
      <c r="L70" s="267">
        <v>703647.16</v>
      </c>
      <c r="M70" s="267">
        <v>385740.72000000003</v>
      </c>
      <c r="N70" s="267">
        <v>507670.61000000004</v>
      </c>
      <c r="O70" s="267">
        <v>428534.51</v>
      </c>
      <c r="P70" s="267">
        <v>532885.5</v>
      </c>
      <c r="Q70" s="267">
        <v>544082.76</v>
      </c>
      <c r="R70" s="267">
        <v>339934.22</v>
      </c>
      <c r="S70" s="267">
        <v>458318.41000000003</v>
      </c>
      <c r="T70" s="267">
        <v>315452.12</v>
      </c>
      <c r="U70" s="267">
        <f>SUM(U64:U69)</f>
        <v>528620.29</v>
      </c>
      <c r="V70" s="267">
        <v>308682.69</v>
      </c>
      <c r="W70" s="267">
        <v>472380.58</v>
      </c>
      <c r="X70" s="267">
        <v>580629.91</v>
      </c>
      <c r="Y70" s="267">
        <v>497253.75</v>
      </c>
      <c r="Z70" s="267">
        <v>572179.26</v>
      </c>
      <c r="AA70" s="267">
        <v>559387.4</v>
      </c>
      <c r="AB70" s="268">
        <v>1259011.3</v>
      </c>
    </row>
    <row r="71" spans="3:28" ht="14.7" thickTop="1" x14ac:dyDescent="0.55000000000000004">
      <c r="C71" s="205"/>
      <c r="D71" s="217"/>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6"/>
    </row>
    <row r="72" spans="3:28" x14ac:dyDescent="0.55000000000000004">
      <c r="C72" s="262" t="s">
        <v>1091</v>
      </c>
      <c r="D72" s="217"/>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6"/>
    </row>
    <row r="73" spans="3:28" x14ac:dyDescent="0.55000000000000004">
      <c r="C73" s="262" t="s">
        <v>101</v>
      </c>
      <c r="D73" s="217">
        <f t="shared" ref="D73" si="10">SUM(E73:AB73)</f>
        <v>-597570.65999999992</v>
      </c>
      <c r="E73" s="203">
        <v>-50.63</v>
      </c>
      <c r="F73" s="203">
        <v>-31.26</v>
      </c>
      <c r="G73" s="203">
        <v>-47.19</v>
      </c>
      <c r="H73" s="203">
        <v>-75304.87</v>
      </c>
      <c r="I73" s="203">
        <v>-50.38</v>
      </c>
      <c r="J73" s="203">
        <v>-25517.599999999999</v>
      </c>
      <c r="K73" s="203">
        <v>-56980.14</v>
      </c>
      <c r="L73" s="203">
        <v>-245.06</v>
      </c>
      <c r="M73" s="203">
        <v>-28494.31</v>
      </c>
      <c r="N73" s="203">
        <v>-13.01</v>
      </c>
      <c r="O73" s="203">
        <v>-19.38</v>
      </c>
      <c r="P73" s="203">
        <v>-46.09</v>
      </c>
      <c r="Q73" s="203">
        <v>-180</v>
      </c>
      <c r="R73" s="203">
        <v>14.34</v>
      </c>
      <c r="S73" s="203">
        <v>-49350.43</v>
      </c>
      <c r="T73" s="203">
        <v>-26754.1</v>
      </c>
      <c r="U73" s="203">
        <v>-22822.04</v>
      </c>
      <c r="V73" s="203">
        <v>0</v>
      </c>
      <c r="W73" s="203">
        <v>-0.34</v>
      </c>
      <c r="X73" s="203">
        <v>-76682.84</v>
      </c>
      <c r="Y73" s="203">
        <v>-67118.850000000006</v>
      </c>
      <c r="Z73" s="203">
        <v>-78097.27</v>
      </c>
      <c r="AA73" s="203">
        <v>-89777.76</v>
      </c>
      <c r="AB73" s="206">
        <v>-1.45</v>
      </c>
    </row>
    <row r="74" spans="3:28" ht="14.7" thickBot="1" x14ac:dyDescent="0.6">
      <c r="C74" s="205"/>
      <c r="D74" s="217"/>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6"/>
    </row>
    <row r="75" spans="3:28" ht="14.7" thickBot="1" x14ac:dyDescent="0.6">
      <c r="C75" s="307" t="s">
        <v>1122</v>
      </c>
      <c r="D75" s="308"/>
      <c r="E75" s="311" t="s">
        <v>114</v>
      </c>
      <c r="F75" s="311"/>
      <c r="G75" s="311"/>
      <c r="H75" s="311"/>
      <c r="I75" s="311"/>
      <c r="J75" s="311"/>
      <c r="K75" s="311"/>
      <c r="L75" s="311"/>
      <c r="M75" s="311"/>
      <c r="N75" s="311"/>
      <c r="O75" s="311"/>
      <c r="P75" s="311"/>
      <c r="Q75" s="311"/>
      <c r="R75" s="311"/>
      <c r="S75" s="311"/>
      <c r="T75" s="311"/>
      <c r="U75" s="311"/>
      <c r="V75" s="311"/>
      <c r="W75" s="311"/>
      <c r="X75" s="311"/>
      <c r="Y75" s="311"/>
      <c r="Z75" s="311"/>
      <c r="AA75" s="311"/>
      <c r="AB75" s="312"/>
    </row>
    <row r="76" spans="3:28" x14ac:dyDescent="0.55000000000000004">
      <c r="C76" s="205"/>
      <c r="D76" s="217"/>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6"/>
    </row>
    <row r="77" spans="3:28" x14ac:dyDescent="0.55000000000000004">
      <c r="C77" s="205" t="s">
        <v>34</v>
      </c>
      <c r="D77" s="217">
        <f t="shared" ref="D77:D82" si="11">SUM(E77:AB77)</f>
        <v>-284621.13000000006</v>
      </c>
      <c r="E77" s="203">
        <f>E51-E64</f>
        <v>235.26000000000931</v>
      </c>
      <c r="F77" s="203">
        <f>F51-F64</f>
        <v>522.85000000000582</v>
      </c>
      <c r="G77" s="203">
        <f t="shared" ref="G77:AB77" si="12">G51-G64</f>
        <v>0</v>
      </c>
      <c r="H77" s="203">
        <f t="shared" si="12"/>
        <v>0</v>
      </c>
      <c r="I77" s="203">
        <f t="shared" si="12"/>
        <v>342.85999999998603</v>
      </c>
      <c r="J77" s="203">
        <f t="shared" si="12"/>
        <v>265.82000000000698</v>
      </c>
      <c r="K77" s="203">
        <f t="shared" si="12"/>
        <v>-9730.3899999999849</v>
      </c>
      <c r="L77" s="203">
        <f t="shared" si="12"/>
        <v>0</v>
      </c>
      <c r="M77" s="203">
        <f t="shared" si="12"/>
        <v>120</v>
      </c>
      <c r="N77" s="203">
        <f t="shared" si="12"/>
        <v>455.25</v>
      </c>
      <c r="O77" s="203">
        <f t="shared" si="12"/>
        <v>501.46000000002095</v>
      </c>
      <c r="P77" s="203">
        <f t="shared" si="12"/>
        <v>-22.559999999997672</v>
      </c>
      <c r="Q77" s="203">
        <f t="shared" si="12"/>
        <v>-72348.450000000012</v>
      </c>
      <c r="R77" s="203">
        <f t="shared" si="12"/>
        <v>298.65000000002328</v>
      </c>
      <c r="S77" s="203">
        <f t="shared" si="12"/>
        <v>-7524.6700000000419</v>
      </c>
      <c r="T77" s="203">
        <f t="shared" si="12"/>
        <v>273.02000000001863</v>
      </c>
      <c r="U77" s="203">
        <f t="shared" si="12"/>
        <v>634.85999999998603</v>
      </c>
      <c r="V77" s="203">
        <f t="shared" si="12"/>
        <v>0</v>
      </c>
      <c r="W77" s="203">
        <f t="shared" si="12"/>
        <v>-11403</v>
      </c>
      <c r="X77" s="203">
        <f t="shared" si="12"/>
        <v>3826.6199999999953</v>
      </c>
      <c r="Y77" s="203">
        <f t="shared" si="12"/>
        <v>386.96999999997206</v>
      </c>
      <c r="Z77" s="203">
        <f t="shared" si="12"/>
        <v>305.75</v>
      </c>
      <c r="AA77" s="203">
        <f t="shared" si="12"/>
        <v>-32400.010000000009</v>
      </c>
      <c r="AB77" s="203">
        <f t="shared" si="12"/>
        <v>-159361.42000000004</v>
      </c>
    </row>
    <row r="78" spans="3:28" x14ac:dyDescent="0.55000000000000004">
      <c r="C78" s="205" t="s">
        <v>1082</v>
      </c>
      <c r="D78" s="217">
        <f t="shared" si="11"/>
        <v>291050.96999999997</v>
      </c>
      <c r="E78" s="203">
        <f t="shared" ref="E78:E83" si="13">E52-E65</f>
        <v>0</v>
      </c>
      <c r="F78" s="203">
        <f t="shared" ref="F78:F83" si="14">F52-F65</f>
        <v>0</v>
      </c>
      <c r="G78" s="203">
        <f t="shared" ref="G78:AB78" si="15">G52-G65</f>
        <v>0</v>
      </c>
      <c r="H78" s="203">
        <f t="shared" si="15"/>
        <v>0</v>
      </c>
      <c r="I78" s="203">
        <f t="shared" si="15"/>
        <v>0</v>
      </c>
      <c r="J78" s="203">
        <f t="shared" si="15"/>
        <v>0</v>
      </c>
      <c r="K78" s="203">
        <f t="shared" si="15"/>
        <v>9730.39</v>
      </c>
      <c r="L78" s="203">
        <f t="shared" si="15"/>
        <v>0</v>
      </c>
      <c r="M78" s="203">
        <f t="shared" si="15"/>
        <v>0</v>
      </c>
      <c r="N78" s="203">
        <f t="shared" si="15"/>
        <v>0</v>
      </c>
      <c r="O78" s="203">
        <f t="shared" si="15"/>
        <v>0</v>
      </c>
      <c r="P78" s="203">
        <f t="shared" si="15"/>
        <v>22.56</v>
      </c>
      <c r="Q78" s="203">
        <f t="shared" si="15"/>
        <v>73048.45</v>
      </c>
      <c r="R78" s="203">
        <f t="shared" si="15"/>
        <v>0</v>
      </c>
      <c r="S78" s="203">
        <f t="shared" si="15"/>
        <v>8178.01</v>
      </c>
      <c r="T78" s="203">
        <f t="shared" si="15"/>
        <v>0</v>
      </c>
      <c r="U78" s="203">
        <f t="shared" si="15"/>
        <v>0</v>
      </c>
      <c r="V78" s="203">
        <f t="shared" si="15"/>
        <v>0</v>
      </c>
      <c r="W78" s="203">
        <f t="shared" si="15"/>
        <v>11403</v>
      </c>
      <c r="X78" s="203">
        <f t="shared" si="15"/>
        <v>-3593.5</v>
      </c>
      <c r="Y78" s="203">
        <f t="shared" si="15"/>
        <v>0</v>
      </c>
      <c r="Z78" s="203">
        <f t="shared" si="15"/>
        <v>0</v>
      </c>
      <c r="AA78" s="203">
        <f t="shared" si="15"/>
        <v>32696.639999999999</v>
      </c>
      <c r="AB78" s="203">
        <f t="shared" si="15"/>
        <v>159565.42000000001</v>
      </c>
    </row>
    <row r="79" spans="3:28" x14ac:dyDescent="0.55000000000000004">
      <c r="C79" s="205" t="s">
        <v>74</v>
      </c>
      <c r="D79" s="217">
        <f t="shared" si="11"/>
        <v>342985.59</v>
      </c>
      <c r="E79" s="203">
        <f t="shared" si="13"/>
        <v>2530.4700000000012</v>
      </c>
      <c r="F79" s="203">
        <f t="shared" si="14"/>
        <v>14640.26999999999</v>
      </c>
      <c r="G79" s="203">
        <f t="shared" ref="G79:AB79" si="16">G53-G66</f>
        <v>14778.540000000008</v>
      </c>
      <c r="H79" s="203">
        <f t="shared" si="16"/>
        <v>30891.239999999991</v>
      </c>
      <c r="I79" s="203">
        <f t="shared" si="16"/>
        <v>8289.36</v>
      </c>
      <c r="J79" s="203">
        <f t="shared" si="16"/>
        <v>23442.729999999996</v>
      </c>
      <c r="K79" s="203">
        <f t="shared" si="16"/>
        <v>11449.5</v>
      </c>
      <c r="L79" s="203">
        <f t="shared" si="16"/>
        <v>27986.179999999993</v>
      </c>
      <c r="M79" s="203">
        <f t="shared" si="16"/>
        <v>23277.119999999995</v>
      </c>
      <c r="N79" s="203">
        <f t="shared" si="16"/>
        <v>8884.3400000000111</v>
      </c>
      <c r="O79" s="203">
        <f t="shared" si="16"/>
        <v>0</v>
      </c>
      <c r="P79" s="203">
        <f t="shared" si="16"/>
        <v>30692.039999999979</v>
      </c>
      <c r="Q79" s="203">
        <f t="shared" si="16"/>
        <v>9040.5299999999988</v>
      </c>
      <c r="R79" s="203">
        <f t="shared" si="16"/>
        <v>16830.760000000009</v>
      </c>
      <c r="S79" s="203">
        <f t="shared" si="16"/>
        <v>10752.89</v>
      </c>
      <c r="T79" s="203">
        <f t="shared" si="16"/>
        <v>25312.189999999988</v>
      </c>
      <c r="U79" s="203">
        <f t="shared" si="16"/>
        <v>-473.48999999999069</v>
      </c>
      <c r="V79" s="203">
        <f t="shared" si="16"/>
        <v>23368.15</v>
      </c>
      <c r="W79" s="203">
        <f t="shared" si="16"/>
        <v>17903.839999999997</v>
      </c>
      <c r="X79" s="203">
        <f t="shared" si="16"/>
        <v>0</v>
      </c>
      <c r="Y79" s="203">
        <f t="shared" si="16"/>
        <v>3995.8399999999965</v>
      </c>
      <c r="Z79" s="203">
        <f t="shared" si="16"/>
        <v>11263.130000000005</v>
      </c>
      <c r="AA79" s="203">
        <f t="shared" si="16"/>
        <v>0</v>
      </c>
      <c r="AB79" s="203">
        <f t="shared" si="16"/>
        <v>28129.960000000021</v>
      </c>
    </row>
    <row r="80" spans="3:28" x14ac:dyDescent="0.55000000000000004">
      <c r="C80" s="205" t="s">
        <v>30</v>
      </c>
      <c r="D80" s="217">
        <f t="shared" si="11"/>
        <v>-343459.08000000013</v>
      </c>
      <c r="E80" s="203">
        <f t="shared" si="13"/>
        <v>-2530.4700000000012</v>
      </c>
      <c r="F80" s="203">
        <f t="shared" si="14"/>
        <v>-14640.270000000004</v>
      </c>
      <c r="G80" s="203">
        <f t="shared" ref="G80:AB80" si="17">G54-G67</f>
        <v>-14778.540000000008</v>
      </c>
      <c r="H80" s="203">
        <f t="shared" si="17"/>
        <v>-30891.240000000005</v>
      </c>
      <c r="I80" s="203">
        <f t="shared" si="17"/>
        <v>-8289.36</v>
      </c>
      <c r="J80" s="203">
        <f t="shared" si="17"/>
        <v>-23442.73000000001</v>
      </c>
      <c r="K80" s="203">
        <f t="shared" si="17"/>
        <v>-11449.5</v>
      </c>
      <c r="L80" s="203">
        <f t="shared" si="17"/>
        <v>-27986.180000000022</v>
      </c>
      <c r="M80" s="203">
        <f t="shared" si="17"/>
        <v>-23277.12000000001</v>
      </c>
      <c r="N80" s="203">
        <f t="shared" si="17"/>
        <v>-8884.3399999999965</v>
      </c>
      <c r="O80" s="203">
        <f t="shared" si="17"/>
        <v>0</v>
      </c>
      <c r="P80" s="203">
        <f t="shared" si="17"/>
        <v>-30692.039999999994</v>
      </c>
      <c r="Q80" s="203">
        <f t="shared" si="17"/>
        <v>-9040.5299999999988</v>
      </c>
      <c r="R80" s="203">
        <f t="shared" si="17"/>
        <v>-16830.759999999995</v>
      </c>
      <c r="S80" s="203">
        <f t="shared" si="17"/>
        <v>-10752.89</v>
      </c>
      <c r="T80" s="203">
        <f t="shared" si="17"/>
        <v>-25312.189999999995</v>
      </c>
      <c r="U80" s="203">
        <f t="shared" si="17"/>
        <v>0</v>
      </c>
      <c r="V80" s="203">
        <f t="shared" si="17"/>
        <v>-23368.149999999994</v>
      </c>
      <c r="W80" s="203">
        <f t="shared" si="17"/>
        <v>-17903.840000000011</v>
      </c>
      <c r="X80" s="203">
        <f t="shared" si="17"/>
        <v>0</v>
      </c>
      <c r="Y80" s="203">
        <f t="shared" si="17"/>
        <v>-3995.8400000000111</v>
      </c>
      <c r="Z80" s="203">
        <f t="shared" si="17"/>
        <v>-11263.130000000005</v>
      </c>
      <c r="AA80" s="203">
        <f t="shared" si="17"/>
        <v>0</v>
      </c>
      <c r="AB80" s="203">
        <f t="shared" si="17"/>
        <v>-28129.960000000006</v>
      </c>
    </row>
    <row r="81" spans="3:29" x14ac:dyDescent="0.55000000000000004">
      <c r="C81" s="205" t="s">
        <v>1083</v>
      </c>
      <c r="D81" s="217">
        <f t="shared" si="11"/>
        <v>233061.71999999997</v>
      </c>
      <c r="E81" s="203">
        <f t="shared" si="13"/>
        <v>3351.63</v>
      </c>
      <c r="F81" s="203">
        <f t="shared" si="14"/>
        <v>9836.06</v>
      </c>
      <c r="G81" s="203">
        <f t="shared" ref="G81:AB81" si="18">G55-G68</f>
        <v>16676.95</v>
      </c>
      <c r="H81" s="203">
        <f t="shared" si="18"/>
        <v>8914.18</v>
      </c>
      <c r="I81" s="203">
        <f t="shared" si="18"/>
        <v>9068.5</v>
      </c>
      <c r="J81" s="203">
        <f t="shared" si="18"/>
        <v>7867.33</v>
      </c>
      <c r="K81" s="203">
        <f t="shared" si="18"/>
        <v>7803.37</v>
      </c>
      <c r="L81" s="203">
        <f t="shared" si="18"/>
        <v>15496.35</v>
      </c>
      <c r="M81" s="203">
        <f t="shared" si="18"/>
        <v>4034</v>
      </c>
      <c r="N81" s="203">
        <f t="shared" si="18"/>
        <v>7683.33</v>
      </c>
      <c r="O81" s="203">
        <f t="shared" si="18"/>
        <v>4652.51</v>
      </c>
      <c r="P81" s="203">
        <f t="shared" si="18"/>
        <v>5307.3</v>
      </c>
      <c r="Q81" s="203">
        <f t="shared" si="18"/>
        <v>8037.33</v>
      </c>
      <c r="R81" s="203">
        <f t="shared" si="18"/>
        <v>4484.33</v>
      </c>
      <c r="S81" s="203">
        <f t="shared" si="18"/>
        <v>7279.5</v>
      </c>
      <c r="T81" s="203">
        <f t="shared" si="18"/>
        <v>4044.17</v>
      </c>
      <c r="U81" s="203">
        <f t="shared" si="18"/>
        <v>0</v>
      </c>
      <c r="V81" s="203">
        <f t="shared" si="18"/>
        <v>5605.82</v>
      </c>
      <c r="W81" s="203">
        <f t="shared" si="18"/>
        <v>6749.33</v>
      </c>
      <c r="X81" s="203">
        <f t="shared" si="18"/>
        <v>22014.38</v>
      </c>
      <c r="Y81" s="203">
        <f t="shared" si="18"/>
        <v>18544.919999999998</v>
      </c>
      <c r="Z81" s="203">
        <f t="shared" si="18"/>
        <v>20399.55</v>
      </c>
      <c r="AA81" s="203">
        <f t="shared" si="18"/>
        <v>25365.38</v>
      </c>
      <c r="AB81" s="203">
        <f t="shared" si="18"/>
        <v>9845.5</v>
      </c>
    </row>
    <row r="82" spans="3:29" x14ac:dyDescent="0.55000000000000004">
      <c r="C82" s="205" t="s">
        <v>1139</v>
      </c>
      <c r="D82" s="217">
        <f t="shared" si="11"/>
        <v>-236087.71999999997</v>
      </c>
      <c r="E82" s="203">
        <f t="shared" si="13"/>
        <v>-3351.63</v>
      </c>
      <c r="F82" s="203">
        <f t="shared" si="14"/>
        <v>-9836.06</v>
      </c>
      <c r="G82" s="203">
        <f t="shared" ref="G82:AB82" si="19">G56-G69</f>
        <v>-16676.95</v>
      </c>
      <c r="H82" s="203">
        <f t="shared" si="19"/>
        <v>-8914.18</v>
      </c>
      <c r="I82" s="203">
        <f t="shared" si="19"/>
        <v>-9068.5</v>
      </c>
      <c r="J82" s="203">
        <f t="shared" si="19"/>
        <v>-7867.33</v>
      </c>
      <c r="K82" s="203">
        <f t="shared" si="19"/>
        <v>-7803.37</v>
      </c>
      <c r="L82" s="203">
        <f t="shared" si="19"/>
        <v>-15496.35</v>
      </c>
      <c r="M82" s="203">
        <f t="shared" si="19"/>
        <v>-4034</v>
      </c>
      <c r="N82" s="203">
        <f t="shared" si="19"/>
        <v>-7683.33</v>
      </c>
      <c r="O82" s="203">
        <f t="shared" si="19"/>
        <v>-4652.51</v>
      </c>
      <c r="P82" s="203">
        <f t="shared" si="19"/>
        <v>-5307.3</v>
      </c>
      <c r="Q82" s="203">
        <f t="shared" si="19"/>
        <v>-11063.33</v>
      </c>
      <c r="R82" s="203">
        <f t="shared" si="19"/>
        <v>-4484.33</v>
      </c>
      <c r="S82" s="203">
        <f t="shared" si="19"/>
        <v>-7279.5</v>
      </c>
      <c r="T82" s="203">
        <f t="shared" si="19"/>
        <v>-4044.17</v>
      </c>
      <c r="U82" s="203">
        <f t="shared" si="19"/>
        <v>0</v>
      </c>
      <c r="V82" s="203">
        <f t="shared" si="19"/>
        <v>-5605.82</v>
      </c>
      <c r="W82" s="203">
        <f t="shared" si="19"/>
        <v>-6749.33</v>
      </c>
      <c r="X82" s="203">
        <f t="shared" si="19"/>
        <v>-22014.38</v>
      </c>
      <c r="Y82" s="203">
        <f t="shared" si="19"/>
        <v>-18544.919999999998</v>
      </c>
      <c r="Z82" s="203">
        <f t="shared" si="19"/>
        <v>-20399.55</v>
      </c>
      <c r="AA82" s="203">
        <f t="shared" si="19"/>
        <v>-25365.38</v>
      </c>
      <c r="AB82" s="203">
        <f t="shared" si="19"/>
        <v>-9845.5</v>
      </c>
    </row>
    <row r="83" spans="3:29" ht="14.7" thickBot="1" x14ac:dyDescent="0.6">
      <c r="C83" s="264" t="s">
        <v>15</v>
      </c>
      <c r="D83" s="265">
        <f>SUM(D77:D82)</f>
        <v>2930.3499999998021</v>
      </c>
      <c r="E83" s="266">
        <f t="shared" si="13"/>
        <v>235.26000000000931</v>
      </c>
      <c r="F83" s="267">
        <f t="shared" si="14"/>
        <v>522.84999999997672</v>
      </c>
      <c r="G83" s="267">
        <f t="shared" ref="G83:AB83" si="20">G57-G70</f>
        <v>0</v>
      </c>
      <c r="H83" s="267">
        <f t="shared" si="20"/>
        <v>0</v>
      </c>
      <c r="I83" s="267">
        <f t="shared" si="20"/>
        <v>342.85999999998603</v>
      </c>
      <c r="J83" s="267">
        <f t="shared" si="20"/>
        <v>265.81999999994878</v>
      </c>
      <c r="K83" s="267">
        <f t="shared" si="20"/>
        <v>0</v>
      </c>
      <c r="L83" s="267">
        <f t="shared" si="20"/>
        <v>0</v>
      </c>
      <c r="M83" s="267">
        <f t="shared" si="20"/>
        <v>119.99999999994179</v>
      </c>
      <c r="N83" s="267">
        <f t="shared" si="20"/>
        <v>455.24999999994179</v>
      </c>
      <c r="O83" s="267">
        <f t="shared" si="20"/>
        <v>501.46000000002095</v>
      </c>
      <c r="P83" s="267">
        <f t="shared" si="20"/>
        <v>0</v>
      </c>
      <c r="Q83" s="267">
        <f t="shared" si="20"/>
        <v>-2326</v>
      </c>
      <c r="R83" s="267">
        <f t="shared" si="20"/>
        <v>298.65000000008149</v>
      </c>
      <c r="S83" s="267">
        <f t="shared" si="20"/>
        <v>653.3399999999674</v>
      </c>
      <c r="T83" s="267">
        <f t="shared" si="20"/>
        <v>273.02000000001863</v>
      </c>
      <c r="U83" s="267">
        <f t="shared" si="20"/>
        <v>161.36999999999534</v>
      </c>
      <c r="V83" s="267">
        <f t="shared" si="20"/>
        <v>0</v>
      </c>
      <c r="W83" s="267">
        <f t="shared" si="20"/>
        <v>0</v>
      </c>
      <c r="X83" s="267">
        <f t="shared" si="20"/>
        <v>233.11999999987893</v>
      </c>
      <c r="Y83" s="267">
        <f t="shared" si="20"/>
        <v>386.96999999991385</v>
      </c>
      <c r="Z83" s="267">
        <f t="shared" si="20"/>
        <v>305.75</v>
      </c>
      <c r="AA83" s="267">
        <f t="shared" si="20"/>
        <v>296.63000000000466</v>
      </c>
      <c r="AB83" s="267">
        <f t="shared" si="20"/>
        <v>204</v>
      </c>
    </row>
    <row r="84" spans="3:29" ht="14.7" thickTop="1" x14ac:dyDescent="0.55000000000000004">
      <c r="C84" s="205"/>
      <c r="D84" s="217"/>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row>
    <row r="85" spans="3:29" x14ac:dyDescent="0.55000000000000004">
      <c r="C85" s="262" t="s">
        <v>1091</v>
      </c>
      <c r="D85" s="217"/>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row>
    <row r="86" spans="3:29" x14ac:dyDescent="0.55000000000000004">
      <c r="C86" s="262" t="s">
        <v>101</v>
      </c>
      <c r="D86" s="217">
        <f t="shared" ref="D86" si="21">SUM(E86:AB86)</f>
        <v>597570.65999999992</v>
      </c>
      <c r="E86" s="203">
        <f t="shared" ref="E86" si="22">E60-E73</f>
        <v>50.63</v>
      </c>
      <c r="F86" s="203">
        <f>F60-F73</f>
        <v>31.26</v>
      </c>
      <c r="G86" s="203">
        <f t="shared" ref="G86:AB86" si="23">G60-G73</f>
        <v>47.19</v>
      </c>
      <c r="H86" s="203">
        <f t="shared" si="23"/>
        <v>75304.87</v>
      </c>
      <c r="I86" s="203">
        <f t="shared" si="23"/>
        <v>50.38</v>
      </c>
      <c r="J86" s="203">
        <f t="shared" si="23"/>
        <v>25517.599999999999</v>
      </c>
      <c r="K86" s="203">
        <f t="shared" si="23"/>
        <v>56980.14</v>
      </c>
      <c r="L86" s="203">
        <f t="shared" si="23"/>
        <v>245.06</v>
      </c>
      <c r="M86" s="203">
        <f t="shared" si="23"/>
        <v>28494.31</v>
      </c>
      <c r="N86" s="203">
        <f t="shared" si="23"/>
        <v>13.01</v>
      </c>
      <c r="O86" s="203">
        <f t="shared" si="23"/>
        <v>19.38</v>
      </c>
      <c r="P86" s="203">
        <f t="shared" si="23"/>
        <v>46.09</v>
      </c>
      <c r="Q86" s="203">
        <f t="shared" si="23"/>
        <v>180</v>
      </c>
      <c r="R86" s="203">
        <f t="shared" si="23"/>
        <v>-14.34</v>
      </c>
      <c r="S86" s="203">
        <f t="shared" si="23"/>
        <v>49350.43</v>
      </c>
      <c r="T86" s="203">
        <f t="shared" si="23"/>
        <v>26754.1</v>
      </c>
      <c r="U86" s="203">
        <f t="shared" si="23"/>
        <v>22822.04</v>
      </c>
      <c r="V86" s="203">
        <f t="shared" si="23"/>
        <v>0</v>
      </c>
      <c r="W86" s="203">
        <f t="shared" si="23"/>
        <v>0.34</v>
      </c>
      <c r="X86" s="203">
        <f t="shared" si="23"/>
        <v>76682.84</v>
      </c>
      <c r="Y86" s="203">
        <f t="shared" si="23"/>
        <v>67118.850000000006</v>
      </c>
      <c r="Z86" s="203">
        <f t="shared" si="23"/>
        <v>78097.27</v>
      </c>
      <c r="AA86" s="203">
        <f t="shared" si="23"/>
        <v>89777.76</v>
      </c>
      <c r="AB86" s="203">
        <f t="shared" si="23"/>
        <v>1.45</v>
      </c>
    </row>
    <row r="87" spans="3:29" x14ac:dyDescent="0.55000000000000004">
      <c r="C87" s="205"/>
      <c r="D87" s="217"/>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6"/>
    </row>
    <row r="88" spans="3:29" ht="14.7" thickBot="1" x14ac:dyDescent="0.6">
      <c r="C88" s="219" t="s">
        <v>1124</v>
      </c>
      <c r="D88" s="220">
        <f>SUM(E88:AB88)</f>
        <v>2930.3499999996857</v>
      </c>
      <c r="E88" s="204">
        <f>SUM(E83)</f>
        <v>235.26000000000931</v>
      </c>
      <c r="F88" s="204">
        <f>SUM(F83)</f>
        <v>522.84999999997672</v>
      </c>
      <c r="G88" s="204">
        <f t="shared" ref="G88:AB88" si="24">SUM(G83)</f>
        <v>0</v>
      </c>
      <c r="H88" s="204">
        <f t="shared" si="24"/>
        <v>0</v>
      </c>
      <c r="I88" s="204">
        <f t="shared" si="24"/>
        <v>342.85999999998603</v>
      </c>
      <c r="J88" s="204">
        <f t="shared" si="24"/>
        <v>265.81999999994878</v>
      </c>
      <c r="K88" s="204">
        <f t="shared" si="24"/>
        <v>0</v>
      </c>
      <c r="L88" s="204">
        <f t="shared" si="24"/>
        <v>0</v>
      </c>
      <c r="M88" s="204">
        <f t="shared" si="24"/>
        <v>119.99999999994179</v>
      </c>
      <c r="N88" s="204">
        <f t="shared" si="24"/>
        <v>455.24999999994179</v>
      </c>
      <c r="O88" s="204">
        <f t="shared" si="24"/>
        <v>501.46000000002095</v>
      </c>
      <c r="P88" s="204">
        <f t="shared" si="24"/>
        <v>0</v>
      </c>
      <c r="Q88" s="204">
        <f t="shared" si="24"/>
        <v>-2326</v>
      </c>
      <c r="R88" s="204">
        <f t="shared" si="24"/>
        <v>298.65000000008149</v>
      </c>
      <c r="S88" s="204">
        <f t="shared" si="24"/>
        <v>653.3399999999674</v>
      </c>
      <c r="T88" s="204">
        <f t="shared" si="24"/>
        <v>273.02000000001863</v>
      </c>
      <c r="U88" s="204">
        <f t="shared" si="24"/>
        <v>161.36999999999534</v>
      </c>
      <c r="V88" s="204">
        <f t="shared" si="24"/>
        <v>0</v>
      </c>
      <c r="W88" s="204">
        <f t="shared" si="24"/>
        <v>0</v>
      </c>
      <c r="X88" s="204">
        <f t="shared" si="24"/>
        <v>233.11999999987893</v>
      </c>
      <c r="Y88" s="204">
        <f t="shared" si="24"/>
        <v>386.96999999991385</v>
      </c>
      <c r="Z88" s="204">
        <f t="shared" si="24"/>
        <v>305.75</v>
      </c>
      <c r="AA88" s="204">
        <f t="shared" si="24"/>
        <v>296.63000000000466</v>
      </c>
      <c r="AB88" s="204">
        <f t="shared" si="24"/>
        <v>204</v>
      </c>
    </row>
    <row r="91" spans="3:29" ht="14.7" thickBot="1" x14ac:dyDescent="0.6"/>
    <row r="92" spans="3:29" ht="14.7" thickBot="1" x14ac:dyDescent="0.6">
      <c r="C92" s="224"/>
      <c r="D92" s="225" t="s">
        <v>1113</v>
      </c>
      <c r="E92" s="213" t="s">
        <v>1026</v>
      </c>
      <c r="F92" s="213" t="s">
        <v>1028</v>
      </c>
      <c r="G92" s="213" t="s">
        <v>1029</v>
      </c>
      <c r="H92" s="213" t="s">
        <v>1030</v>
      </c>
      <c r="I92" s="213" t="s">
        <v>1033</v>
      </c>
      <c r="J92" s="213" t="s">
        <v>1036</v>
      </c>
      <c r="K92" s="213" t="s">
        <v>1037</v>
      </c>
      <c r="L92" s="213" t="s">
        <v>1039</v>
      </c>
      <c r="M92" s="213" t="s">
        <v>1041</v>
      </c>
      <c r="N92" s="213" t="s">
        <v>1042</v>
      </c>
      <c r="O92" s="213" t="s">
        <v>1045</v>
      </c>
      <c r="P92" s="214" t="s">
        <v>1047</v>
      </c>
      <c r="Q92"/>
      <c r="AC92" s="198"/>
    </row>
    <row r="93" spans="3:29" ht="39" thickBot="1" x14ac:dyDescent="0.6">
      <c r="C93" s="221" t="s">
        <v>1110</v>
      </c>
      <c r="D93" s="222" t="s">
        <v>92</v>
      </c>
      <c r="E93" s="209" t="s">
        <v>35</v>
      </c>
      <c r="F93" s="209" t="s">
        <v>1098</v>
      </c>
      <c r="G93" s="209" t="s">
        <v>38</v>
      </c>
      <c r="H93" s="209" t="s">
        <v>47</v>
      </c>
      <c r="I93" s="209" t="s">
        <v>43</v>
      </c>
      <c r="J93" s="209" t="s">
        <v>45</v>
      </c>
      <c r="K93" s="209" t="s">
        <v>46</v>
      </c>
      <c r="L93" s="209" t="s">
        <v>1102</v>
      </c>
      <c r="M93" s="209" t="s">
        <v>49</v>
      </c>
      <c r="N93" s="209" t="s">
        <v>1104</v>
      </c>
      <c r="O93" s="209" t="s">
        <v>1107</v>
      </c>
      <c r="P93" s="211" t="s">
        <v>1108</v>
      </c>
      <c r="Q93"/>
      <c r="AC93" s="198"/>
    </row>
    <row r="94" spans="3:29" ht="14.7" thickBot="1" x14ac:dyDescent="0.6">
      <c r="C94" s="313" t="s">
        <v>1146</v>
      </c>
      <c r="D94" s="314"/>
      <c r="E94" s="269"/>
      <c r="F94" s="269"/>
      <c r="G94" s="269"/>
      <c r="H94" s="269"/>
      <c r="I94" s="269"/>
      <c r="J94" s="269"/>
      <c r="K94" s="269"/>
      <c r="L94" s="269"/>
      <c r="M94" s="269"/>
      <c r="N94" s="269"/>
      <c r="O94" s="269"/>
      <c r="P94" s="270"/>
      <c r="Q94"/>
      <c r="AC94" s="198"/>
    </row>
    <row r="95" spans="3:29" x14ac:dyDescent="0.55000000000000004">
      <c r="C95" s="205"/>
      <c r="D95" s="217"/>
      <c r="E95" s="203"/>
      <c r="F95" s="203"/>
      <c r="G95" s="203"/>
      <c r="H95" s="203"/>
      <c r="I95" s="203"/>
      <c r="J95" s="203"/>
      <c r="K95" s="203"/>
      <c r="L95" s="203"/>
      <c r="M95" s="203"/>
      <c r="N95" s="203"/>
      <c r="O95" s="203"/>
      <c r="P95" s="206"/>
      <c r="Q95"/>
      <c r="AC95" s="198"/>
    </row>
    <row r="96" spans="3:29" x14ac:dyDescent="0.55000000000000004">
      <c r="C96" s="205" t="s">
        <v>15</v>
      </c>
      <c r="D96" s="217">
        <f>SUM(E96:P96)</f>
        <v>8923631.7100000009</v>
      </c>
      <c r="E96" s="203">
        <v>701278.83</v>
      </c>
      <c r="F96" s="203">
        <v>719398.45</v>
      </c>
      <c r="G96" s="203">
        <v>861483.92</v>
      </c>
      <c r="H96" s="203">
        <v>498001.6700000001</v>
      </c>
      <c r="I96" s="203">
        <v>539768.1100000001</v>
      </c>
      <c r="J96" s="203">
        <v>839056.4700000002</v>
      </c>
      <c r="K96" s="203">
        <v>536886.92999999993</v>
      </c>
      <c r="L96" s="203">
        <v>509868.90999999992</v>
      </c>
      <c r="M96" s="203">
        <v>500044.41000000003</v>
      </c>
      <c r="N96" s="203">
        <v>718398.52</v>
      </c>
      <c r="O96" s="203">
        <v>730060.77000000014</v>
      </c>
      <c r="P96" s="206">
        <v>1769384.7200000002</v>
      </c>
      <c r="Q96"/>
      <c r="AC96" s="198"/>
    </row>
    <row r="97" spans="3:29" x14ac:dyDescent="0.55000000000000004">
      <c r="C97" s="205" t="s">
        <v>94</v>
      </c>
      <c r="D97" s="217">
        <f>SUM(E97:P97)</f>
        <v>13854.919999999998</v>
      </c>
      <c r="E97" s="203">
        <v>1158.1099999999999</v>
      </c>
      <c r="F97" s="203">
        <v>3391.77</v>
      </c>
      <c r="G97" s="203">
        <v>0</v>
      </c>
      <c r="H97" s="203">
        <v>0</v>
      </c>
      <c r="I97" s="203">
        <v>894.99</v>
      </c>
      <c r="J97" s="203">
        <v>511.34</v>
      </c>
      <c r="K97" s="203">
        <v>0</v>
      </c>
      <c r="L97" s="203">
        <v>1049.42</v>
      </c>
      <c r="M97" s="203">
        <v>1037.32</v>
      </c>
      <c r="N97" s="203">
        <v>781.34</v>
      </c>
      <c r="O97" s="203">
        <v>4012.57</v>
      </c>
      <c r="P97" s="206">
        <v>1018.06</v>
      </c>
      <c r="Q97"/>
      <c r="AC97" s="198"/>
    </row>
    <row r="98" spans="3:29" ht="14.7" thickBot="1" x14ac:dyDescent="0.6">
      <c r="C98" s="264" t="s">
        <v>1144</v>
      </c>
      <c r="D98" s="265">
        <f>SUM(E98:P98)</f>
        <v>8918832.7000000011</v>
      </c>
      <c r="E98" s="267">
        <f>E96+E97-E101</f>
        <v>699983.08</v>
      </c>
      <c r="F98" s="267">
        <f t="shared" ref="F98:P98" si="25">F96+F97-F101</f>
        <v>722790.22</v>
      </c>
      <c r="G98" s="267">
        <f t="shared" si="25"/>
        <v>861483.92</v>
      </c>
      <c r="H98" s="267">
        <f t="shared" si="25"/>
        <v>498257.37000000011</v>
      </c>
      <c r="I98" s="267">
        <f t="shared" si="25"/>
        <v>540663.10000000009</v>
      </c>
      <c r="J98" s="267">
        <f t="shared" si="25"/>
        <v>839111.81000000017</v>
      </c>
      <c r="K98" s="267">
        <f t="shared" si="25"/>
        <v>536886.92999999993</v>
      </c>
      <c r="L98" s="267">
        <f t="shared" si="25"/>
        <v>510918.3299999999</v>
      </c>
      <c r="M98" s="267">
        <f t="shared" si="25"/>
        <v>501081.73000000004</v>
      </c>
      <c r="N98" s="267">
        <f t="shared" si="25"/>
        <v>712846.86</v>
      </c>
      <c r="O98" s="267">
        <f t="shared" si="25"/>
        <v>724727.57000000007</v>
      </c>
      <c r="P98" s="267">
        <f t="shared" si="25"/>
        <v>1770081.7800000003</v>
      </c>
      <c r="Q98"/>
      <c r="AC98" s="198"/>
    </row>
    <row r="99" spans="3:29" ht="14.7" thickTop="1" x14ac:dyDescent="0.55000000000000004">
      <c r="C99" s="205"/>
      <c r="D99" s="217"/>
      <c r="E99" s="203"/>
      <c r="F99" s="203"/>
      <c r="G99" s="203"/>
      <c r="H99" s="203"/>
      <c r="I99" s="203"/>
      <c r="J99" s="203"/>
      <c r="K99" s="203"/>
      <c r="L99" s="203"/>
      <c r="M99" s="203"/>
      <c r="N99" s="203"/>
      <c r="O99" s="203"/>
      <c r="P99" s="206"/>
      <c r="Q99"/>
      <c r="AC99" s="198"/>
    </row>
    <row r="100" spans="3:29" x14ac:dyDescent="0.55000000000000004">
      <c r="C100" s="262" t="s">
        <v>1091</v>
      </c>
      <c r="D100" s="217"/>
      <c r="E100" s="203"/>
      <c r="F100" s="203"/>
      <c r="G100" s="203"/>
      <c r="H100" s="203"/>
      <c r="I100" s="203"/>
      <c r="J100" s="203"/>
      <c r="K100" s="203"/>
      <c r="L100" s="203"/>
      <c r="M100" s="203"/>
      <c r="N100" s="203"/>
      <c r="O100" s="203"/>
      <c r="P100" s="206"/>
      <c r="Q100"/>
      <c r="AC100" s="198"/>
    </row>
    <row r="101" spans="3:29" x14ac:dyDescent="0.55000000000000004">
      <c r="C101" s="205" t="s">
        <v>81</v>
      </c>
      <c r="D101" s="217">
        <f>SUM(E101:P101)</f>
        <v>18653.93</v>
      </c>
      <c r="E101" s="203">
        <v>2453.86</v>
      </c>
      <c r="F101" s="203">
        <v>0</v>
      </c>
      <c r="G101" s="203">
        <v>0</v>
      </c>
      <c r="H101" s="203">
        <v>-255.7</v>
      </c>
      <c r="I101" s="203">
        <v>0</v>
      </c>
      <c r="J101" s="203">
        <v>456</v>
      </c>
      <c r="K101" s="203">
        <v>0</v>
      </c>
      <c r="L101" s="203">
        <v>0</v>
      </c>
      <c r="M101" s="203">
        <v>0</v>
      </c>
      <c r="N101" s="203">
        <v>6333</v>
      </c>
      <c r="O101" s="203">
        <v>9345.77</v>
      </c>
      <c r="P101" s="206">
        <v>321</v>
      </c>
      <c r="Q101"/>
      <c r="AC101" s="198"/>
    </row>
    <row r="102" spans="3:29" ht="14.7" thickBot="1" x14ac:dyDescent="0.6">
      <c r="C102" s="205"/>
      <c r="D102" s="217"/>
      <c r="E102" s="203"/>
      <c r="F102" s="203"/>
      <c r="G102" s="203"/>
      <c r="H102" s="203"/>
      <c r="I102" s="203"/>
      <c r="J102" s="203"/>
      <c r="K102" s="203"/>
      <c r="L102" s="203"/>
      <c r="M102" s="203"/>
      <c r="N102" s="203"/>
      <c r="O102" s="203"/>
      <c r="P102" s="206"/>
      <c r="Q102"/>
      <c r="AC102" s="198"/>
    </row>
    <row r="103" spans="3:29" ht="14.7" thickBot="1" x14ac:dyDescent="0.6">
      <c r="C103" s="313" t="s">
        <v>1147</v>
      </c>
      <c r="D103" s="314"/>
      <c r="E103" s="269"/>
      <c r="F103" s="269"/>
      <c r="G103" s="269"/>
      <c r="H103" s="269"/>
      <c r="I103" s="269"/>
      <c r="J103" s="269"/>
      <c r="K103" s="269"/>
      <c r="L103" s="269"/>
      <c r="M103" s="269"/>
      <c r="N103" s="269"/>
      <c r="O103" s="269"/>
      <c r="P103" s="270"/>
      <c r="Q103"/>
      <c r="AC103" s="198"/>
    </row>
    <row r="104" spans="3:29" x14ac:dyDescent="0.55000000000000004">
      <c r="C104" s="205"/>
      <c r="D104" s="217"/>
      <c r="E104" s="203"/>
      <c r="F104" s="203"/>
      <c r="G104" s="203"/>
      <c r="H104" s="203"/>
      <c r="I104" s="203"/>
      <c r="J104" s="203"/>
      <c r="K104" s="203"/>
      <c r="L104" s="203"/>
      <c r="M104" s="203"/>
      <c r="N104" s="203"/>
      <c r="O104" s="203"/>
      <c r="P104" s="206"/>
      <c r="Q104"/>
      <c r="AC104" s="198"/>
    </row>
    <row r="105" spans="3:29" x14ac:dyDescent="0.55000000000000004">
      <c r="C105" s="205" t="s">
        <v>978</v>
      </c>
      <c r="D105" s="217">
        <f>SUM(E105:P105)</f>
        <v>8933447.7599999998</v>
      </c>
      <c r="E105" s="203">
        <v>700931.64</v>
      </c>
      <c r="F105" s="203">
        <v>724019.45000000007</v>
      </c>
      <c r="G105" s="203">
        <v>862865.00000000012</v>
      </c>
      <c r="H105" s="203">
        <v>499858.28</v>
      </c>
      <c r="I105" s="203">
        <v>541383.31000000006</v>
      </c>
      <c r="J105" s="203">
        <v>837335.93</v>
      </c>
      <c r="K105" s="203">
        <v>537372.31999999995</v>
      </c>
      <c r="L105" s="203">
        <v>518315.62</v>
      </c>
      <c r="M105" s="203">
        <v>505645.46</v>
      </c>
      <c r="N105" s="203">
        <v>713009.92000000016</v>
      </c>
      <c r="O105" s="203">
        <v>725199.98</v>
      </c>
      <c r="P105" s="206">
        <v>1767510.85</v>
      </c>
      <c r="Q105"/>
      <c r="AC105" s="198"/>
    </row>
    <row r="106" spans="3:29" ht="14.7" thickBot="1" x14ac:dyDescent="0.6">
      <c r="C106" s="205"/>
      <c r="D106" s="217"/>
      <c r="E106" s="203"/>
      <c r="F106" s="203"/>
      <c r="G106" s="203"/>
      <c r="H106" s="203"/>
      <c r="I106" s="203"/>
      <c r="J106" s="203"/>
      <c r="K106" s="203"/>
      <c r="L106" s="203"/>
      <c r="M106" s="203"/>
      <c r="N106" s="203"/>
      <c r="O106" s="203"/>
      <c r="P106" s="206"/>
      <c r="Q106"/>
      <c r="AC106" s="198"/>
    </row>
    <row r="107" spans="3:29" ht="14.7" thickBot="1" x14ac:dyDescent="0.6">
      <c r="C107" s="313" t="s">
        <v>1122</v>
      </c>
      <c r="D107" s="314"/>
      <c r="E107" s="271"/>
      <c r="F107" s="271"/>
      <c r="G107" s="271"/>
      <c r="H107" s="271"/>
      <c r="I107" s="271"/>
      <c r="J107" s="271"/>
      <c r="K107" s="271"/>
      <c r="L107" s="271"/>
      <c r="M107" s="271"/>
      <c r="N107" s="271"/>
      <c r="O107" s="271"/>
      <c r="P107" s="272"/>
      <c r="Q107"/>
      <c r="AC107" s="198"/>
    </row>
    <row r="108" spans="3:29" x14ac:dyDescent="0.55000000000000004">
      <c r="C108" s="205"/>
      <c r="D108" s="217"/>
      <c r="E108" s="203"/>
      <c r="F108" s="203"/>
      <c r="G108" s="203"/>
      <c r="H108" s="203"/>
      <c r="I108" s="203"/>
      <c r="J108" s="203"/>
      <c r="K108" s="203"/>
      <c r="L108" s="203"/>
      <c r="M108" s="203"/>
      <c r="N108" s="203"/>
      <c r="O108" s="203"/>
      <c r="P108" s="206"/>
      <c r="Q108"/>
      <c r="AC108" s="198"/>
    </row>
    <row r="109" spans="3:29" x14ac:dyDescent="0.55000000000000004">
      <c r="C109" s="205" t="s">
        <v>978</v>
      </c>
      <c r="D109" s="217">
        <f>SUM(E109:P109)</f>
        <v>-14615.059999999998</v>
      </c>
      <c r="E109" s="203">
        <f t="shared" ref="E109:P109" si="26">E98-E105</f>
        <v>-948.56000000005588</v>
      </c>
      <c r="F109" s="203">
        <f t="shared" si="26"/>
        <v>-1229.2300000000978</v>
      </c>
      <c r="G109" s="203">
        <f t="shared" si="26"/>
        <v>-1381.0800000000745</v>
      </c>
      <c r="H109" s="203">
        <f t="shared" si="26"/>
        <v>-1600.9099999999162</v>
      </c>
      <c r="I109" s="203">
        <f t="shared" si="26"/>
        <v>-720.20999999996275</v>
      </c>
      <c r="J109" s="203">
        <f t="shared" si="26"/>
        <v>1775.8800000001211</v>
      </c>
      <c r="K109" s="203">
        <f t="shared" si="26"/>
        <v>-485.39000000001397</v>
      </c>
      <c r="L109" s="203">
        <f t="shared" si="26"/>
        <v>-7397.2900000000955</v>
      </c>
      <c r="M109" s="203">
        <f t="shared" si="26"/>
        <v>-4563.7299999999814</v>
      </c>
      <c r="N109" s="203">
        <f t="shared" si="26"/>
        <v>-163.06000000017229</v>
      </c>
      <c r="O109" s="203">
        <f t="shared" si="26"/>
        <v>-472.40999999991618</v>
      </c>
      <c r="P109" s="203">
        <f t="shared" si="26"/>
        <v>2570.9300000001676</v>
      </c>
      <c r="Q109"/>
      <c r="AC109" s="198"/>
    </row>
    <row r="110" spans="3:29" x14ac:dyDescent="0.55000000000000004">
      <c r="C110" s="205"/>
      <c r="D110" s="217"/>
      <c r="E110" s="203"/>
      <c r="F110" s="203"/>
      <c r="G110" s="203"/>
      <c r="H110" s="203"/>
      <c r="I110" s="203"/>
      <c r="J110" s="203"/>
      <c r="K110" s="203"/>
      <c r="L110" s="203"/>
      <c r="M110" s="203"/>
      <c r="N110" s="203"/>
      <c r="O110" s="203"/>
      <c r="P110" s="206"/>
      <c r="Q110"/>
      <c r="AC110" s="198"/>
    </row>
    <row r="111" spans="3:29" ht="14.7" thickBot="1" x14ac:dyDescent="0.6">
      <c r="C111" s="219" t="s">
        <v>1124</v>
      </c>
      <c r="D111" s="220">
        <f>D109</f>
        <v>-14615.059999999998</v>
      </c>
      <c r="E111" s="204">
        <f t="shared" ref="E111:P111" si="27">E109</f>
        <v>-948.56000000005588</v>
      </c>
      <c r="F111" s="204">
        <f t="shared" si="27"/>
        <v>-1229.2300000000978</v>
      </c>
      <c r="G111" s="204">
        <f t="shared" si="27"/>
        <v>-1381.0800000000745</v>
      </c>
      <c r="H111" s="204">
        <f t="shared" si="27"/>
        <v>-1600.9099999999162</v>
      </c>
      <c r="I111" s="204">
        <f t="shared" si="27"/>
        <v>-720.20999999996275</v>
      </c>
      <c r="J111" s="204">
        <f t="shared" si="27"/>
        <v>1775.8800000001211</v>
      </c>
      <c r="K111" s="204">
        <f t="shared" si="27"/>
        <v>-485.39000000001397</v>
      </c>
      <c r="L111" s="204">
        <f t="shared" si="27"/>
        <v>-7397.2900000000955</v>
      </c>
      <c r="M111" s="204">
        <f t="shared" si="27"/>
        <v>-4563.7299999999814</v>
      </c>
      <c r="N111" s="204">
        <f t="shared" si="27"/>
        <v>-163.06000000017229</v>
      </c>
      <c r="O111" s="204">
        <f t="shared" si="27"/>
        <v>-472.40999999991618</v>
      </c>
      <c r="P111" s="204">
        <f t="shared" si="27"/>
        <v>2570.9300000001676</v>
      </c>
      <c r="Q111"/>
      <c r="AC111" s="198"/>
    </row>
    <row r="114" spans="1:29" ht="14.7" thickBot="1" x14ac:dyDescent="0.6"/>
    <row r="115" spans="1:29" s="274" customFormat="1" ht="17.100000000000001" thickBot="1" x14ac:dyDescent="0.7">
      <c r="A115" s="273"/>
      <c r="C115" s="274" t="s">
        <v>1144</v>
      </c>
      <c r="D115" s="274">
        <f>SUM(D88,D111)</f>
        <v>-11684.710000000312</v>
      </c>
      <c r="AC115" s="275"/>
    </row>
  </sheetData>
  <mergeCells count="19">
    <mergeCell ref="C94:D94"/>
    <mergeCell ref="C103:D103"/>
    <mergeCell ref="C107:D107"/>
    <mergeCell ref="C62:D62"/>
    <mergeCell ref="E62:AB62"/>
    <mergeCell ref="C75:D75"/>
    <mergeCell ref="E75:AB75"/>
    <mergeCell ref="C3:D3"/>
    <mergeCell ref="E3:AB3"/>
    <mergeCell ref="C46:D46"/>
    <mergeCell ref="E46:AB46"/>
    <mergeCell ref="C49:D49"/>
    <mergeCell ref="E49:AB49"/>
    <mergeCell ref="E18:AB18"/>
    <mergeCell ref="E30:AB30"/>
    <mergeCell ref="E6:AB6"/>
    <mergeCell ref="C6:D6"/>
    <mergeCell ref="C18:D18"/>
    <mergeCell ref="C30:D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5998-CEDF-4C4A-98CE-F122A80A3195}">
  <sheetPr>
    <tabColor rgb="FF92D050"/>
  </sheetPr>
  <dimension ref="A2:AC113"/>
  <sheetViews>
    <sheetView zoomScale="80" zoomScaleNormal="80" workbookViewId="0">
      <pane xSplit="4" topLeftCell="E1" activePane="topRight" state="frozen"/>
      <selection activeCell="E1" sqref="E1"/>
      <selection pane="topRight" activeCell="E1" sqref="E1"/>
    </sheetView>
  </sheetViews>
  <sheetFormatPr defaultColWidth="20.83984375" defaultRowHeight="14.4" x14ac:dyDescent="0.55000000000000004"/>
  <cols>
    <col min="1" max="1" width="14.578125" style="198" customWidth="1"/>
    <col min="2" max="2" width="5" style="198" customWidth="1"/>
    <col min="3" max="3" width="32.41796875" style="198" bestFit="1" customWidth="1"/>
    <col min="4" max="4" width="17.68359375" style="198" bestFit="1" customWidth="1"/>
    <col min="5" max="5" width="20.578125" style="198" bestFit="1" customWidth="1"/>
    <col min="6" max="6" width="18" style="198" bestFit="1" customWidth="1"/>
    <col min="7" max="7" width="20.26171875" style="198" bestFit="1" customWidth="1"/>
    <col min="8" max="8" width="16.41796875" style="198" bestFit="1" customWidth="1"/>
    <col min="9" max="9" width="20.83984375" style="198"/>
    <col min="10" max="10" width="20.68359375" style="198" bestFit="1" customWidth="1"/>
    <col min="11" max="11" width="20.15625" style="198" bestFit="1" customWidth="1"/>
    <col min="12" max="12" width="16" style="198" bestFit="1" customWidth="1"/>
    <col min="13" max="13" width="15.68359375" style="198" bestFit="1" customWidth="1"/>
    <col min="14" max="14" width="19.26171875" style="198" bestFit="1" customWidth="1"/>
    <col min="15" max="15" width="18.26171875" style="198" bestFit="1" customWidth="1"/>
    <col min="16" max="16" width="15.68359375" style="198" bestFit="1" customWidth="1"/>
    <col min="17" max="17" width="20.578125" style="198" bestFit="1" customWidth="1"/>
    <col min="18" max="18" width="16.68359375" style="198" bestFit="1" customWidth="1"/>
    <col min="19" max="19" width="16.83984375" style="198" bestFit="1" customWidth="1"/>
    <col min="20" max="20" width="20.578125" style="198" bestFit="1" customWidth="1"/>
    <col min="21" max="21" width="20.68359375" style="198" bestFit="1" customWidth="1"/>
    <col min="22" max="22" width="18.578125" style="198" bestFit="1" customWidth="1"/>
    <col min="23" max="23" width="17.83984375" style="198" bestFit="1" customWidth="1"/>
    <col min="24" max="25" width="19.41796875" style="198" bestFit="1" customWidth="1"/>
    <col min="26" max="26" width="19.68359375" style="198" bestFit="1" customWidth="1"/>
    <col min="27" max="27" width="19.578125" style="198" bestFit="1" customWidth="1"/>
    <col min="28" max="28" width="16" style="198" bestFit="1" customWidth="1"/>
    <col min="30" max="16384" width="20.83984375" style="198"/>
  </cols>
  <sheetData>
    <row r="2" spans="1:29" s="200" customFormat="1" ht="14.7" thickBot="1" x14ac:dyDescent="0.6">
      <c r="A2" s="226" t="s">
        <v>1119</v>
      </c>
      <c r="B2" s="198"/>
      <c r="AC2" s="201"/>
    </row>
    <row r="3" spans="1:29" s="200" customFormat="1" ht="14.7" thickBot="1" x14ac:dyDescent="0.6">
      <c r="C3" s="302" t="s">
        <v>1120</v>
      </c>
      <c r="D3" s="303"/>
      <c r="E3" s="304" t="s">
        <v>105</v>
      </c>
      <c r="F3" s="305"/>
      <c r="G3" s="305"/>
      <c r="H3" s="305"/>
      <c r="I3" s="305"/>
      <c r="J3" s="305"/>
      <c r="K3" s="305"/>
      <c r="L3" s="305"/>
      <c r="M3" s="305"/>
      <c r="N3" s="305"/>
      <c r="O3" s="305"/>
      <c r="P3" s="305"/>
      <c r="Q3" s="305"/>
      <c r="R3" s="305"/>
      <c r="S3" s="305"/>
      <c r="T3" s="305"/>
      <c r="U3" s="305"/>
      <c r="V3" s="305"/>
      <c r="W3" s="305"/>
      <c r="X3" s="305"/>
      <c r="Y3" s="305"/>
      <c r="Z3" s="305"/>
      <c r="AA3" s="305"/>
      <c r="AB3" s="306"/>
      <c r="AC3" s="201"/>
    </row>
    <row r="4" spans="1:29" s="202" customFormat="1" ht="13.2" thickBot="1" x14ac:dyDescent="0.55000000000000004">
      <c r="C4" s="224"/>
      <c r="D4" s="225" t="s">
        <v>1113</v>
      </c>
      <c r="E4" s="212" t="s">
        <v>1025</v>
      </c>
      <c r="F4" s="213" t="s">
        <v>1026</v>
      </c>
      <c r="G4" s="213" t="s">
        <v>1027</v>
      </c>
      <c r="H4" s="213" t="s">
        <v>1028</v>
      </c>
      <c r="I4" s="213" t="s">
        <v>1029</v>
      </c>
      <c r="J4" s="213" t="s">
        <v>1030</v>
      </c>
      <c r="K4" s="213" t="s">
        <v>1031</v>
      </c>
      <c r="L4" s="213" t="s">
        <v>1032</v>
      </c>
      <c r="M4" s="213" t="s">
        <v>1033</v>
      </c>
      <c r="N4" s="213" t="s">
        <v>1109</v>
      </c>
      <c r="O4" s="213" t="s">
        <v>1034</v>
      </c>
      <c r="P4" s="213" t="s">
        <v>1035</v>
      </c>
      <c r="Q4" s="213" t="s">
        <v>1036</v>
      </c>
      <c r="R4" s="213" t="s">
        <v>1037</v>
      </c>
      <c r="S4" s="213" t="s">
        <v>1038</v>
      </c>
      <c r="T4" s="213" t="s">
        <v>1039</v>
      </c>
      <c r="U4" s="213" t="s">
        <v>1040</v>
      </c>
      <c r="V4" s="213" t="s">
        <v>1041</v>
      </c>
      <c r="W4" s="213" t="s">
        <v>1042</v>
      </c>
      <c r="X4" s="213" t="s">
        <v>1043</v>
      </c>
      <c r="Y4" s="213" t="s">
        <v>1044</v>
      </c>
      <c r="Z4" s="213" t="s">
        <v>1045</v>
      </c>
      <c r="AA4" s="213" t="s">
        <v>1046</v>
      </c>
      <c r="AB4" s="214" t="s">
        <v>1047</v>
      </c>
    </row>
    <row r="5" spans="1:29" s="202" customFormat="1" ht="26.1" thickBot="1" x14ac:dyDescent="0.6">
      <c r="C5" s="221" t="s">
        <v>1110</v>
      </c>
      <c r="D5" s="222" t="s">
        <v>92</v>
      </c>
      <c r="E5" s="215" t="s">
        <v>1096</v>
      </c>
      <c r="F5" s="209" t="s">
        <v>35</v>
      </c>
      <c r="G5" s="209" t="s">
        <v>1097</v>
      </c>
      <c r="H5" s="209" t="s">
        <v>1098</v>
      </c>
      <c r="I5" s="209" t="s">
        <v>38</v>
      </c>
      <c r="J5" s="209" t="s">
        <v>47</v>
      </c>
      <c r="K5" s="209" t="s">
        <v>48</v>
      </c>
      <c r="L5" s="209" t="s">
        <v>1099</v>
      </c>
      <c r="M5" s="209" t="s">
        <v>43</v>
      </c>
      <c r="N5" s="210" t="s">
        <v>1100</v>
      </c>
      <c r="O5" s="209" t="s">
        <v>1101</v>
      </c>
      <c r="P5" s="209" t="s">
        <v>54</v>
      </c>
      <c r="Q5" s="209" t="s">
        <v>45</v>
      </c>
      <c r="R5" s="209" t="s">
        <v>46</v>
      </c>
      <c r="S5" s="209" t="s">
        <v>37</v>
      </c>
      <c r="T5" s="209" t="s">
        <v>1102</v>
      </c>
      <c r="U5" s="209" t="s">
        <v>1103</v>
      </c>
      <c r="V5" s="209" t="s">
        <v>49</v>
      </c>
      <c r="W5" s="209" t="s">
        <v>1104</v>
      </c>
      <c r="X5" s="209" t="s">
        <v>1105</v>
      </c>
      <c r="Y5" s="209" t="s">
        <v>1106</v>
      </c>
      <c r="Z5" s="209" t="s">
        <v>1107</v>
      </c>
      <c r="AA5" s="209" t="s">
        <v>42</v>
      </c>
      <c r="AB5" s="211" t="s">
        <v>1108</v>
      </c>
    </row>
    <row r="6" spans="1:29" ht="15" customHeight="1" thickBot="1" x14ac:dyDescent="0.55000000000000004">
      <c r="C6" s="307" t="s">
        <v>1125</v>
      </c>
      <c r="D6" s="308"/>
      <c r="E6" s="309" t="s">
        <v>1111</v>
      </c>
      <c r="F6" s="309"/>
      <c r="G6" s="309"/>
      <c r="H6" s="309"/>
      <c r="I6" s="309"/>
      <c r="J6" s="309"/>
      <c r="K6" s="309"/>
      <c r="L6" s="309"/>
      <c r="M6" s="309"/>
      <c r="N6" s="309"/>
      <c r="O6" s="309"/>
      <c r="P6" s="309"/>
      <c r="Q6" s="309"/>
      <c r="R6" s="309"/>
      <c r="S6" s="309"/>
      <c r="T6" s="309"/>
      <c r="U6" s="309"/>
      <c r="V6" s="309"/>
      <c r="W6" s="309"/>
      <c r="X6" s="309"/>
      <c r="Y6" s="309"/>
      <c r="Z6" s="309"/>
      <c r="AA6" s="309"/>
      <c r="AB6" s="310"/>
      <c r="AC6" s="198"/>
    </row>
    <row r="7" spans="1:29" ht="12.9" x14ac:dyDescent="0.5">
      <c r="A7" s="199"/>
      <c r="B7" s="199"/>
      <c r="C7" s="216" t="s">
        <v>27</v>
      </c>
      <c r="D7" s="217">
        <f>SUM(E7:AB7)</f>
        <v>10332419.65</v>
      </c>
      <c r="E7" s="203">
        <v>420299.76</v>
      </c>
      <c r="F7" s="203">
        <v>415426.71</v>
      </c>
      <c r="G7" s="203">
        <v>393727.1</v>
      </c>
      <c r="H7" s="203">
        <v>558598.39</v>
      </c>
      <c r="I7" s="203">
        <v>651936.48</v>
      </c>
      <c r="J7" s="203">
        <v>484336.92</v>
      </c>
      <c r="K7" s="203">
        <v>232730.9</v>
      </c>
      <c r="L7" s="203">
        <v>419844.76</v>
      </c>
      <c r="M7" s="203">
        <v>248837.26</v>
      </c>
      <c r="N7" s="203">
        <v>347585.6</v>
      </c>
      <c r="O7" s="203">
        <v>501427.94</v>
      </c>
      <c r="P7" s="203">
        <v>672088.16</v>
      </c>
      <c r="Q7" s="203">
        <v>245875.17</v>
      </c>
      <c r="R7" s="203">
        <v>521934.11</v>
      </c>
      <c r="S7" s="203">
        <v>343945.22</v>
      </c>
      <c r="T7" s="203">
        <v>389121.64</v>
      </c>
      <c r="U7" s="203">
        <v>902668.74</v>
      </c>
      <c r="V7" s="203">
        <v>384432.7</v>
      </c>
      <c r="W7" s="203">
        <v>371260.7</v>
      </c>
      <c r="X7" s="203">
        <v>373181.08</v>
      </c>
      <c r="Y7" s="203">
        <v>280152.99</v>
      </c>
      <c r="Z7" s="203">
        <v>428500.94</v>
      </c>
      <c r="AA7" s="203">
        <v>259025.33</v>
      </c>
      <c r="AB7" s="206">
        <v>485481.05</v>
      </c>
      <c r="AC7" s="198"/>
    </row>
    <row r="8" spans="1:29" ht="12.9" x14ac:dyDescent="0.5">
      <c r="C8" s="205" t="s">
        <v>26</v>
      </c>
      <c r="D8" s="217">
        <f t="shared" ref="D8:D16" si="0">SUM(E8:AB8)</f>
        <v>5697231.6400000006</v>
      </c>
      <c r="E8" s="203">
        <v>141760.9</v>
      </c>
      <c r="F8" s="203">
        <v>233901.93</v>
      </c>
      <c r="G8" s="203">
        <v>390171.96</v>
      </c>
      <c r="H8" s="203">
        <v>184943.73</v>
      </c>
      <c r="I8" s="203">
        <v>205494.84</v>
      </c>
      <c r="J8" s="203">
        <v>19000.53</v>
      </c>
      <c r="K8" s="203">
        <v>142931.24</v>
      </c>
      <c r="L8" s="203">
        <v>531177.32999999996</v>
      </c>
      <c r="M8" s="203">
        <v>110956.77</v>
      </c>
      <c r="N8" s="203">
        <v>230275.6</v>
      </c>
      <c r="O8" s="203">
        <v>68488.320000000007</v>
      </c>
      <c r="P8" s="203">
        <v>107418.69</v>
      </c>
      <c r="Q8" s="203">
        <v>301704.34999999998</v>
      </c>
      <c r="R8" s="203">
        <v>120713.09</v>
      </c>
      <c r="S8" s="203">
        <v>348253.72</v>
      </c>
      <c r="T8" s="203">
        <v>117761.88</v>
      </c>
      <c r="U8" s="203">
        <v>15337.61</v>
      </c>
      <c r="V8" s="203">
        <v>158178.72</v>
      </c>
      <c r="W8" s="203">
        <v>370482.27</v>
      </c>
      <c r="X8" s="203">
        <v>429856</v>
      </c>
      <c r="Y8" s="203">
        <v>341428.23</v>
      </c>
      <c r="Z8" s="203">
        <v>339264.5</v>
      </c>
      <c r="AA8" s="203">
        <v>398074.6</v>
      </c>
      <c r="AB8" s="206">
        <v>389654.83</v>
      </c>
      <c r="AC8" s="198"/>
    </row>
    <row r="9" spans="1:29" ht="12.9" x14ac:dyDescent="0.5">
      <c r="C9" s="205" t="s">
        <v>28</v>
      </c>
      <c r="D9" s="217">
        <f t="shared" si="0"/>
        <v>610069.30000000005</v>
      </c>
      <c r="E9" s="203">
        <v>45350</v>
      </c>
      <c r="F9" s="203">
        <v>18040</v>
      </c>
      <c r="G9" s="203">
        <v>26500</v>
      </c>
      <c r="H9" s="203">
        <v>7140</v>
      </c>
      <c r="I9" s="203">
        <v>9800</v>
      </c>
      <c r="J9" s="203">
        <v>15850</v>
      </c>
      <c r="K9" s="203">
        <v>26250</v>
      </c>
      <c r="L9" s="203">
        <v>3776.69</v>
      </c>
      <c r="M9" s="203">
        <v>22787.5</v>
      </c>
      <c r="N9" s="203">
        <v>17700</v>
      </c>
      <c r="O9" s="203">
        <v>-7744.05</v>
      </c>
      <c r="P9" s="203">
        <v>3135</v>
      </c>
      <c r="Q9" s="203">
        <v>-26763.29</v>
      </c>
      <c r="R9" s="203">
        <v>39645</v>
      </c>
      <c r="S9" s="203">
        <v>-36.549999999999997</v>
      </c>
      <c r="T9" s="203">
        <v>24633</v>
      </c>
      <c r="U9" s="203">
        <v>83614.8</v>
      </c>
      <c r="V9" s="203">
        <v>380</v>
      </c>
      <c r="W9" s="203">
        <v>-30899.32</v>
      </c>
      <c r="X9" s="203">
        <v>34300</v>
      </c>
      <c r="Y9" s="203">
        <v>92779.65</v>
      </c>
      <c r="Z9" s="203">
        <v>63270</v>
      </c>
      <c r="AA9" s="203">
        <v>56912.72</v>
      </c>
      <c r="AB9" s="206">
        <v>83648.149999999994</v>
      </c>
      <c r="AC9" s="198"/>
    </row>
    <row r="10" spans="1:29" ht="12.9" x14ac:dyDescent="0.5">
      <c r="C10" s="205" t="s">
        <v>68</v>
      </c>
      <c r="D10" s="217">
        <f t="shared" si="0"/>
        <v>142638.32</v>
      </c>
      <c r="E10" s="203">
        <v>0</v>
      </c>
      <c r="F10" s="203">
        <v>20765</v>
      </c>
      <c r="G10" s="203">
        <v>0</v>
      </c>
      <c r="H10" s="203">
        <v>0</v>
      </c>
      <c r="I10" s="203">
        <v>0</v>
      </c>
      <c r="J10" s="203">
        <v>0</v>
      </c>
      <c r="K10" s="203">
        <v>0</v>
      </c>
      <c r="L10" s="203">
        <v>0</v>
      </c>
      <c r="M10" s="203">
        <v>0</v>
      </c>
      <c r="N10" s="203">
        <v>0</v>
      </c>
      <c r="O10" s="203">
        <v>0</v>
      </c>
      <c r="P10" s="203">
        <v>20036</v>
      </c>
      <c r="Q10" s="203">
        <v>75161.56</v>
      </c>
      <c r="R10" s="203">
        <v>0</v>
      </c>
      <c r="S10" s="203">
        <v>26675.759999999998</v>
      </c>
      <c r="T10" s="203">
        <v>0</v>
      </c>
      <c r="U10" s="203">
        <v>0</v>
      </c>
      <c r="V10" s="203">
        <v>0</v>
      </c>
      <c r="W10" s="203">
        <v>0</v>
      </c>
      <c r="X10" s="203">
        <v>0</v>
      </c>
      <c r="Y10" s="203">
        <v>0</v>
      </c>
      <c r="Z10" s="203">
        <v>0</v>
      </c>
      <c r="AA10" s="203">
        <v>0</v>
      </c>
      <c r="AB10" s="206">
        <v>0</v>
      </c>
      <c r="AC10" s="198"/>
    </row>
    <row r="11" spans="1:29" ht="12.9" x14ac:dyDescent="0.5">
      <c r="C11" s="205" t="s">
        <v>69</v>
      </c>
      <c r="D11" s="217">
        <f t="shared" si="0"/>
        <v>2533849.4900000002</v>
      </c>
      <c r="E11" s="203">
        <v>183993.41</v>
      </c>
      <c r="F11" s="203">
        <v>75578.53</v>
      </c>
      <c r="G11" s="203">
        <v>62479.81</v>
      </c>
      <c r="H11" s="203">
        <v>28339.82</v>
      </c>
      <c r="I11" s="203">
        <v>76599.95</v>
      </c>
      <c r="J11" s="203">
        <v>8369.91</v>
      </c>
      <c r="K11" s="203">
        <v>69200.320000000007</v>
      </c>
      <c r="L11" s="203">
        <v>28204.35</v>
      </c>
      <c r="M11" s="203">
        <v>287920.40000000002</v>
      </c>
      <c r="N11" s="203">
        <v>163956.19</v>
      </c>
      <c r="O11" s="203">
        <v>141057.57999999999</v>
      </c>
      <c r="P11" s="203">
        <v>228776.58</v>
      </c>
      <c r="Q11" s="203">
        <v>115503.01</v>
      </c>
      <c r="R11" s="203">
        <v>94741.02</v>
      </c>
      <c r="S11" s="203">
        <v>32113.62</v>
      </c>
      <c r="T11" s="203">
        <v>69269.929999999993</v>
      </c>
      <c r="U11" s="203">
        <v>332825.13</v>
      </c>
      <c r="V11" s="203">
        <v>114575.4</v>
      </c>
      <c r="W11" s="203">
        <v>83938</v>
      </c>
      <c r="X11" s="203">
        <v>-2011.54</v>
      </c>
      <c r="Y11" s="203">
        <v>27891.49</v>
      </c>
      <c r="Z11" s="203">
        <v>75684.47</v>
      </c>
      <c r="AA11" s="203">
        <v>52069.760000000002</v>
      </c>
      <c r="AB11" s="206">
        <v>182772.35</v>
      </c>
      <c r="AC11" s="198"/>
    </row>
    <row r="12" spans="1:29" ht="12.9" x14ac:dyDescent="0.5">
      <c r="C12" s="205" t="s">
        <v>1079</v>
      </c>
      <c r="D12" s="217">
        <f t="shared" si="0"/>
        <v>357198.32999999996</v>
      </c>
      <c r="E12" s="203">
        <v>8293.6</v>
      </c>
      <c r="F12" s="203">
        <v>18665.84</v>
      </c>
      <c r="G12" s="203">
        <v>27125.759999999998</v>
      </c>
      <c r="H12" s="203">
        <v>3078</v>
      </c>
      <c r="I12" s="203">
        <v>4793.04</v>
      </c>
      <c r="J12" s="203">
        <v>0</v>
      </c>
      <c r="K12" s="203">
        <v>16614.57</v>
      </c>
      <c r="L12" s="203">
        <v>38449.129999999997</v>
      </c>
      <c r="M12" s="203">
        <v>0</v>
      </c>
      <c r="N12" s="203">
        <v>19826.400000000001</v>
      </c>
      <c r="O12" s="203">
        <v>23052.5</v>
      </c>
      <c r="P12" s="203">
        <v>10123.280000000001</v>
      </c>
      <c r="Q12" s="203">
        <v>58362.36</v>
      </c>
      <c r="R12" s="203">
        <v>19099.919999999998</v>
      </c>
      <c r="S12" s="203">
        <v>41428.800000000003</v>
      </c>
      <c r="T12" s="203">
        <v>24899.9</v>
      </c>
      <c r="U12" s="203">
        <v>0</v>
      </c>
      <c r="V12" s="203">
        <v>0</v>
      </c>
      <c r="W12" s="203">
        <v>0</v>
      </c>
      <c r="X12" s="203">
        <v>0</v>
      </c>
      <c r="Y12" s="203">
        <v>9787.0499999999993</v>
      </c>
      <c r="Z12" s="203">
        <v>0</v>
      </c>
      <c r="AA12" s="203">
        <v>21713.16</v>
      </c>
      <c r="AB12" s="206">
        <v>11885.02</v>
      </c>
      <c r="AC12" s="198"/>
    </row>
    <row r="13" spans="1:29" ht="12.9" x14ac:dyDescent="0.5">
      <c r="C13" s="205" t="s">
        <v>98</v>
      </c>
      <c r="D13" s="217">
        <f t="shared" si="0"/>
        <v>582706.63</v>
      </c>
      <c r="E13" s="203">
        <v>0</v>
      </c>
      <c r="F13" s="203">
        <v>0</v>
      </c>
      <c r="G13" s="203">
        <v>0</v>
      </c>
      <c r="H13" s="203">
        <v>0</v>
      </c>
      <c r="I13" s="203">
        <v>0</v>
      </c>
      <c r="J13" s="203">
        <v>0</v>
      </c>
      <c r="K13" s="203">
        <v>0</v>
      </c>
      <c r="L13" s="203">
        <v>0</v>
      </c>
      <c r="M13" s="203">
        <v>0</v>
      </c>
      <c r="N13" s="203">
        <v>0</v>
      </c>
      <c r="O13" s="203">
        <v>0</v>
      </c>
      <c r="P13" s="203">
        <v>0</v>
      </c>
      <c r="Q13" s="203">
        <v>0</v>
      </c>
      <c r="R13" s="203">
        <v>0</v>
      </c>
      <c r="S13" s="203">
        <v>0</v>
      </c>
      <c r="T13" s="203">
        <v>0</v>
      </c>
      <c r="U13" s="203">
        <v>0</v>
      </c>
      <c r="V13" s="203">
        <v>0</v>
      </c>
      <c r="W13" s="203">
        <v>0</v>
      </c>
      <c r="X13" s="203">
        <v>0</v>
      </c>
      <c r="Y13" s="203">
        <v>0</v>
      </c>
      <c r="Z13" s="203">
        <v>0</v>
      </c>
      <c r="AA13" s="203">
        <v>0</v>
      </c>
      <c r="AB13" s="206">
        <v>582706.63</v>
      </c>
      <c r="AC13" s="198"/>
    </row>
    <row r="14" spans="1:29" ht="12.9" x14ac:dyDescent="0.5">
      <c r="C14" s="205" t="s">
        <v>1080</v>
      </c>
      <c r="D14" s="217">
        <f t="shared" si="0"/>
        <v>4820499.16</v>
      </c>
      <c r="E14" s="203">
        <v>204601.38</v>
      </c>
      <c r="F14" s="203">
        <v>162937.79999999999</v>
      </c>
      <c r="G14" s="203">
        <v>174690.7</v>
      </c>
      <c r="H14" s="203">
        <v>201764.35</v>
      </c>
      <c r="I14" s="203">
        <v>210675.24</v>
      </c>
      <c r="J14" s="203">
        <v>217096.52</v>
      </c>
      <c r="K14" s="203">
        <v>123318.56</v>
      </c>
      <c r="L14" s="203">
        <v>246057.7</v>
      </c>
      <c r="M14" s="203">
        <v>215356.24</v>
      </c>
      <c r="N14" s="203">
        <v>213645.24</v>
      </c>
      <c r="O14" s="203">
        <v>311868.65999999997</v>
      </c>
      <c r="P14" s="203">
        <v>428350.25</v>
      </c>
      <c r="Q14" s="203">
        <v>155047.04999999999</v>
      </c>
      <c r="R14" s="203">
        <v>132819.17000000001</v>
      </c>
      <c r="S14" s="203">
        <v>134370.35</v>
      </c>
      <c r="T14" s="203">
        <v>156877.69</v>
      </c>
      <c r="U14" s="203">
        <v>360625.61</v>
      </c>
      <c r="V14" s="203">
        <v>126534.48</v>
      </c>
      <c r="W14" s="203">
        <v>129727.46</v>
      </c>
      <c r="X14" s="203">
        <v>102134.16</v>
      </c>
      <c r="Y14" s="203">
        <v>81410.289999999994</v>
      </c>
      <c r="Z14" s="203">
        <v>167358.29999999999</v>
      </c>
      <c r="AA14" s="203">
        <v>88831.88</v>
      </c>
      <c r="AB14" s="206">
        <v>474400.08</v>
      </c>
      <c r="AC14" s="198"/>
    </row>
    <row r="15" spans="1:29" ht="12.9" x14ac:dyDescent="0.5">
      <c r="C15" s="205" t="s">
        <v>91</v>
      </c>
      <c r="D15" s="217">
        <f t="shared" si="0"/>
        <v>477900.15000000008</v>
      </c>
      <c r="E15" s="203">
        <v>152.81</v>
      </c>
      <c r="F15" s="203">
        <v>4323.49</v>
      </c>
      <c r="G15" s="203">
        <v>166.26</v>
      </c>
      <c r="H15" s="203">
        <v>83802.399999999994</v>
      </c>
      <c r="I15" s="203">
        <v>3637.04</v>
      </c>
      <c r="J15" s="203">
        <v>6502.89</v>
      </c>
      <c r="K15" s="203">
        <v>3969.83</v>
      </c>
      <c r="L15" s="203">
        <v>174.38</v>
      </c>
      <c r="M15" s="203">
        <v>60983.55</v>
      </c>
      <c r="N15" s="203">
        <v>0</v>
      </c>
      <c r="O15" s="203">
        <v>7578.25</v>
      </c>
      <c r="P15" s="203">
        <v>6468.3</v>
      </c>
      <c r="Q15" s="203">
        <v>4406.1000000000004</v>
      </c>
      <c r="R15" s="203">
        <v>2032</v>
      </c>
      <c r="S15" s="203">
        <v>83606.97</v>
      </c>
      <c r="T15" s="203">
        <v>0</v>
      </c>
      <c r="U15" s="203">
        <v>56399.33</v>
      </c>
      <c r="V15" s="203">
        <v>0</v>
      </c>
      <c r="W15" s="203">
        <v>75888.52</v>
      </c>
      <c r="X15" s="203">
        <v>70985.210000000006</v>
      </c>
      <c r="Y15" s="203">
        <v>1493.62</v>
      </c>
      <c r="Z15" s="203">
        <v>2348.7600000000002</v>
      </c>
      <c r="AA15" s="203">
        <v>2786.46</v>
      </c>
      <c r="AB15" s="206">
        <v>193.98</v>
      </c>
      <c r="AC15" s="198"/>
    </row>
    <row r="16" spans="1:29" ht="12.9" x14ac:dyDescent="0.5">
      <c r="C16" s="205" t="s">
        <v>1081</v>
      </c>
      <c r="D16" s="217">
        <f t="shared" si="0"/>
        <v>-4712255.1899999995</v>
      </c>
      <c r="E16" s="203">
        <v>-205892.48000000001</v>
      </c>
      <c r="F16" s="203">
        <v>-152947.32999999999</v>
      </c>
      <c r="G16" s="203">
        <v>-167465.93</v>
      </c>
      <c r="H16" s="203">
        <v>-204951.39</v>
      </c>
      <c r="I16" s="203">
        <v>-210457.21</v>
      </c>
      <c r="J16" s="203">
        <v>-220321.1</v>
      </c>
      <c r="K16" s="203">
        <v>-126340.06</v>
      </c>
      <c r="L16" s="203">
        <v>-250310.11</v>
      </c>
      <c r="M16" s="203">
        <v>-216491.36</v>
      </c>
      <c r="N16" s="203">
        <v>-215734.11</v>
      </c>
      <c r="O16" s="203">
        <v>-311871.31</v>
      </c>
      <c r="P16" s="203">
        <v>-428350.25</v>
      </c>
      <c r="Q16" s="203">
        <v>-159726.62</v>
      </c>
      <c r="R16" s="203">
        <v>-134991.92000000001</v>
      </c>
      <c r="S16" s="203">
        <v>-132748.84</v>
      </c>
      <c r="T16" s="203">
        <v>-156441</v>
      </c>
      <c r="U16" s="203">
        <v>-357666.18</v>
      </c>
      <c r="V16" s="203">
        <v>-129443.38</v>
      </c>
      <c r="W16" s="203">
        <v>-129981.69</v>
      </c>
      <c r="X16" s="203">
        <v>-112916.54</v>
      </c>
      <c r="Y16" s="203">
        <v>-83531.02</v>
      </c>
      <c r="Z16" s="203">
        <v>-176174.1</v>
      </c>
      <c r="AA16" s="203">
        <v>-95897.279999999999</v>
      </c>
      <c r="AB16" s="206">
        <v>-331603.98</v>
      </c>
      <c r="AC16" s="198"/>
    </row>
    <row r="17" spans="1:29" ht="13.2" thickBot="1" x14ac:dyDescent="0.55000000000000004">
      <c r="C17" s="205"/>
      <c r="D17" s="217"/>
      <c r="E17" s="203"/>
      <c r="F17" s="203"/>
      <c r="G17" s="203"/>
      <c r="H17" s="203"/>
      <c r="I17" s="203"/>
      <c r="J17" s="203"/>
      <c r="K17" s="203"/>
      <c r="L17" s="203"/>
      <c r="M17" s="203"/>
      <c r="N17" s="203"/>
      <c r="O17" s="203"/>
      <c r="P17" s="203"/>
      <c r="Q17" s="203"/>
      <c r="R17" s="203"/>
      <c r="S17" s="203"/>
      <c r="T17" s="203"/>
      <c r="U17" s="203"/>
      <c r="V17" s="203"/>
      <c r="W17" s="203"/>
      <c r="X17" s="203"/>
      <c r="Y17" s="203"/>
      <c r="Z17" s="203"/>
      <c r="AA17" s="203"/>
      <c r="AB17" s="206"/>
      <c r="AC17" s="198"/>
    </row>
    <row r="18" spans="1:29" ht="15" customHeight="1" thickBot="1" x14ac:dyDescent="0.55000000000000004">
      <c r="C18" s="307" t="s">
        <v>1126</v>
      </c>
      <c r="D18" s="308"/>
      <c r="E18" s="309" t="s">
        <v>1112</v>
      </c>
      <c r="F18" s="309"/>
      <c r="G18" s="309"/>
      <c r="H18" s="309"/>
      <c r="I18" s="309"/>
      <c r="J18" s="309"/>
      <c r="K18" s="309"/>
      <c r="L18" s="309"/>
      <c r="M18" s="309"/>
      <c r="N18" s="309"/>
      <c r="O18" s="309"/>
      <c r="P18" s="309"/>
      <c r="Q18" s="309"/>
      <c r="R18" s="309"/>
      <c r="S18" s="309"/>
      <c r="T18" s="309"/>
      <c r="U18" s="309"/>
      <c r="V18" s="309"/>
      <c r="W18" s="309"/>
      <c r="X18" s="309"/>
      <c r="Y18" s="309"/>
      <c r="Z18" s="309"/>
      <c r="AA18" s="309"/>
      <c r="AB18" s="310"/>
      <c r="AC18" s="198"/>
    </row>
    <row r="19" spans="1:29" ht="12.9" x14ac:dyDescent="0.5">
      <c r="A19" s="199"/>
      <c r="B19" s="199"/>
      <c r="C19" s="216" t="s">
        <v>27</v>
      </c>
      <c r="D19" s="217">
        <f>SUM(E19:AB19)</f>
        <v>10251819.310000001</v>
      </c>
      <c r="E19" s="203">
        <v>418765.42</v>
      </c>
      <c r="F19" s="203">
        <v>408432.57</v>
      </c>
      <c r="G19" s="203">
        <v>399985.3</v>
      </c>
      <c r="H19" s="203">
        <v>557315.56999999995</v>
      </c>
      <c r="I19" s="203">
        <v>654684.81000000006</v>
      </c>
      <c r="J19" s="203">
        <v>475979.18</v>
      </c>
      <c r="K19" s="203">
        <v>229681.38</v>
      </c>
      <c r="L19" s="203">
        <v>410343.1</v>
      </c>
      <c r="M19" s="203">
        <v>241509.15</v>
      </c>
      <c r="N19" s="203">
        <v>344702.57</v>
      </c>
      <c r="O19" s="203">
        <v>505250.01</v>
      </c>
      <c r="P19" s="203">
        <v>672940.68</v>
      </c>
      <c r="Q19" s="203">
        <v>237956.17</v>
      </c>
      <c r="R19" s="203">
        <v>519365.7</v>
      </c>
      <c r="S19" s="203">
        <v>341354.68</v>
      </c>
      <c r="T19" s="203">
        <v>389247.36</v>
      </c>
      <c r="U19" s="203">
        <v>894863.78</v>
      </c>
      <c r="V19" s="203">
        <v>381786.11</v>
      </c>
      <c r="W19" s="203">
        <v>372835.56</v>
      </c>
      <c r="X19" s="203">
        <v>362624.99</v>
      </c>
      <c r="Y19" s="203">
        <v>275876.88</v>
      </c>
      <c r="Z19" s="203">
        <v>418054.3</v>
      </c>
      <c r="AA19" s="203">
        <v>256430.12</v>
      </c>
      <c r="AB19" s="206">
        <v>481833.92</v>
      </c>
      <c r="AC19" s="198"/>
    </row>
    <row r="20" spans="1:29" ht="12.9" x14ac:dyDescent="0.5">
      <c r="C20" s="205" t="s">
        <v>26</v>
      </c>
      <c r="D20" s="217">
        <f t="shared" ref="D20:D28" si="1">SUM(E20:AB20)</f>
        <v>5701022.0299999993</v>
      </c>
      <c r="E20" s="203">
        <v>141760.9</v>
      </c>
      <c r="F20" s="203">
        <v>233901.93</v>
      </c>
      <c r="G20" s="203">
        <v>390171.96</v>
      </c>
      <c r="H20" s="203">
        <v>184943.73</v>
      </c>
      <c r="I20" s="203">
        <v>205494.84</v>
      </c>
      <c r="J20" s="203">
        <v>19000.53</v>
      </c>
      <c r="K20" s="203">
        <v>142931.24</v>
      </c>
      <c r="L20" s="203">
        <v>531187.04</v>
      </c>
      <c r="M20" s="203">
        <v>110956.77</v>
      </c>
      <c r="N20" s="203">
        <v>230275.6</v>
      </c>
      <c r="O20" s="203">
        <v>68488.320000000007</v>
      </c>
      <c r="P20" s="203">
        <v>107418.69</v>
      </c>
      <c r="Q20" s="203">
        <v>301909.26</v>
      </c>
      <c r="R20" s="203">
        <v>120853.52</v>
      </c>
      <c r="S20" s="203">
        <v>350668.36</v>
      </c>
      <c r="T20" s="203">
        <v>117974.05</v>
      </c>
      <c r="U20" s="203">
        <v>15481.94</v>
      </c>
      <c r="V20" s="203">
        <v>158178.72</v>
      </c>
      <c r="W20" s="203">
        <v>371146.47</v>
      </c>
      <c r="X20" s="203">
        <v>429856</v>
      </c>
      <c r="Y20" s="203">
        <v>341428.23</v>
      </c>
      <c r="Z20" s="203">
        <v>339264.5</v>
      </c>
      <c r="AA20" s="203">
        <v>398074.6</v>
      </c>
      <c r="AB20" s="206">
        <v>389654.83</v>
      </c>
      <c r="AC20" s="198"/>
    </row>
    <row r="21" spans="1:29" ht="12.9" x14ac:dyDescent="0.5">
      <c r="C21" s="205" t="s">
        <v>28</v>
      </c>
      <c r="D21" s="217">
        <f t="shared" si="1"/>
        <v>665533.45000000007</v>
      </c>
      <c r="E21" s="203">
        <v>45593.24</v>
      </c>
      <c r="F21" s="203">
        <v>18040</v>
      </c>
      <c r="G21" s="203">
        <v>29358.66</v>
      </c>
      <c r="H21" s="203">
        <v>7140</v>
      </c>
      <c r="I21" s="203">
        <v>12166.2</v>
      </c>
      <c r="J21" s="203">
        <v>21028.16</v>
      </c>
      <c r="K21" s="203">
        <v>26314.52</v>
      </c>
      <c r="L21" s="203">
        <v>11312.25</v>
      </c>
      <c r="M21" s="203">
        <v>29087.5</v>
      </c>
      <c r="N21" s="203">
        <v>18497.96</v>
      </c>
      <c r="O21" s="203">
        <v>-7744.05</v>
      </c>
      <c r="P21" s="203">
        <v>3135</v>
      </c>
      <c r="Q21" s="203">
        <v>-23285.69</v>
      </c>
      <c r="R21" s="203">
        <v>40238.839999999997</v>
      </c>
      <c r="S21" s="203">
        <v>546.15</v>
      </c>
      <c r="T21" s="203">
        <v>24731.81</v>
      </c>
      <c r="U21" s="203">
        <v>94234.86</v>
      </c>
      <c r="V21" s="203">
        <v>270.99</v>
      </c>
      <c r="W21" s="203">
        <v>-30025.58</v>
      </c>
      <c r="X21" s="203">
        <v>34426.639999999999</v>
      </c>
      <c r="Y21" s="203">
        <v>95206.27</v>
      </c>
      <c r="Z21" s="203">
        <v>65515.7</v>
      </c>
      <c r="AA21" s="203">
        <v>53481.120000000003</v>
      </c>
      <c r="AB21" s="206">
        <v>96262.9</v>
      </c>
      <c r="AC21" s="198"/>
    </row>
    <row r="22" spans="1:29" ht="12.9" x14ac:dyDescent="0.5">
      <c r="C22" s="205" t="s">
        <v>68</v>
      </c>
      <c r="D22" s="217">
        <f t="shared" si="1"/>
        <v>174353.34000000003</v>
      </c>
      <c r="E22" s="203">
        <v>0</v>
      </c>
      <c r="F22" s="203">
        <v>24398.58</v>
      </c>
      <c r="G22" s="203">
        <v>0</v>
      </c>
      <c r="H22" s="203">
        <v>0</v>
      </c>
      <c r="I22" s="203">
        <v>0</v>
      </c>
      <c r="J22" s="203">
        <v>0</v>
      </c>
      <c r="K22" s="203">
        <v>0</v>
      </c>
      <c r="L22" s="203">
        <v>0</v>
      </c>
      <c r="M22" s="203">
        <v>0</v>
      </c>
      <c r="N22" s="203">
        <v>0</v>
      </c>
      <c r="O22" s="203">
        <v>0</v>
      </c>
      <c r="P22" s="203">
        <v>24270.9</v>
      </c>
      <c r="Q22" s="203">
        <v>97484.6</v>
      </c>
      <c r="R22" s="203">
        <v>0</v>
      </c>
      <c r="S22" s="203">
        <v>28199.26</v>
      </c>
      <c r="T22" s="203">
        <v>0</v>
      </c>
      <c r="U22" s="203">
        <v>0</v>
      </c>
      <c r="V22" s="203">
        <v>0</v>
      </c>
      <c r="W22" s="203">
        <v>0</v>
      </c>
      <c r="X22" s="203">
        <v>0</v>
      </c>
      <c r="Y22" s="203">
        <v>0</v>
      </c>
      <c r="Z22" s="203">
        <v>0</v>
      </c>
      <c r="AA22" s="203">
        <v>0</v>
      </c>
      <c r="AB22" s="206">
        <v>0</v>
      </c>
      <c r="AC22" s="198"/>
    </row>
    <row r="23" spans="1:29" ht="12.9" x14ac:dyDescent="0.5">
      <c r="C23" s="205" t="s">
        <v>69</v>
      </c>
      <c r="D23" s="217">
        <f t="shared" si="1"/>
        <v>2529422.67</v>
      </c>
      <c r="E23" s="203">
        <v>183993.41</v>
      </c>
      <c r="F23" s="203">
        <v>92563.14</v>
      </c>
      <c r="G23" s="203">
        <v>60587.72</v>
      </c>
      <c r="H23" s="203">
        <v>26435.599999999999</v>
      </c>
      <c r="I23" s="203">
        <v>71703.45</v>
      </c>
      <c r="J23" s="203">
        <v>8324.91</v>
      </c>
      <c r="K23" s="203">
        <v>69163.820000000007</v>
      </c>
      <c r="L23" s="203">
        <v>25908.33</v>
      </c>
      <c r="M23" s="203">
        <v>287813.39</v>
      </c>
      <c r="N23" s="203">
        <v>163952.39000000001</v>
      </c>
      <c r="O23" s="203">
        <v>137232.85999999999</v>
      </c>
      <c r="P23" s="203">
        <v>227924.06</v>
      </c>
      <c r="Q23" s="203">
        <v>115059.93</v>
      </c>
      <c r="R23" s="203">
        <v>94402.41</v>
      </c>
      <c r="S23" s="203">
        <v>33328.33</v>
      </c>
      <c r="T23" s="203">
        <v>69269.919999999998</v>
      </c>
      <c r="U23" s="203">
        <v>332825.13</v>
      </c>
      <c r="V23" s="203">
        <v>114422.1</v>
      </c>
      <c r="W23" s="203">
        <v>80570.97</v>
      </c>
      <c r="X23" s="203">
        <v>-2364.4699999999998</v>
      </c>
      <c r="Y23" s="203">
        <v>27620.25</v>
      </c>
      <c r="Z23" s="203">
        <v>75069.61</v>
      </c>
      <c r="AA23" s="203">
        <v>51031.17</v>
      </c>
      <c r="AB23" s="206">
        <v>182584.24</v>
      </c>
      <c r="AC23" s="198"/>
    </row>
    <row r="24" spans="1:29" ht="12.9" x14ac:dyDescent="0.5">
      <c r="C24" s="205" t="s">
        <v>1079</v>
      </c>
      <c r="D24" s="217">
        <f t="shared" si="1"/>
        <v>0</v>
      </c>
      <c r="E24" s="203">
        <v>0</v>
      </c>
      <c r="F24" s="203">
        <v>0</v>
      </c>
      <c r="G24" s="203">
        <v>0</v>
      </c>
      <c r="H24" s="203">
        <v>0</v>
      </c>
      <c r="I24" s="203">
        <v>0</v>
      </c>
      <c r="J24" s="203">
        <v>0</v>
      </c>
      <c r="K24" s="203">
        <v>0</v>
      </c>
      <c r="L24" s="203">
        <v>0</v>
      </c>
      <c r="M24" s="203">
        <v>0</v>
      </c>
      <c r="N24" s="203">
        <v>0</v>
      </c>
      <c r="O24" s="203">
        <v>0</v>
      </c>
      <c r="P24" s="203">
        <v>0</v>
      </c>
      <c r="Q24" s="203">
        <v>0</v>
      </c>
      <c r="R24" s="203">
        <v>0</v>
      </c>
      <c r="S24" s="203">
        <v>0</v>
      </c>
      <c r="T24" s="203">
        <v>0</v>
      </c>
      <c r="U24" s="203">
        <v>0</v>
      </c>
      <c r="V24" s="203">
        <v>0</v>
      </c>
      <c r="W24" s="203">
        <v>0</v>
      </c>
      <c r="X24" s="203">
        <v>0</v>
      </c>
      <c r="Y24" s="203">
        <v>0</v>
      </c>
      <c r="Z24" s="203">
        <v>0</v>
      </c>
      <c r="AA24" s="203">
        <v>0</v>
      </c>
      <c r="AB24" s="206">
        <v>0</v>
      </c>
      <c r="AC24" s="198"/>
    </row>
    <row r="25" spans="1:29" ht="12.9" x14ac:dyDescent="0.5">
      <c r="C25" s="205" t="s">
        <v>98</v>
      </c>
      <c r="D25" s="217">
        <f t="shared" si="1"/>
        <v>716723.22</v>
      </c>
      <c r="E25" s="203">
        <v>0</v>
      </c>
      <c r="F25" s="203">
        <v>0</v>
      </c>
      <c r="G25" s="203">
        <v>0</v>
      </c>
      <c r="H25" s="203">
        <v>0</v>
      </c>
      <c r="I25" s="203">
        <v>0</v>
      </c>
      <c r="J25" s="203">
        <v>0</v>
      </c>
      <c r="K25" s="203">
        <v>0</v>
      </c>
      <c r="L25" s="203">
        <v>0</v>
      </c>
      <c r="M25" s="203">
        <v>0</v>
      </c>
      <c r="N25" s="203">
        <v>0</v>
      </c>
      <c r="O25" s="203">
        <v>0</v>
      </c>
      <c r="P25" s="203">
        <v>0</v>
      </c>
      <c r="Q25" s="203">
        <v>0</v>
      </c>
      <c r="R25" s="203">
        <v>0</v>
      </c>
      <c r="S25" s="203">
        <v>0</v>
      </c>
      <c r="T25" s="203">
        <v>0</v>
      </c>
      <c r="U25" s="203">
        <v>0</v>
      </c>
      <c r="V25" s="203">
        <v>0</v>
      </c>
      <c r="W25" s="203">
        <v>0</v>
      </c>
      <c r="X25" s="203">
        <v>0</v>
      </c>
      <c r="Y25" s="203">
        <v>0</v>
      </c>
      <c r="Z25" s="203">
        <v>0</v>
      </c>
      <c r="AA25" s="203">
        <v>0</v>
      </c>
      <c r="AB25" s="206">
        <v>716723.22</v>
      </c>
      <c r="AC25" s="198"/>
    </row>
    <row r="26" spans="1:29" ht="12.9" x14ac:dyDescent="0.5">
      <c r="C26" s="205" t="s">
        <v>1080</v>
      </c>
      <c r="D26" s="217">
        <f t="shared" si="1"/>
        <v>0</v>
      </c>
      <c r="E26" s="203">
        <v>0</v>
      </c>
      <c r="F26" s="203">
        <v>0</v>
      </c>
      <c r="G26" s="203">
        <v>0</v>
      </c>
      <c r="H26" s="203">
        <v>0</v>
      </c>
      <c r="I26" s="203">
        <v>0</v>
      </c>
      <c r="J26" s="203">
        <v>0</v>
      </c>
      <c r="K26" s="203">
        <v>0</v>
      </c>
      <c r="L26" s="203">
        <v>0</v>
      </c>
      <c r="M26" s="203">
        <v>0</v>
      </c>
      <c r="N26" s="203">
        <v>0</v>
      </c>
      <c r="O26" s="203">
        <v>0</v>
      </c>
      <c r="P26" s="203">
        <v>0</v>
      </c>
      <c r="Q26" s="203">
        <v>0</v>
      </c>
      <c r="R26" s="203">
        <v>0</v>
      </c>
      <c r="S26" s="203">
        <v>0</v>
      </c>
      <c r="T26" s="203">
        <v>0</v>
      </c>
      <c r="U26" s="203">
        <v>0</v>
      </c>
      <c r="V26" s="203">
        <v>0</v>
      </c>
      <c r="W26" s="203">
        <v>0</v>
      </c>
      <c r="X26" s="203">
        <v>0</v>
      </c>
      <c r="Y26" s="203">
        <v>0</v>
      </c>
      <c r="Z26" s="203">
        <v>0</v>
      </c>
      <c r="AA26" s="203">
        <v>0</v>
      </c>
      <c r="AB26" s="206">
        <v>0</v>
      </c>
      <c r="AC26" s="198"/>
    </row>
    <row r="27" spans="1:29" ht="12.9" x14ac:dyDescent="0.5">
      <c r="C27" s="205" t="s">
        <v>91</v>
      </c>
      <c r="D27" s="217">
        <f t="shared" si="1"/>
        <v>325510.7</v>
      </c>
      <c r="E27" s="203">
        <v>8293.6</v>
      </c>
      <c r="F27" s="203">
        <v>15032.26</v>
      </c>
      <c r="G27" s="203">
        <v>27125.759999999998</v>
      </c>
      <c r="H27" s="203">
        <v>3078</v>
      </c>
      <c r="I27" s="203">
        <v>4793.04</v>
      </c>
      <c r="J27" s="203">
        <v>0</v>
      </c>
      <c r="K27" s="203">
        <v>16614.57</v>
      </c>
      <c r="L27" s="203">
        <v>38449.129999999997</v>
      </c>
      <c r="M27" s="203">
        <v>0</v>
      </c>
      <c r="N27" s="203">
        <v>19826.400000000001</v>
      </c>
      <c r="O27" s="203">
        <v>23052.5</v>
      </c>
      <c r="P27" s="203">
        <v>5888.38</v>
      </c>
      <c r="Q27" s="203">
        <v>36039.32</v>
      </c>
      <c r="R27" s="203">
        <v>19099.919999999998</v>
      </c>
      <c r="S27" s="203">
        <v>39905.300000000003</v>
      </c>
      <c r="T27" s="203">
        <v>24899.9</v>
      </c>
      <c r="U27" s="203">
        <v>0</v>
      </c>
      <c r="V27" s="203">
        <v>0</v>
      </c>
      <c r="W27" s="203">
        <v>0</v>
      </c>
      <c r="X27" s="203">
        <v>0</v>
      </c>
      <c r="Y27" s="203">
        <v>9814.44</v>
      </c>
      <c r="Z27" s="203">
        <v>0</v>
      </c>
      <c r="AA27" s="203">
        <v>21713.16</v>
      </c>
      <c r="AB27" s="206">
        <v>11885.02</v>
      </c>
      <c r="AC27" s="198"/>
    </row>
    <row r="28" spans="1:29" ht="12.9" x14ac:dyDescent="0.5">
      <c r="C28" s="205" t="s">
        <v>1081</v>
      </c>
      <c r="D28" s="217">
        <f t="shared" si="1"/>
        <v>0</v>
      </c>
      <c r="E28" s="203">
        <v>0</v>
      </c>
      <c r="F28" s="203">
        <v>0</v>
      </c>
      <c r="G28" s="203">
        <v>0</v>
      </c>
      <c r="H28" s="203">
        <v>0</v>
      </c>
      <c r="I28" s="203">
        <v>0</v>
      </c>
      <c r="J28" s="203">
        <v>0</v>
      </c>
      <c r="K28" s="203">
        <v>0</v>
      </c>
      <c r="L28" s="203">
        <v>0</v>
      </c>
      <c r="M28" s="203">
        <v>0</v>
      </c>
      <c r="N28" s="203">
        <v>0</v>
      </c>
      <c r="O28" s="203">
        <v>0</v>
      </c>
      <c r="P28" s="203">
        <v>0</v>
      </c>
      <c r="Q28" s="203">
        <v>0</v>
      </c>
      <c r="R28" s="203">
        <v>0</v>
      </c>
      <c r="S28" s="203">
        <v>0</v>
      </c>
      <c r="T28" s="203">
        <v>0</v>
      </c>
      <c r="U28" s="203">
        <v>0</v>
      </c>
      <c r="V28" s="203">
        <v>0</v>
      </c>
      <c r="W28" s="203">
        <v>0</v>
      </c>
      <c r="X28" s="203">
        <v>0</v>
      </c>
      <c r="Y28" s="203">
        <v>0</v>
      </c>
      <c r="Z28" s="203">
        <v>0</v>
      </c>
      <c r="AA28" s="203">
        <v>0</v>
      </c>
      <c r="AB28" s="206">
        <v>0</v>
      </c>
      <c r="AC28" s="198"/>
    </row>
    <row r="29" spans="1:29" ht="13.2" thickBot="1" x14ac:dyDescent="0.55000000000000004">
      <c r="C29" s="205"/>
      <c r="D29" s="217"/>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6"/>
      <c r="AC29" s="198"/>
    </row>
    <row r="30" spans="1:29" ht="15" customHeight="1" thickBot="1" x14ac:dyDescent="0.55000000000000004">
      <c r="C30" s="307" t="s">
        <v>1122</v>
      </c>
      <c r="D30" s="308"/>
      <c r="E30" s="311" t="s">
        <v>114</v>
      </c>
      <c r="F30" s="311"/>
      <c r="G30" s="311"/>
      <c r="H30" s="311"/>
      <c r="I30" s="311"/>
      <c r="J30" s="311"/>
      <c r="K30" s="311"/>
      <c r="L30" s="311"/>
      <c r="M30" s="311"/>
      <c r="N30" s="311"/>
      <c r="O30" s="311"/>
      <c r="P30" s="311"/>
      <c r="Q30" s="311"/>
      <c r="R30" s="311"/>
      <c r="S30" s="311"/>
      <c r="T30" s="311"/>
      <c r="U30" s="311"/>
      <c r="V30" s="311"/>
      <c r="W30" s="311"/>
      <c r="X30" s="311"/>
      <c r="Y30" s="311"/>
      <c r="Z30" s="311"/>
      <c r="AA30" s="311"/>
      <c r="AB30" s="312"/>
      <c r="AC30" s="198"/>
    </row>
    <row r="31" spans="1:29" ht="12.9" x14ac:dyDescent="0.5">
      <c r="A31" s="199"/>
      <c r="B31" s="199"/>
      <c r="C31" s="216" t="s">
        <v>27</v>
      </c>
      <c r="D31" s="217">
        <f>SUM(E31:AB31)</f>
        <v>80600.34</v>
      </c>
      <c r="E31" s="203">
        <f>E7-E19</f>
        <v>1534.3400000000256</v>
      </c>
      <c r="F31" s="203">
        <f>F7-F19</f>
        <v>6994.140000000014</v>
      </c>
      <c r="G31" s="203">
        <f t="shared" ref="G31:AB40" si="2">G7-G19</f>
        <v>-6258.2000000000116</v>
      </c>
      <c r="H31" s="203">
        <f t="shared" si="2"/>
        <v>1282.8200000000652</v>
      </c>
      <c r="I31" s="203">
        <f t="shared" si="2"/>
        <v>-2748.3300000000745</v>
      </c>
      <c r="J31" s="203">
        <f t="shared" si="2"/>
        <v>8357.7399999999907</v>
      </c>
      <c r="K31" s="203">
        <f t="shared" si="2"/>
        <v>3049.5199999999895</v>
      </c>
      <c r="L31" s="203">
        <f t="shared" si="2"/>
        <v>9501.6600000000326</v>
      </c>
      <c r="M31" s="203">
        <f t="shared" si="2"/>
        <v>7328.1100000000151</v>
      </c>
      <c r="N31" s="203">
        <f t="shared" si="2"/>
        <v>2883.0299999999697</v>
      </c>
      <c r="O31" s="203">
        <f t="shared" si="2"/>
        <v>-3822.070000000007</v>
      </c>
      <c r="P31" s="203">
        <f t="shared" si="2"/>
        <v>-852.52000000001863</v>
      </c>
      <c r="Q31" s="203">
        <f t="shared" si="2"/>
        <v>7919</v>
      </c>
      <c r="R31" s="203">
        <f t="shared" si="2"/>
        <v>2568.4099999999744</v>
      </c>
      <c r="S31" s="203">
        <f t="shared" si="2"/>
        <v>2590.539999999979</v>
      </c>
      <c r="T31" s="203">
        <f t="shared" si="2"/>
        <v>-125.71999999997206</v>
      </c>
      <c r="U31" s="203">
        <f t="shared" si="2"/>
        <v>7804.9599999999627</v>
      </c>
      <c r="V31" s="203">
        <f t="shared" si="2"/>
        <v>2646.5900000000256</v>
      </c>
      <c r="W31" s="203">
        <f t="shared" si="2"/>
        <v>-1574.859999999986</v>
      </c>
      <c r="X31" s="203">
        <f t="shared" si="2"/>
        <v>10556.090000000026</v>
      </c>
      <c r="Y31" s="203">
        <f t="shared" si="2"/>
        <v>4276.109999999986</v>
      </c>
      <c r="Z31" s="203">
        <f t="shared" si="2"/>
        <v>10446.640000000014</v>
      </c>
      <c r="AA31" s="203">
        <f t="shared" si="2"/>
        <v>2595.2099999999919</v>
      </c>
      <c r="AB31" s="206">
        <f t="shared" si="2"/>
        <v>3647.1300000000047</v>
      </c>
      <c r="AC31" s="198"/>
    </row>
    <row r="32" spans="1:29" ht="12.9" x14ac:dyDescent="0.5">
      <c r="C32" s="205" t="s">
        <v>26</v>
      </c>
      <c r="D32" s="217">
        <f t="shared" ref="D32:D40" si="3">SUM(E32:AB32)</f>
        <v>-3790.3900000000849</v>
      </c>
      <c r="E32" s="203">
        <f>E8-E20</f>
        <v>0</v>
      </c>
      <c r="F32" s="203">
        <f t="shared" ref="F32:U40" si="4">F8-F20</f>
        <v>0</v>
      </c>
      <c r="G32" s="203">
        <f t="shared" si="4"/>
        <v>0</v>
      </c>
      <c r="H32" s="203">
        <f t="shared" si="4"/>
        <v>0</v>
      </c>
      <c r="I32" s="203">
        <f t="shared" si="4"/>
        <v>0</v>
      </c>
      <c r="J32" s="203">
        <f t="shared" si="4"/>
        <v>0</v>
      </c>
      <c r="K32" s="203">
        <f t="shared" si="4"/>
        <v>0</v>
      </c>
      <c r="L32" s="203">
        <f t="shared" si="4"/>
        <v>-9.7100000000791624</v>
      </c>
      <c r="M32" s="203">
        <f t="shared" si="4"/>
        <v>0</v>
      </c>
      <c r="N32" s="203">
        <f t="shared" si="4"/>
        <v>0</v>
      </c>
      <c r="O32" s="203">
        <f t="shared" si="4"/>
        <v>0</v>
      </c>
      <c r="P32" s="203">
        <f t="shared" si="4"/>
        <v>0</v>
      </c>
      <c r="Q32" s="203">
        <f t="shared" si="4"/>
        <v>-204.9100000000326</v>
      </c>
      <c r="R32" s="203">
        <f t="shared" si="4"/>
        <v>-140.43000000000757</v>
      </c>
      <c r="S32" s="203">
        <f t="shared" si="4"/>
        <v>-2414.640000000014</v>
      </c>
      <c r="T32" s="203">
        <f t="shared" si="4"/>
        <v>-212.16999999999825</v>
      </c>
      <c r="U32" s="203">
        <f t="shared" si="4"/>
        <v>-144.32999999999993</v>
      </c>
      <c r="V32" s="203">
        <f t="shared" si="2"/>
        <v>0</v>
      </c>
      <c r="W32" s="203">
        <f t="shared" si="2"/>
        <v>-664.19999999995343</v>
      </c>
      <c r="X32" s="203">
        <f t="shared" si="2"/>
        <v>0</v>
      </c>
      <c r="Y32" s="203">
        <f t="shared" si="2"/>
        <v>0</v>
      </c>
      <c r="Z32" s="203">
        <f t="shared" si="2"/>
        <v>0</v>
      </c>
      <c r="AA32" s="203">
        <f t="shared" si="2"/>
        <v>0</v>
      </c>
      <c r="AB32" s="206">
        <f t="shared" si="2"/>
        <v>0</v>
      </c>
      <c r="AC32" s="198"/>
    </row>
    <row r="33" spans="3:29" ht="12.9" x14ac:dyDescent="0.5">
      <c r="C33" s="205" t="s">
        <v>28</v>
      </c>
      <c r="D33" s="217">
        <f t="shared" si="3"/>
        <v>-55464.15</v>
      </c>
      <c r="E33" s="203">
        <f t="shared" ref="E33:E40" si="5">E9-E21</f>
        <v>-243.23999999999796</v>
      </c>
      <c r="F33" s="203">
        <f t="shared" si="4"/>
        <v>0</v>
      </c>
      <c r="G33" s="203">
        <f t="shared" si="2"/>
        <v>-2858.66</v>
      </c>
      <c r="H33" s="203">
        <f t="shared" si="2"/>
        <v>0</v>
      </c>
      <c r="I33" s="203">
        <f t="shared" si="2"/>
        <v>-2366.2000000000007</v>
      </c>
      <c r="J33" s="203">
        <f t="shared" si="2"/>
        <v>-5178.16</v>
      </c>
      <c r="K33" s="203">
        <f t="shared" si="2"/>
        <v>-64.520000000000437</v>
      </c>
      <c r="L33" s="203">
        <f t="shared" si="2"/>
        <v>-7535.5599999999995</v>
      </c>
      <c r="M33" s="203">
        <f t="shared" si="2"/>
        <v>-6300</v>
      </c>
      <c r="N33" s="203">
        <f t="shared" si="2"/>
        <v>-797.95999999999913</v>
      </c>
      <c r="O33" s="203">
        <f t="shared" si="2"/>
        <v>0</v>
      </c>
      <c r="P33" s="203">
        <f t="shared" si="2"/>
        <v>0</v>
      </c>
      <c r="Q33" s="203">
        <f t="shared" si="2"/>
        <v>-3477.6000000000022</v>
      </c>
      <c r="R33" s="203">
        <f t="shared" si="2"/>
        <v>-593.83999999999651</v>
      </c>
      <c r="S33" s="203">
        <f t="shared" si="2"/>
        <v>-582.69999999999993</v>
      </c>
      <c r="T33" s="203">
        <f t="shared" si="2"/>
        <v>-98.81000000000131</v>
      </c>
      <c r="U33" s="203">
        <f t="shared" si="2"/>
        <v>-10620.059999999998</v>
      </c>
      <c r="V33" s="203">
        <f t="shared" si="2"/>
        <v>109.00999999999999</v>
      </c>
      <c r="W33" s="203">
        <f t="shared" si="2"/>
        <v>-873.73999999999796</v>
      </c>
      <c r="X33" s="203">
        <f t="shared" si="2"/>
        <v>-126.63999999999942</v>
      </c>
      <c r="Y33" s="203">
        <f t="shared" si="2"/>
        <v>-2426.6200000000099</v>
      </c>
      <c r="Z33" s="203">
        <f t="shared" si="2"/>
        <v>-2245.6999999999971</v>
      </c>
      <c r="AA33" s="203">
        <f t="shared" si="2"/>
        <v>3431.5999999999985</v>
      </c>
      <c r="AB33" s="206">
        <f t="shared" si="2"/>
        <v>-12614.75</v>
      </c>
      <c r="AC33" s="198"/>
    </row>
    <row r="34" spans="3:29" ht="12.9" x14ac:dyDescent="0.5">
      <c r="C34" s="205" t="s">
        <v>68</v>
      </c>
      <c r="D34" s="217">
        <f t="shared" si="3"/>
        <v>-31715.020000000011</v>
      </c>
      <c r="E34" s="203">
        <f t="shared" si="5"/>
        <v>0</v>
      </c>
      <c r="F34" s="203">
        <f t="shared" si="4"/>
        <v>-3633.5800000000017</v>
      </c>
      <c r="G34" s="203">
        <f t="shared" si="2"/>
        <v>0</v>
      </c>
      <c r="H34" s="203">
        <f t="shared" si="2"/>
        <v>0</v>
      </c>
      <c r="I34" s="203">
        <f t="shared" si="2"/>
        <v>0</v>
      </c>
      <c r="J34" s="203">
        <f t="shared" si="2"/>
        <v>0</v>
      </c>
      <c r="K34" s="203">
        <f t="shared" si="2"/>
        <v>0</v>
      </c>
      <c r="L34" s="203">
        <f t="shared" si="2"/>
        <v>0</v>
      </c>
      <c r="M34" s="203">
        <f t="shared" si="2"/>
        <v>0</v>
      </c>
      <c r="N34" s="203">
        <f t="shared" si="2"/>
        <v>0</v>
      </c>
      <c r="O34" s="203">
        <f t="shared" si="2"/>
        <v>0</v>
      </c>
      <c r="P34" s="203">
        <f t="shared" si="2"/>
        <v>-4234.9000000000015</v>
      </c>
      <c r="Q34" s="203">
        <f t="shared" si="2"/>
        <v>-22323.040000000008</v>
      </c>
      <c r="R34" s="203">
        <f t="shared" si="2"/>
        <v>0</v>
      </c>
      <c r="S34" s="203">
        <f t="shared" si="2"/>
        <v>-1523.5</v>
      </c>
      <c r="T34" s="203">
        <f t="shared" si="2"/>
        <v>0</v>
      </c>
      <c r="U34" s="203">
        <f t="shared" si="2"/>
        <v>0</v>
      </c>
      <c r="V34" s="203">
        <f t="shared" si="2"/>
        <v>0</v>
      </c>
      <c r="W34" s="203">
        <f t="shared" si="2"/>
        <v>0</v>
      </c>
      <c r="X34" s="203">
        <f t="shared" si="2"/>
        <v>0</v>
      </c>
      <c r="Y34" s="203">
        <f t="shared" si="2"/>
        <v>0</v>
      </c>
      <c r="Z34" s="203">
        <f t="shared" si="2"/>
        <v>0</v>
      </c>
      <c r="AA34" s="203">
        <f t="shared" si="2"/>
        <v>0</v>
      </c>
      <c r="AB34" s="206">
        <f t="shared" si="2"/>
        <v>0</v>
      </c>
      <c r="AC34" s="198"/>
    </row>
    <row r="35" spans="3:29" ht="12.9" x14ac:dyDescent="0.5">
      <c r="C35" s="205" t="s">
        <v>69</v>
      </c>
      <c r="D35" s="217">
        <f t="shared" si="3"/>
        <v>4426.8199999999852</v>
      </c>
      <c r="E35" s="203">
        <f t="shared" si="5"/>
        <v>0</v>
      </c>
      <c r="F35" s="203">
        <f t="shared" si="4"/>
        <v>-16984.61</v>
      </c>
      <c r="G35" s="203">
        <f t="shared" si="2"/>
        <v>1892.0899999999965</v>
      </c>
      <c r="H35" s="203">
        <f t="shared" si="2"/>
        <v>1904.2200000000012</v>
      </c>
      <c r="I35" s="203">
        <f t="shared" si="2"/>
        <v>4896.5</v>
      </c>
      <c r="J35" s="203">
        <f t="shared" si="2"/>
        <v>45</v>
      </c>
      <c r="K35" s="203">
        <f t="shared" si="2"/>
        <v>36.5</v>
      </c>
      <c r="L35" s="203">
        <f t="shared" si="2"/>
        <v>2296.0199999999968</v>
      </c>
      <c r="M35" s="203">
        <f t="shared" si="2"/>
        <v>107.01000000000931</v>
      </c>
      <c r="N35" s="203">
        <f t="shared" si="2"/>
        <v>3.7999999999883585</v>
      </c>
      <c r="O35" s="203">
        <f t="shared" si="2"/>
        <v>3824.7200000000012</v>
      </c>
      <c r="P35" s="203">
        <f t="shared" si="2"/>
        <v>852.51999999998952</v>
      </c>
      <c r="Q35" s="203">
        <f t="shared" si="2"/>
        <v>443.08000000000175</v>
      </c>
      <c r="R35" s="203">
        <f t="shared" si="2"/>
        <v>338.61000000000058</v>
      </c>
      <c r="S35" s="203">
        <f t="shared" si="2"/>
        <v>-1214.7100000000028</v>
      </c>
      <c r="T35" s="203">
        <f t="shared" si="2"/>
        <v>9.9999999947613105E-3</v>
      </c>
      <c r="U35" s="203">
        <f t="shared" si="2"/>
        <v>0</v>
      </c>
      <c r="V35" s="203">
        <f t="shared" si="2"/>
        <v>153.29999999998836</v>
      </c>
      <c r="W35" s="203">
        <f t="shared" si="2"/>
        <v>3367.0299999999988</v>
      </c>
      <c r="X35" s="203">
        <f t="shared" si="2"/>
        <v>352.92999999999984</v>
      </c>
      <c r="Y35" s="203">
        <f t="shared" si="2"/>
        <v>271.2400000000016</v>
      </c>
      <c r="Z35" s="203">
        <f t="shared" si="2"/>
        <v>614.86000000000058</v>
      </c>
      <c r="AA35" s="203">
        <f t="shared" si="2"/>
        <v>1038.5900000000038</v>
      </c>
      <c r="AB35" s="206">
        <f t="shared" si="2"/>
        <v>188.11000000001513</v>
      </c>
      <c r="AC35" s="198"/>
    </row>
    <row r="36" spans="3:29" ht="12.9" x14ac:dyDescent="0.5">
      <c r="C36" s="205" t="s">
        <v>1079</v>
      </c>
      <c r="D36" s="217">
        <f t="shared" si="3"/>
        <v>357198.32999999996</v>
      </c>
      <c r="E36" s="203">
        <f t="shared" si="5"/>
        <v>8293.6</v>
      </c>
      <c r="F36" s="203">
        <f t="shared" si="4"/>
        <v>18665.84</v>
      </c>
      <c r="G36" s="203">
        <f t="shared" si="2"/>
        <v>27125.759999999998</v>
      </c>
      <c r="H36" s="203">
        <f t="shared" si="2"/>
        <v>3078</v>
      </c>
      <c r="I36" s="203">
        <f t="shared" si="2"/>
        <v>4793.04</v>
      </c>
      <c r="J36" s="203">
        <f t="shared" si="2"/>
        <v>0</v>
      </c>
      <c r="K36" s="203">
        <f t="shared" si="2"/>
        <v>16614.57</v>
      </c>
      <c r="L36" s="203">
        <f t="shared" si="2"/>
        <v>38449.129999999997</v>
      </c>
      <c r="M36" s="203">
        <f t="shared" si="2"/>
        <v>0</v>
      </c>
      <c r="N36" s="203">
        <f t="shared" si="2"/>
        <v>19826.400000000001</v>
      </c>
      <c r="O36" s="203">
        <f t="shared" si="2"/>
        <v>23052.5</v>
      </c>
      <c r="P36" s="203">
        <f t="shared" si="2"/>
        <v>10123.280000000001</v>
      </c>
      <c r="Q36" s="203">
        <f t="shared" si="2"/>
        <v>58362.36</v>
      </c>
      <c r="R36" s="203">
        <f t="shared" si="2"/>
        <v>19099.919999999998</v>
      </c>
      <c r="S36" s="203">
        <f t="shared" si="2"/>
        <v>41428.800000000003</v>
      </c>
      <c r="T36" s="203">
        <f t="shared" si="2"/>
        <v>24899.9</v>
      </c>
      <c r="U36" s="203">
        <f t="shared" si="2"/>
        <v>0</v>
      </c>
      <c r="V36" s="203">
        <f t="shared" si="2"/>
        <v>0</v>
      </c>
      <c r="W36" s="203">
        <f t="shared" si="2"/>
        <v>0</v>
      </c>
      <c r="X36" s="203">
        <f t="shared" si="2"/>
        <v>0</v>
      </c>
      <c r="Y36" s="203">
        <f t="shared" si="2"/>
        <v>9787.0499999999993</v>
      </c>
      <c r="Z36" s="203">
        <f t="shared" si="2"/>
        <v>0</v>
      </c>
      <c r="AA36" s="203">
        <f t="shared" si="2"/>
        <v>21713.16</v>
      </c>
      <c r="AB36" s="206">
        <f t="shared" si="2"/>
        <v>11885.02</v>
      </c>
      <c r="AC36" s="198"/>
    </row>
    <row r="37" spans="3:29" x14ac:dyDescent="0.55000000000000004">
      <c r="C37" s="205" t="s">
        <v>98</v>
      </c>
      <c r="D37" s="217">
        <f t="shared" si="3"/>
        <v>-134016.58999999997</v>
      </c>
      <c r="E37" s="203">
        <f t="shared" si="5"/>
        <v>0</v>
      </c>
      <c r="F37" s="203">
        <f t="shared" si="4"/>
        <v>0</v>
      </c>
      <c r="G37" s="203">
        <f t="shared" si="2"/>
        <v>0</v>
      </c>
      <c r="H37" s="203">
        <f t="shared" si="2"/>
        <v>0</v>
      </c>
      <c r="I37" s="203">
        <f t="shared" si="2"/>
        <v>0</v>
      </c>
      <c r="J37" s="203">
        <f t="shared" si="2"/>
        <v>0</v>
      </c>
      <c r="K37" s="203">
        <f t="shared" si="2"/>
        <v>0</v>
      </c>
      <c r="L37" s="203">
        <f t="shared" si="2"/>
        <v>0</v>
      </c>
      <c r="M37" s="203">
        <f t="shared" si="2"/>
        <v>0</v>
      </c>
      <c r="N37" s="203">
        <f t="shared" si="2"/>
        <v>0</v>
      </c>
      <c r="O37" s="203">
        <f t="shared" si="2"/>
        <v>0</v>
      </c>
      <c r="P37" s="203">
        <f t="shared" si="2"/>
        <v>0</v>
      </c>
      <c r="Q37" s="203">
        <f t="shared" si="2"/>
        <v>0</v>
      </c>
      <c r="R37" s="203">
        <f t="shared" si="2"/>
        <v>0</v>
      </c>
      <c r="S37" s="203">
        <f t="shared" si="2"/>
        <v>0</v>
      </c>
      <c r="T37" s="203">
        <f t="shared" si="2"/>
        <v>0</v>
      </c>
      <c r="U37" s="203">
        <f t="shared" si="2"/>
        <v>0</v>
      </c>
      <c r="V37" s="203">
        <f t="shared" si="2"/>
        <v>0</v>
      </c>
      <c r="W37" s="203">
        <f t="shared" si="2"/>
        <v>0</v>
      </c>
      <c r="X37" s="203">
        <f t="shared" si="2"/>
        <v>0</v>
      </c>
      <c r="Y37" s="203">
        <f t="shared" si="2"/>
        <v>0</v>
      </c>
      <c r="Z37" s="203">
        <f t="shared" si="2"/>
        <v>0</v>
      </c>
      <c r="AA37" s="203">
        <f t="shared" si="2"/>
        <v>0</v>
      </c>
      <c r="AB37" s="206">
        <f t="shared" si="2"/>
        <v>-134016.58999999997</v>
      </c>
    </row>
    <row r="38" spans="3:29" x14ac:dyDescent="0.55000000000000004">
      <c r="C38" s="205" t="s">
        <v>1080</v>
      </c>
      <c r="D38" s="217">
        <f t="shared" si="3"/>
        <v>4820499.16</v>
      </c>
      <c r="E38" s="203">
        <f t="shared" si="5"/>
        <v>204601.38</v>
      </c>
      <c r="F38" s="203">
        <f t="shared" si="4"/>
        <v>162937.79999999999</v>
      </c>
      <c r="G38" s="203">
        <f t="shared" si="2"/>
        <v>174690.7</v>
      </c>
      <c r="H38" s="203">
        <f t="shared" si="2"/>
        <v>201764.35</v>
      </c>
      <c r="I38" s="203">
        <f t="shared" si="2"/>
        <v>210675.24</v>
      </c>
      <c r="J38" s="203">
        <f t="shared" si="2"/>
        <v>217096.52</v>
      </c>
      <c r="K38" s="203">
        <f t="shared" si="2"/>
        <v>123318.56</v>
      </c>
      <c r="L38" s="203">
        <f t="shared" si="2"/>
        <v>246057.7</v>
      </c>
      <c r="M38" s="203">
        <f t="shared" si="2"/>
        <v>215356.24</v>
      </c>
      <c r="N38" s="203">
        <f t="shared" si="2"/>
        <v>213645.24</v>
      </c>
      <c r="O38" s="203">
        <f t="shared" si="2"/>
        <v>311868.65999999997</v>
      </c>
      <c r="P38" s="203">
        <f t="shared" si="2"/>
        <v>428350.25</v>
      </c>
      <c r="Q38" s="203">
        <f t="shared" si="2"/>
        <v>155047.04999999999</v>
      </c>
      <c r="R38" s="203">
        <f t="shared" si="2"/>
        <v>132819.17000000001</v>
      </c>
      <c r="S38" s="203">
        <f t="shared" si="2"/>
        <v>134370.35</v>
      </c>
      <c r="T38" s="203">
        <f t="shared" si="2"/>
        <v>156877.69</v>
      </c>
      <c r="U38" s="203">
        <f t="shared" si="2"/>
        <v>360625.61</v>
      </c>
      <c r="V38" s="203">
        <f t="shared" si="2"/>
        <v>126534.48</v>
      </c>
      <c r="W38" s="203">
        <f t="shared" si="2"/>
        <v>129727.46</v>
      </c>
      <c r="X38" s="203">
        <f t="shared" si="2"/>
        <v>102134.16</v>
      </c>
      <c r="Y38" s="203">
        <f t="shared" si="2"/>
        <v>81410.289999999994</v>
      </c>
      <c r="Z38" s="203">
        <f t="shared" si="2"/>
        <v>167358.29999999999</v>
      </c>
      <c r="AA38" s="203">
        <f t="shared" si="2"/>
        <v>88831.88</v>
      </c>
      <c r="AB38" s="206">
        <f t="shared" si="2"/>
        <v>474400.08</v>
      </c>
    </row>
    <row r="39" spans="3:29" x14ac:dyDescent="0.55000000000000004">
      <c r="C39" s="205" t="s">
        <v>91</v>
      </c>
      <c r="D39" s="217">
        <f t="shared" si="3"/>
        <v>152389.44999999998</v>
      </c>
      <c r="E39" s="203">
        <f t="shared" si="5"/>
        <v>-8140.79</v>
      </c>
      <c r="F39" s="203">
        <f t="shared" si="4"/>
        <v>-10708.77</v>
      </c>
      <c r="G39" s="203">
        <f t="shared" si="2"/>
        <v>-26959.5</v>
      </c>
      <c r="H39" s="203">
        <f t="shared" si="2"/>
        <v>80724.399999999994</v>
      </c>
      <c r="I39" s="203">
        <f t="shared" si="2"/>
        <v>-1156</v>
      </c>
      <c r="J39" s="203">
        <f t="shared" si="2"/>
        <v>6502.89</v>
      </c>
      <c r="K39" s="203">
        <f t="shared" si="2"/>
        <v>-12644.74</v>
      </c>
      <c r="L39" s="203">
        <f t="shared" si="2"/>
        <v>-38274.75</v>
      </c>
      <c r="M39" s="203">
        <f t="shared" si="2"/>
        <v>60983.55</v>
      </c>
      <c r="N39" s="203">
        <f t="shared" si="2"/>
        <v>-19826.400000000001</v>
      </c>
      <c r="O39" s="203">
        <f t="shared" si="2"/>
        <v>-15474.25</v>
      </c>
      <c r="P39" s="203">
        <f t="shared" si="2"/>
        <v>579.92000000000007</v>
      </c>
      <c r="Q39" s="203">
        <f t="shared" si="2"/>
        <v>-31633.22</v>
      </c>
      <c r="R39" s="203">
        <f t="shared" si="2"/>
        <v>-17067.919999999998</v>
      </c>
      <c r="S39" s="203">
        <f t="shared" si="2"/>
        <v>43701.67</v>
      </c>
      <c r="T39" s="203">
        <f t="shared" si="2"/>
        <v>-24899.9</v>
      </c>
      <c r="U39" s="203">
        <f t="shared" si="2"/>
        <v>56399.33</v>
      </c>
      <c r="V39" s="203">
        <f t="shared" si="2"/>
        <v>0</v>
      </c>
      <c r="W39" s="203">
        <f t="shared" si="2"/>
        <v>75888.52</v>
      </c>
      <c r="X39" s="203">
        <f t="shared" si="2"/>
        <v>70985.210000000006</v>
      </c>
      <c r="Y39" s="203">
        <f t="shared" si="2"/>
        <v>-8320.82</v>
      </c>
      <c r="Z39" s="203">
        <f t="shared" si="2"/>
        <v>2348.7600000000002</v>
      </c>
      <c r="AA39" s="203">
        <f t="shared" si="2"/>
        <v>-18926.7</v>
      </c>
      <c r="AB39" s="206">
        <f t="shared" si="2"/>
        <v>-11691.04</v>
      </c>
    </row>
    <row r="40" spans="3:29" x14ac:dyDescent="0.55000000000000004">
      <c r="C40" s="205" t="s">
        <v>1081</v>
      </c>
      <c r="D40" s="217">
        <f t="shared" si="3"/>
        <v>-4712255.1899999995</v>
      </c>
      <c r="E40" s="203">
        <f t="shared" si="5"/>
        <v>-205892.48000000001</v>
      </c>
      <c r="F40" s="203">
        <f t="shared" si="4"/>
        <v>-152947.32999999999</v>
      </c>
      <c r="G40" s="203">
        <f t="shared" si="2"/>
        <v>-167465.93</v>
      </c>
      <c r="H40" s="203">
        <f t="shared" si="2"/>
        <v>-204951.39</v>
      </c>
      <c r="I40" s="203">
        <f t="shared" si="2"/>
        <v>-210457.21</v>
      </c>
      <c r="J40" s="203">
        <f t="shared" si="2"/>
        <v>-220321.1</v>
      </c>
      <c r="K40" s="203">
        <f t="shared" si="2"/>
        <v>-126340.06</v>
      </c>
      <c r="L40" s="203">
        <f t="shared" si="2"/>
        <v>-250310.11</v>
      </c>
      <c r="M40" s="203">
        <f t="shared" si="2"/>
        <v>-216491.36</v>
      </c>
      <c r="N40" s="203">
        <f t="shared" si="2"/>
        <v>-215734.11</v>
      </c>
      <c r="O40" s="203">
        <f t="shared" si="2"/>
        <v>-311871.31</v>
      </c>
      <c r="P40" s="203">
        <f t="shared" si="2"/>
        <v>-428350.25</v>
      </c>
      <c r="Q40" s="203">
        <f t="shared" si="2"/>
        <v>-159726.62</v>
      </c>
      <c r="R40" s="203">
        <f t="shared" si="2"/>
        <v>-134991.92000000001</v>
      </c>
      <c r="S40" s="203">
        <f t="shared" si="2"/>
        <v>-132748.84</v>
      </c>
      <c r="T40" s="203">
        <f t="shared" si="2"/>
        <v>-156441</v>
      </c>
      <c r="U40" s="203">
        <f t="shared" si="2"/>
        <v>-357666.18</v>
      </c>
      <c r="V40" s="203">
        <f t="shared" si="2"/>
        <v>-129443.38</v>
      </c>
      <c r="W40" s="203">
        <f t="shared" si="2"/>
        <v>-129981.69</v>
      </c>
      <c r="X40" s="203">
        <f t="shared" si="2"/>
        <v>-112916.54</v>
      </c>
      <c r="Y40" s="203">
        <f t="shared" si="2"/>
        <v>-83531.02</v>
      </c>
      <c r="Z40" s="203">
        <f t="shared" si="2"/>
        <v>-176174.1</v>
      </c>
      <c r="AA40" s="203">
        <f t="shared" si="2"/>
        <v>-95897.279999999999</v>
      </c>
      <c r="AB40" s="206">
        <f t="shared" si="2"/>
        <v>-331603.98</v>
      </c>
    </row>
    <row r="41" spans="3:29" ht="14.7" thickBot="1" x14ac:dyDescent="0.6">
      <c r="C41" s="205"/>
      <c r="D41" s="218"/>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8"/>
    </row>
    <row r="42" spans="3:29" s="200" customFormat="1" ht="14.7" thickBot="1" x14ac:dyDescent="0.6">
      <c r="C42" s="219" t="s">
        <v>1127</v>
      </c>
      <c r="D42" s="220">
        <f>SUM(D31:D40)</f>
        <v>477872.76000000071</v>
      </c>
      <c r="E42" s="204">
        <f t="shared" ref="E42:AB42" si="6">SUM(E31:E40)</f>
        <v>152.81000000002678</v>
      </c>
      <c r="F42" s="204">
        <f t="shared" si="6"/>
        <v>4323.4900000000198</v>
      </c>
      <c r="G42" s="204">
        <f t="shared" si="6"/>
        <v>166.26000000000931</v>
      </c>
      <c r="H42" s="204">
        <f t="shared" si="6"/>
        <v>83802.400000000023</v>
      </c>
      <c r="I42" s="204">
        <f t="shared" si="6"/>
        <v>3637.0399999999208</v>
      </c>
      <c r="J42" s="204">
        <f t="shared" si="6"/>
        <v>6502.8899999999849</v>
      </c>
      <c r="K42" s="204">
        <f t="shared" si="6"/>
        <v>3969.8299999999726</v>
      </c>
      <c r="L42" s="204">
        <f t="shared" si="6"/>
        <v>174.38000000000466</v>
      </c>
      <c r="M42" s="204">
        <f t="shared" si="6"/>
        <v>60983.550000000047</v>
      </c>
      <c r="N42" s="204">
        <f t="shared" si="6"/>
        <v>0</v>
      </c>
      <c r="O42" s="204">
        <f t="shared" si="6"/>
        <v>7578.2499999999418</v>
      </c>
      <c r="P42" s="204">
        <f t="shared" si="6"/>
        <v>6468.2999999999302</v>
      </c>
      <c r="Q42" s="204">
        <f t="shared" si="6"/>
        <v>4406.0999999999476</v>
      </c>
      <c r="R42" s="204">
        <f t="shared" si="6"/>
        <v>2031.9999999999709</v>
      </c>
      <c r="S42" s="204">
        <f t="shared" si="6"/>
        <v>83606.969999999943</v>
      </c>
      <c r="T42" s="204">
        <f t="shared" si="6"/>
        <v>0</v>
      </c>
      <c r="U42" s="204">
        <f t="shared" si="6"/>
        <v>56399.329999999958</v>
      </c>
      <c r="V42" s="204">
        <f t="shared" si="6"/>
        <v>0</v>
      </c>
      <c r="W42" s="204">
        <f t="shared" si="6"/>
        <v>75888.520000000077</v>
      </c>
      <c r="X42" s="204">
        <f t="shared" si="6"/>
        <v>70985.210000000065</v>
      </c>
      <c r="Y42" s="204">
        <f t="shared" si="6"/>
        <v>1466.2299999999668</v>
      </c>
      <c r="Z42" s="204">
        <f t="shared" si="6"/>
        <v>2348.7600000000093</v>
      </c>
      <c r="AA42" s="204">
        <f t="shared" si="6"/>
        <v>2786.4600000000064</v>
      </c>
      <c r="AB42" s="204">
        <f t="shared" si="6"/>
        <v>193.98000000009779</v>
      </c>
      <c r="AC42" s="201"/>
    </row>
    <row r="45" spans="3:29" ht="14.7" thickBot="1" x14ac:dyDescent="0.6"/>
    <row r="46" spans="3:29" ht="14.7" thickBot="1" x14ac:dyDescent="0.6">
      <c r="C46" s="302" t="s">
        <v>1123</v>
      </c>
      <c r="D46" s="303"/>
      <c r="E46" s="304" t="s">
        <v>106</v>
      </c>
      <c r="F46" s="305"/>
      <c r="G46" s="305"/>
      <c r="H46" s="305"/>
      <c r="I46" s="305"/>
      <c r="J46" s="305"/>
      <c r="K46" s="305"/>
      <c r="L46" s="305"/>
      <c r="M46" s="305"/>
      <c r="N46" s="305"/>
      <c r="O46" s="305"/>
      <c r="P46" s="305"/>
      <c r="Q46" s="305"/>
      <c r="R46" s="305"/>
      <c r="S46" s="305"/>
      <c r="T46" s="305"/>
      <c r="U46" s="305"/>
      <c r="V46" s="305"/>
      <c r="W46" s="305"/>
      <c r="X46" s="305"/>
      <c r="Y46" s="305"/>
      <c r="Z46" s="305"/>
      <c r="AA46" s="305"/>
      <c r="AB46" s="306"/>
    </row>
    <row r="47" spans="3:29" ht="14.7" thickBot="1" x14ac:dyDescent="0.6">
      <c r="C47" s="224"/>
      <c r="D47" s="225" t="s">
        <v>1113</v>
      </c>
      <c r="E47" s="212" t="s">
        <v>1025</v>
      </c>
      <c r="F47" s="213" t="s">
        <v>1026</v>
      </c>
      <c r="G47" s="213" t="s">
        <v>1027</v>
      </c>
      <c r="H47" s="213" t="s">
        <v>1028</v>
      </c>
      <c r="I47" s="213" t="s">
        <v>1029</v>
      </c>
      <c r="J47" s="213" t="s">
        <v>1030</v>
      </c>
      <c r="K47" s="213" t="s">
        <v>1031</v>
      </c>
      <c r="L47" s="213" t="s">
        <v>1032</v>
      </c>
      <c r="M47" s="213" t="s">
        <v>1033</v>
      </c>
      <c r="N47" s="213" t="s">
        <v>1109</v>
      </c>
      <c r="O47" s="213" t="s">
        <v>1034</v>
      </c>
      <c r="P47" s="213" t="s">
        <v>1035</v>
      </c>
      <c r="Q47" s="213" t="s">
        <v>1036</v>
      </c>
      <c r="R47" s="213" t="s">
        <v>1037</v>
      </c>
      <c r="S47" s="213" t="s">
        <v>1038</v>
      </c>
      <c r="T47" s="213" t="s">
        <v>1039</v>
      </c>
      <c r="U47" s="213" t="s">
        <v>1040</v>
      </c>
      <c r="V47" s="213" t="s">
        <v>1041</v>
      </c>
      <c r="W47" s="213" t="s">
        <v>1042</v>
      </c>
      <c r="X47" s="213" t="s">
        <v>1043</v>
      </c>
      <c r="Y47" s="213" t="s">
        <v>1044</v>
      </c>
      <c r="Z47" s="213" t="s">
        <v>1045</v>
      </c>
      <c r="AA47" s="213" t="s">
        <v>1046</v>
      </c>
      <c r="AB47" s="214" t="s">
        <v>1047</v>
      </c>
    </row>
    <row r="48" spans="3:29" ht="26.1" thickBot="1" x14ac:dyDescent="0.6">
      <c r="C48" s="221" t="s">
        <v>1110</v>
      </c>
      <c r="D48" s="222" t="s">
        <v>92</v>
      </c>
      <c r="E48" s="215" t="s">
        <v>1096</v>
      </c>
      <c r="F48" s="209" t="s">
        <v>35</v>
      </c>
      <c r="G48" s="209" t="s">
        <v>1097</v>
      </c>
      <c r="H48" s="209" t="s">
        <v>1098</v>
      </c>
      <c r="I48" s="209" t="s">
        <v>38</v>
      </c>
      <c r="J48" s="209" t="s">
        <v>47</v>
      </c>
      <c r="K48" s="209" t="s">
        <v>48</v>
      </c>
      <c r="L48" s="209" t="s">
        <v>1099</v>
      </c>
      <c r="M48" s="209" t="s">
        <v>43</v>
      </c>
      <c r="N48" s="210" t="s">
        <v>1100</v>
      </c>
      <c r="O48" s="209" t="s">
        <v>1101</v>
      </c>
      <c r="P48" s="209" t="s">
        <v>54</v>
      </c>
      <c r="Q48" s="209" t="s">
        <v>45</v>
      </c>
      <c r="R48" s="209" t="s">
        <v>46</v>
      </c>
      <c r="S48" s="209" t="s">
        <v>37</v>
      </c>
      <c r="T48" s="209" t="s">
        <v>1102</v>
      </c>
      <c r="U48" s="209" t="s">
        <v>1103</v>
      </c>
      <c r="V48" s="209" t="s">
        <v>49</v>
      </c>
      <c r="W48" s="209" t="s">
        <v>1104</v>
      </c>
      <c r="X48" s="209" t="s">
        <v>1105</v>
      </c>
      <c r="Y48" s="209" t="s">
        <v>1106</v>
      </c>
      <c r="Z48" s="209" t="s">
        <v>1107</v>
      </c>
      <c r="AA48" s="209" t="s">
        <v>42</v>
      </c>
      <c r="AB48" s="211" t="s">
        <v>1108</v>
      </c>
    </row>
    <row r="49" spans="3:28" ht="14.7" thickBot="1" x14ac:dyDescent="0.6">
      <c r="C49" s="307" t="s">
        <v>1125</v>
      </c>
      <c r="D49" s="308"/>
      <c r="E49" s="309" t="s">
        <v>1111</v>
      </c>
      <c r="F49" s="309"/>
      <c r="G49" s="309"/>
      <c r="H49" s="309"/>
      <c r="I49" s="309"/>
      <c r="J49" s="309"/>
      <c r="K49" s="309"/>
      <c r="L49" s="309"/>
      <c r="M49" s="309"/>
      <c r="N49" s="309"/>
      <c r="O49" s="309"/>
      <c r="P49" s="309"/>
      <c r="Q49" s="309"/>
      <c r="R49" s="309"/>
      <c r="S49" s="309"/>
      <c r="T49" s="309"/>
      <c r="U49" s="309"/>
      <c r="V49" s="309"/>
      <c r="W49" s="309"/>
      <c r="X49" s="309"/>
      <c r="Y49" s="309"/>
      <c r="Z49" s="309"/>
      <c r="AA49" s="309"/>
      <c r="AB49" s="310"/>
    </row>
    <row r="50" spans="3:28" x14ac:dyDescent="0.55000000000000004">
      <c r="C50" s="261"/>
      <c r="D50" s="217"/>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6"/>
    </row>
    <row r="51" spans="3:28" x14ac:dyDescent="0.55000000000000004">
      <c r="C51" s="205" t="s">
        <v>34</v>
      </c>
      <c r="D51" s="217">
        <f t="shared" ref="D51:D56" si="7">SUM(E51:AB51)</f>
        <v>6123713.1499999994</v>
      </c>
      <c r="E51" s="203">
        <v>219773.51</v>
      </c>
      <c r="F51" s="203">
        <v>214994.03999999998</v>
      </c>
      <c r="G51" s="203">
        <v>288067.88</v>
      </c>
      <c r="H51" s="203">
        <v>194191.14</v>
      </c>
      <c r="I51" s="203">
        <v>263333.41000000003</v>
      </c>
      <c r="J51" s="203">
        <v>168825.49</v>
      </c>
      <c r="K51" s="203">
        <v>168429.74</v>
      </c>
      <c r="L51" s="203">
        <v>367043.47000000003</v>
      </c>
      <c r="M51" s="203">
        <v>185487.05</v>
      </c>
      <c r="N51" s="203">
        <v>262953.02</v>
      </c>
      <c r="O51" s="203">
        <v>208827.26</v>
      </c>
      <c r="P51" s="203">
        <v>251056.37</v>
      </c>
      <c r="Q51" s="203">
        <v>255848.28999999998</v>
      </c>
      <c r="R51" s="203">
        <v>158802.01999999999</v>
      </c>
      <c r="S51" s="203">
        <v>216892.23</v>
      </c>
      <c r="T51" s="203">
        <v>147563.4</v>
      </c>
      <c r="U51" s="203">
        <v>311623.89</v>
      </c>
      <c r="V51" s="203">
        <v>177144.07</v>
      </c>
      <c r="W51" s="203">
        <v>241961.09</v>
      </c>
      <c r="X51" s="203">
        <v>322567.63999999996</v>
      </c>
      <c r="Y51" s="203">
        <v>285208.45999999996</v>
      </c>
      <c r="Z51" s="203">
        <v>291981.13</v>
      </c>
      <c r="AA51" s="203">
        <v>300032.88</v>
      </c>
      <c r="AB51" s="206">
        <v>621105.66999999993</v>
      </c>
    </row>
    <row r="52" spans="3:28" x14ac:dyDescent="0.55000000000000004">
      <c r="C52" s="205" t="s">
        <v>1082</v>
      </c>
      <c r="D52" s="217">
        <f t="shared" si="7"/>
        <v>162339.5</v>
      </c>
      <c r="E52" s="203">
        <v>0</v>
      </c>
      <c r="F52" s="203">
        <v>0</v>
      </c>
      <c r="G52" s="203">
        <v>0</v>
      </c>
      <c r="H52" s="203">
        <v>0</v>
      </c>
      <c r="I52" s="203">
        <v>0</v>
      </c>
      <c r="J52" s="203">
        <v>0</v>
      </c>
      <c r="K52" s="203">
        <v>14856.99</v>
      </c>
      <c r="L52" s="203">
        <v>0</v>
      </c>
      <c r="M52" s="203">
        <v>0</v>
      </c>
      <c r="N52" s="203">
        <v>3949</v>
      </c>
      <c r="O52" s="203">
        <v>0</v>
      </c>
      <c r="P52" s="203">
        <v>-22.56</v>
      </c>
      <c r="Q52" s="203">
        <v>25901.88</v>
      </c>
      <c r="R52" s="203">
        <v>0</v>
      </c>
      <c r="S52" s="203">
        <v>5684</v>
      </c>
      <c r="T52" s="203">
        <v>0</v>
      </c>
      <c r="U52" s="203"/>
      <c r="V52" s="203">
        <v>0</v>
      </c>
      <c r="W52" s="203">
        <v>4100</v>
      </c>
      <c r="X52" s="203">
        <v>0</v>
      </c>
      <c r="Y52" s="203">
        <v>0</v>
      </c>
      <c r="Z52" s="203">
        <v>0</v>
      </c>
      <c r="AA52" s="203">
        <v>0</v>
      </c>
      <c r="AB52" s="206">
        <v>107870.19</v>
      </c>
    </row>
    <row r="53" spans="3:28" x14ac:dyDescent="0.55000000000000004">
      <c r="C53" s="205" t="s">
        <v>74</v>
      </c>
      <c r="D53" s="217">
        <f t="shared" si="7"/>
        <v>2853668.5000000005</v>
      </c>
      <c r="E53" s="203">
        <v>116886.87</v>
      </c>
      <c r="F53" s="203">
        <v>108003.6</v>
      </c>
      <c r="G53" s="203">
        <v>108895.12</v>
      </c>
      <c r="H53" s="203">
        <v>104004.78</v>
      </c>
      <c r="I53" s="203">
        <v>127785.66</v>
      </c>
      <c r="J53" s="203">
        <v>100192.26</v>
      </c>
      <c r="K53" s="203">
        <v>85974.42</v>
      </c>
      <c r="L53" s="203">
        <v>132123.95000000001</v>
      </c>
      <c r="M53" s="203">
        <v>116818.15</v>
      </c>
      <c r="N53" s="203">
        <v>123925.62</v>
      </c>
      <c r="O53" s="203">
        <v>129456.3</v>
      </c>
      <c r="P53" s="203">
        <v>202138.95</v>
      </c>
      <c r="Q53" s="203">
        <v>82806.02</v>
      </c>
      <c r="R53" s="203">
        <v>88057.86</v>
      </c>
      <c r="S53" s="203">
        <v>105800.58</v>
      </c>
      <c r="T53" s="203">
        <v>103595.86</v>
      </c>
      <c r="U53" s="203">
        <v>198624.64000000001</v>
      </c>
      <c r="V53" s="203">
        <v>101553.64</v>
      </c>
      <c r="W53" s="203">
        <v>97658.82</v>
      </c>
      <c r="X53" s="203">
        <v>92201.78</v>
      </c>
      <c r="Y53" s="203">
        <v>74881.45</v>
      </c>
      <c r="Z53" s="203">
        <v>95541.03</v>
      </c>
      <c r="AA53" s="203">
        <v>55648.71</v>
      </c>
      <c r="AB53" s="206">
        <v>301092.43</v>
      </c>
    </row>
    <row r="54" spans="3:28" x14ac:dyDescent="0.55000000000000004">
      <c r="C54" s="205" t="s">
        <v>30</v>
      </c>
      <c r="D54" s="217">
        <f t="shared" si="7"/>
        <v>1974443.5500000003</v>
      </c>
      <c r="E54" s="203">
        <v>131678.13</v>
      </c>
      <c r="F54" s="203">
        <v>75671.570000000007</v>
      </c>
      <c r="G54" s="203">
        <v>107029.44</v>
      </c>
      <c r="H54" s="203">
        <v>88986.52</v>
      </c>
      <c r="I54" s="203">
        <v>100147.25</v>
      </c>
      <c r="J54" s="203">
        <v>46832.3</v>
      </c>
      <c r="K54" s="203">
        <v>77199</v>
      </c>
      <c r="L54" s="203">
        <v>145013.51</v>
      </c>
      <c r="M54" s="203">
        <v>60044.46</v>
      </c>
      <c r="N54" s="203">
        <v>104451.03</v>
      </c>
      <c r="O54" s="203">
        <v>19899.36</v>
      </c>
      <c r="P54" s="203">
        <v>69120.94</v>
      </c>
      <c r="Q54" s="203">
        <v>120960.8</v>
      </c>
      <c r="R54" s="203">
        <v>65881.710000000006</v>
      </c>
      <c r="S54" s="203">
        <v>114254.79</v>
      </c>
      <c r="T54" s="203">
        <v>47977.3</v>
      </c>
      <c r="U54" s="203"/>
      <c r="V54" s="203">
        <v>72471.539999999994</v>
      </c>
      <c r="W54" s="203">
        <v>108382.06</v>
      </c>
      <c r="X54" s="203">
        <v>90500.52</v>
      </c>
      <c r="Y54" s="203">
        <v>92056.62</v>
      </c>
      <c r="Z54" s="203">
        <v>77861.03</v>
      </c>
      <c r="AA54" s="203">
        <v>63999.040000000001</v>
      </c>
      <c r="AB54" s="206">
        <v>94024.63</v>
      </c>
    </row>
    <row r="55" spans="3:28" x14ac:dyDescent="0.55000000000000004">
      <c r="C55" s="205" t="s">
        <v>1083</v>
      </c>
      <c r="D55" s="217">
        <f t="shared" si="7"/>
        <v>230703.67000000004</v>
      </c>
      <c r="E55" s="203">
        <v>3451.89</v>
      </c>
      <c r="F55" s="203">
        <v>10005.59</v>
      </c>
      <c r="G55" s="203">
        <v>17587.490000000002</v>
      </c>
      <c r="H55" s="203">
        <v>8316.93</v>
      </c>
      <c r="I55" s="203">
        <v>9180.0499999999993</v>
      </c>
      <c r="J55" s="203">
        <v>8605.5400000000009</v>
      </c>
      <c r="K55" s="203">
        <v>7983.37</v>
      </c>
      <c r="L55" s="203">
        <v>15735.71</v>
      </c>
      <c r="M55" s="203">
        <v>4237.88</v>
      </c>
      <c r="N55" s="203">
        <v>7350</v>
      </c>
      <c r="O55" s="203">
        <v>4644.0600000000004</v>
      </c>
      <c r="P55" s="203">
        <v>6461.85</v>
      </c>
      <c r="Q55" s="203">
        <v>7220.88</v>
      </c>
      <c r="R55" s="203">
        <v>6003.33</v>
      </c>
      <c r="S55" s="203">
        <v>7763.05</v>
      </c>
      <c r="T55" s="203">
        <v>4155.72</v>
      </c>
      <c r="U55" s="203"/>
      <c r="V55" s="203">
        <v>3377.82</v>
      </c>
      <c r="W55" s="203">
        <v>6749.33</v>
      </c>
      <c r="X55" s="203">
        <v>19511.36</v>
      </c>
      <c r="Y55" s="203">
        <v>19237.759999999998</v>
      </c>
      <c r="Z55" s="203">
        <v>19831.32</v>
      </c>
      <c r="AA55" s="203">
        <v>23447.24</v>
      </c>
      <c r="AB55" s="206">
        <v>9845.5</v>
      </c>
    </row>
    <row r="56" spans="3:28" x14ac:dyDescent="0.55000000000000004">
      <c r="C56" s="205" t="s">
        <v>1139</v>
      </c>
      <c r="D56" s="217">
        <f t="shared" si="7"/>
        <v>0</v>
      </c>
      <c r="E56" s="203">
        <v>0</v>
      </c>
      <c r="F56" s="203">
        <v>0</v>
      </c>
      <c r="G56" s="203">
        <v>0</v>
      </c>
      <c r="H56" s="203">
        <v>0</v>
      </c>
      <c r="I56" s="203">
        <v>0</v>
      </c>
      <c r="J56" s="203">
        <v>0</v>
      </c>
      <c r="K56" s="203">
        <v>0</v>
      </c>
      <c r="L56" s="203">
        <v>0</v>
      </c>
      <c r="M56" s="203">
        <v>0</v>
      </c>
      <c r="N56" s="203">
        <v>0</v>
      </c>
      <c r="O56" s="203">
        <v>0</v>
      </c>
      <c r="P56" s="203">
        <v>0</v>
      </c>
      <c r="Q56" s="203">
        <v>0</v>
      </c>
      <c r="R56" s="203">
        <v>0</v>
      </c>
      <c r="S56" s="203">
        <v>0</v>
      </c>
      <c r="T56" s="203">
        <v>0</v>
      </c>
      <c r="U56" s="203"/>
      <c r="V56" s="203">
        <v>0</v>
      </c>
      <c r="W56" s="203">
        <v>0</v>
      </c>
      <c r="X56" s="203">
        <v>0</v>
      </c>
      <c r="Y56" s="203">
        <v>0</v>
      </c>
      <c r="Z56" s="203">
        <v>0</v>
      </c>
      <c r="AA56" s="203">
        <v>0</v>
      </c>
      <c r="AB56" s="206">
        <v>0</v>
      </c>
    </row>
    <row r="57" spans="3:28" ht="14.7" thickBot="1" x14ac:dyDescent="0.6">
      <c r="C57" s="264" t="s">
        <v>15</v>
      </c>
      <c r="D57" s="265">
        <f>SUM(D51:D56)</f>
        <v>11344868.370000001</v>
      </c>
      <c r="E57" s="267">
        <v>471790.4</v>
      </c>
      <c r="F57" s="267">
        <v>408674.80000000005</v>
      </c>
      <c r="G57" s="267">
        <v>521579.93</v>
      </c>
      <c r="H57" s="267">
        <v>395499.37000000005</v>
      </c>
      <c r="I57" s="267">
        <v>500446.37000000005</v>
      </c>
      <c r="J57" s="267">
        <v>324455.58999999997</v>
      </c>
      <c r="K57" s="267">
        <v>354443.51999999996</v>
      </c>
      <c r="L57" s="267">
        <v>659916.64</v>
      </c>
      <c r="M57" s="267">
        <v>366587.54</v>
      </c>
      <c r="N57" s="267">
        <v>502628.67000000004</v>
      </c>
      <c r="O57" s="267">
        <v>362826.98</v>
      </c>
      <c r="P57" s="267">
        <v>528755.55000000005</v>
      </c>
      <c r="Q57" s="267">
        <v>492737.87</v>
      </c>
      <c r="R57" s="267">
        <v>318744.92000000004</v>
      </c>
      <c r="S57" s="267">
        <v>450394.64999999997</v>
      </c>
      <c r="T57" s="267">
        <v>303292.27999999997</v>
      </c>
      <c r="U57" s="267">
        <f>SUM(U51:U56)</f>
        <v>510248.53</v>
      </c>
      <c r="V57" s="267">
        <v>354547.07</v>
      </c>
      <c r="W57" s="267">
        <v>458851.30000000005</v>
      </c>
      <c r="X57" s="267">
        <v>524781.29999999993</v>
      </c>
      <c r="Y57" s="267">
        <v>471384.29</v>
      </c>
      <c r="Z57" s="267">
        <v>485214.51000000007</v>
      </c>
      <c r="AA57" s="267">
        <v>443127.87</v>
      </c>
      <c r="AB57" s="268">
        <v>1133938.42</v>
      </c>
    </row>
    <row r="58" spans="3:28" ht="14.7" thickTop="1" x14ac:dyDescent="0.55000000000000004">
      <c r="C58" s="205"/>
      <c r="D58" s="217"/>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6"/>
    </row>
    <row r="59" spans="3:28" x14ac:dyDescent="0.55000000000000004">
      <c r="C59" s="262" t="s">
        <v>1091</v>
      </c>
      <c r="D59" s="217"/>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6"/>
    </row>
    <row r="60" spans="3:28" x14ac:dyDescent="0.55000000000000004">
      <c r="C60" s="205" t="s">
        <v>101</v>
      </c>
      <c r="D60" s="217">
        <f t="shared" ref="D60" si="8">SUM(E60:AB60)</f>
        <v>0</v>
      </c>
      <c r="E60" s="203">
        <v>0</v>
      </c>
      <c r="F60" s="203">
        <v>0</v>
      </c>
      <c r="G60" s="203">
        <v>0</v>
      </c>
      <c r="H60" s="203">
        <v>0</v>
      </c>
      <c r="I60" s="203">
        <v>0</v>
      </c>
      <c r="J60" s="203">
        <v>0</v>
      </c>
      <c r="K60" s="203">
        <v>0</v>
      </c>
      <c r="L60" s="203">
        <v>0</v>
      </c>
      <c r="M60" s="203">
        <v>0</v>
      </c>
      <c r="N60" s="203">
        <v>0</v>
      </c>
      <c r="O60" s="203">
        <v>0</v>
      </c>
      <c r="P60" s="203">
        <v>0</v>
      </c>
      <c r="Q60" s="203">
        <v>0</v>
      </c>
      <c r="R60" s="203">
        <v>0</v>
      </c>
      <c r="S60" s="203">
        <v>0</v>
      </c>
      <c r="T60" s="203">
        <v>0</v>
      </c>
      <c r="U60" s="203">
        <v>0</v>
      </c>
      <c r="V60" s="203">
        <v>0</v>
      </c>
      <c r="W60" s="203">
        <v>0</v>
      </c>
      <c r="X60" s="203">
        <v>0</v>
      </c>
      <c r="Y60" s="203">
        <v>0</v>
      </c>
      <c r="Z60" s="203">
        <v>0</v>
      </c>
      <c r="AA60" s="203">
        <v>0</v>
      </c>
      <c r="AB60" s="206">
        <v>0</v>
      </c>
    </row>
    <row r="61" spans="3:28" ht="14.7" thickBot="1" x14ac:dyDescent="0.6">
      <c r="C61" s="205"/>
      <c r="D61" s="217"/>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6"/>
    </row>
    <row r="62" spans="3:28" ht="14.7" thickBot="1" x14ac:dyDescent="0.6">
      <c r="C62" s="307" t="s">
        <v>1126</v>
      </c>
      <c r="D62" s="308"/>
      <c r="E62" s="309" t="s">
        <v>1112</v>
      </c>
      <c r="F62" s="309"/>
      <c r="G62" s="309"/>
      <c r="H62" s="309"/>
      <c r="I62" s="309"/>
      <c r="J62" s="309"/>
      <c r="K62" s="309"/>
      <c r="L62" s="309"/>
      <c r="M62" s="309"/>
      <c r="N62" s="309"/>
      <c r="O62" s="309"/>
      <c r="P62" s="309"/>
      <c r="Q62" s="309"/>
      <c r="R62" s="309"/>
      <c r="S62" s="309"/>
      <c r="T62" s="309"/>
      <c r="U62" s="309"/>
      <c r="V62" s="309"/>
      <c r="W62" s="309"/>
      <c r="X62" s="309"/>
      <c r="Y62" s="309"/>
      <c r="Z62" s="309"/>
      <c r="AA62" s="309"/>
      <c r="AB62" s="310"/>
    </row>
    <row r="63" spans="3:28" x14ac:dyDescent="0.55000000000000004">
      <c r="C63" s="205"/>
      <c r="D63" s="217"/>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6"/>
    </row>
    <row r="64" spans="3:28" x14ac:dyDescent="0.55000000000000004">
      <c r="C64" s="205" t="s">
        <v>34</v>
      </c>
      <c r="D64" s="217">
        <f t="shared" ref="D64:D69" si="9">SUM(E64:AB64)</f>
        <v>6278184.4699999988</v>
      </c>
      <c r="E64" s="203">
        <v>219641.48</v>
      </c>
      <c r="F64" s="203">
        <v>215004.82</v>
      </c>
      <c r="G64" s="203">
        <v>287997.88</v>
      </c>
      <c r="H64" s="203">
        <v>193626.4</v>
      </c>
      <c r="I64" s="203">
        <v>262790.44</v>
      </c>
      <c r="J64" s="203">
        <v>169090.98</v>
      </c>
      <c r="K64" s="203">
        <v>182998.03</v>
      </c>
      <c r="L64" s="203">
        <v>366318.82999999996</v>
      </c>
      <c r="M64" s="203">
        <v>185202.63</v>
      </c>
      <c r="N64" s="203">
        <v>266592.34000000003</v>
      </c>
      <c r="O64" s="203">
        <v>208476.81999999998</v>
      </c>
      <c r="P64" s="203">
        <v>250213.28999999998</v>
      </c>
      <c r="Q64" s="203">
        <v>280960.86</v>
      </c>
      <c r="R64" s="203">
        <v>158671.06999999998</v>
      </c>
      <c r="S64" s="203">
        <v>221833.82</v>
      </c>
      <c r="T64" s="203">
        <v>147567.94</v>
      </c>
      <c r="U64" s="203">
        <v>311001.05</v>
      </c>
      <c r="V64" s="203">
        <v>177144.07</v>
      </c>
      <c r="W64" s="203">
        <v>245316.59</v>
      </c>
      <c r="X64" s="203">
        <v>321926.76999999996</v>
      </c>
      <c r="Y64" s="203">
        <v>285017.02999999997</v>
      </c>
      <c r="Z64" s="203">
        <v>291782.58999999997</v>
      </c>
      <c r="AA64" s="203">
        <v>300032.88</v>
      </c>
      <c r="AB64" s="206">
        <v>728975.86</v>
      </c>
    </row>
    <row r="65" spans="3:28" x14ac:dyDescent="0.55000000000000004">
      <c r="C65" s="205" t="s">
        <v>1082</v>
      </c>
      <c r="D65" s="217">
        <f t="shared" si="9"/>
        <v>0</v>
      </c>
      <c r="E65" s="203">
        <v>0</v>
      </c>
      <c r="F65" s="203">
        <v>0</v>
      </c>
      <c r="G65" s="203">
        <v>0</v>
      </c>
      <c r="H65" s="203">
        <v>0</v>
      </c>
      <c r="I65" s="203">
        <v>0</v>
      </c>
      <c r="J65" s="203">
        <v>0</v>
      </c>
      <c r="K65" s="203">
        <v>0</v>
      </c>
      <c r="L65" s="203">
        <v>0</v>
      </c>
      <c r="M65" s="203">
        <v>0</v>
      </c>
      <c r="N65" s="203">
        <v>0</v>
      </c>
      <c r="O65" s="203">
        <v>0</v>
      </c>
      <c r="P65" s="203">
        <v>0</v>
      </c>
      <c r="Q65" s="203">
        <v>0</v>
      </c>
      <c r="R65" s="203">
        <v>0</v>
      </c>
      <c r="S65" s="203">
        <v>0</v>
      </c>
      <c r="T65" s="203">
        <v>0</v>
      </c>
      <c r="U65" s="203"/>
      <c r="V65" s="203">
        <v>0</v>
      </c>
      <c r="W65" s="203">
        <v>0</v>
      </c>
      <c r="X65" s="203">
        <v>0</v>
      </c>
      <c r="Y65" s="203">
        <v>0</v>
      </c>
      <c r="Z65" s="203">
        <v>0</v>
      </c>
      <c r="AA65" s="203">
        <v>0</v>
      </c>
      <c r="AB65" s="206">
        <v>0</v>
      </c>
    </row>
    <row r="66" spans="3:28" x14ac:dyDescent="0.55000000000000004">
      <c r="C66" s="205" t="s">
        <v>74</v>
      </c>
      <c r="D66" s="217">
        <f t="shared" si="9"/>
        <v>2507915.7600000002</v>
      </c>
      <c r="E66" s="203">
        <v>101871.82</v>
      </c>
      <c r="F66" s="203">
        <v>95360.15</v>
      </c>
      <c r="G66" s="203">
        <v>88789.94</v>
      </c>
      <c r="H66" s="203">
        <v>89757.17</v>
      </c>
      <c r="I66" s="203">
        <v>104993.01999999999</v>
      </c>
      <c r="J66" s="203">
        <v>83375.17</v>
      </c>
      <c r="K66" s="203">
        <v>74440.5</v>
      </c>
      <c r="L66" s="203">
        <v>108984.09</v>
      </c>
      <c r="M66" s="203">
        <v>97942.44</v>
      </c>
      <c r="N66" s="203">
        <v>99912.85</v>
      </c>
      <c r="O66" s="203">
        <v>129456.3</v>
      </c>
      <c r="P66" s="203">
        <v>176985.44</v>
      </c>
      <c r="Q66" s="203">
        <v>71891.179999999993</v>
      </c>
      <c r="R66" s="203">
        <v>75730.23</v>
      </c>
      <c r="S66" s="203">
        <v>83537.33</v>
      </c>
      <c r="T66" s="203">
        <v>89398.35</v>
      </c>
      <c r="U66" s="203">
        <v>197474.31</v>
      </c>
      <c r="V66" s="203">
        <v>86347.86</v>
      </c>
      <c r="W66" s="203">
        <v>79904.63</v>
      </c>
      <c r="X66" s="203">
        <v>91583.03</v>
      </c>
      <c r="Y66" s="203">
        <v>71115.520000000004</v>
      </c>
      <c r="Z66" s="203">
        <v>87193.72</v>
      </c>
      <c r="AA66" s="203">
        <v>55648.71</v>
      </c>
      <c r="AB66" s="206">
        <v>266222</v>
      </c>
    </row>
    <row r="67" spans="3:28" x14ac:dyDescent="0.55000000000000004">
      <c r="C67" s="205" t="s">
        <v>30</v>
      </c>
      <c r="D67" s="217">
        <f t="shared" si="9"/>
        <v>2319045.9600000004</v>
      </c>
      <c r="E67" s="203">
        <v>146693.18</v>
      </c>
      <c r="F67" s="203">
        <v>88315.02</v>
      </c>
      <c r="G67" s="203">
        <v>127134.62</v>
      </c>
      <c r="H67" s="203">
        <v>103234.13</v>
      </c>
      <c r="I67" s="203">
        <v>122939.89</v>
      </c>
      <c r="J67" s="203">
        <v>63649.39</v>
      </c>
      <c r="K67" s="203">
        <v>88732.92</v>
      </c>
      <c r="L67" s="203">
        <v>168153.37</v>
      </c>
      <c r="M67" s="203">
        <v>78920.17</v>
      </c>
      <c r="N67" s="203">
        <v>128463.8</v>
      </c>
      <c r="O67" s="203">
        <v>19899.36</v>
      </c>
      <c r="P67" s="203">
        <v>94274.45</v>
      </c>
      <c r="Q67" s="203">
        <v>131875.64000000001</v>
      </c>
      <c r="R67" s="203">
        <v>78209.34</v>
      </c>
      <c r="S67" s="203">
        <v>136518.04</v>
      </c>
      <c r="T67" s="203">
        <v>62174.81</v>
      </c>
      <c r="U67" s="203"/>
      <c r="V67" s="203">
        <v>87677.32</v>
      </c>
      <c r="W67" s="203">
        <v>126136.25</v>
      </c>
      <c r="X67" s="203">
        <v>91119.27</v>
      </c>
      <c r="Y67" s="203">
        <v>95822.55</v>
      </c>
      <c r="Z67" s="203">
        <v>86208.34</v>
      </c>
      <c r="AA67" s="203">
        <v>63999.040000000001</v>
      </c>
      <c r="AB67" s="206">
        <v>128895.06</v>
      </c>
    </row>
    <row r="68" spans="3:28" x14ac:dyDescent="0.55000000000000004">
      <c r="C68" s="205" t="s">
        <v>1083</v>
      </c>
      <c r="D68" s="217">
        <f t="shared" si="9"/>
        <v>0</v>
      </c>
      <c r="E68" s="203">
        <v>0</v>
      </c>
      <c r="F68" s="203">
        <v>0</v>
      </c>
      <c r="G68" s="203">
        <v>0</v>
      </c>
      <c r="H68" s="203">
        <v>0</v>
      </c>
      <c r="I68" s="203">
        <v>0</v>
      </c>
      <c r="J68" s="203">
        <v>0</v>
      </c>
      <c r="K68" s="203">
        <v>0</v>
      </c>
      <c r="L68" s="203">
        <v>0</v>
      </c>
      <c r="M68" s="203">
        <v>0</v>
      </c>
      <c r="N68" s="203">
        <v>0</v>
      </c>
      <c r="O68" s="203">
        <v>0</v>
      </c>
      <c r="P68" s="203">
        <v>0</v>
      </c>
      <c r="Q68" s="203">
        <v>0</v>
      </c>
      <c r="R68" s="203">
        <v>0</v>
      </c>
      <c r="S68" s="203">
        <v>0</v>
      </c>
      <c r="T68" s="203">
        <v>0</v>
      </c>
      <c r="U68" s="203"/>
      <c r="V68" s="203">
        <v>0</v>
      </c>
      <c r="W68" s="203">
        <v>0</v>
      </c>
      <c r="X68" s="203">
        <v>0</v>
      </c>
      <c r="Y68" s="203">
        <v>0</v>
      </c>
      <c r="Z68" s="203">
        <v>0</v>
      </c>
      <c r="AA68" s="203">
        <v>0</v>
      </c>
      <c r="AB68" s="206">
        <v>0</v>
      </c>
    </row>
    <row r="69" spans="3:28" x14ac:dyDescent="0.55000000000000004">
      <c r="C69" s="205" t="s">
        <v>1139</v>
      </c>
      <c r="D69" s="217">
        <f t="shared" si="9"/>
        <v>233881.02000000002</v>
      </c>
      <c r="E69" s="203">
        <v>3451.89</v>
      </c>
      <c r="F69" s="203">
        <v>10005.59</v>
      </c>
      <c r="G69" s="203">
        <v>17587.490000000002</v>
      </c>
      <c r="H69" s="203">
        <v>8316.93</v>
      </c>
      <c r="I69" s="203">
        <v>9180.0499999999993</v>
      </c>
      <c r="J69" s="203">
        <v>8605.5400000000009</v>
      </c>
      <c r="K69" s="203">
        <v>7983.37</v>
      </c>
      <c r="L69" s="203">
        <v>15735.71</v>
      </c>
      <c r="M69" s="203">
        <v>4237.88</v>
      </c>
      <c r="N69" s="203">
        <v>7350</v>
      </c>
      <c r="O69" s="203">
        <v>4644.0600000000004</v>
      </c>
      <c r="P69" s="203">
        <v>6461.85</v>
      </c>
      <c r="Q69" s="203">
        <v>10398.23</v>
      </c>
      <c r="R69" s="203">
        <v>6003.33</v>
      </c>
      <c r="S69" s="203">
        <v>7763.05</v>
      </c>
      <c r="T69" s="203">
        <v>4155.72</v>
      </c>
      <c r="U69" s="203"/>
      <c r="V69" s="203">
        <v>3377.82</v>
      </c>
      <c r="W69" s="203">
        <v>6749.33</v>
      </c>
      <c r="X69" s="203">
        <v>19511.36</v>
      </c>
      <c r="Y69" s="203">
        <v>19237.759999999998</v>
      </c>
      <c r="Z69" s="203">
        <v>19831.32</v>
      </c>
      <c r="AA69" s="203">
        <v>23447.24</v>
      </c>
      <c r="AB69" s="206">
        <v>9845.5</v>
      </c>
    </row>
    <row r="70" spans="3:28" ht="14.7" thickBot="1" x14ac:dyDescent="0.6">
      <c r="C70" s="264" t="s">
        <v>15</v>
      </c>
      <c r="D70" s="265">
        <f>SUM(D64:D69)</f>
        <v>11339027.209999999</v>
      </c>
      <c r="E70" s="266">
        <v>471658.37000000005</v>
      </c>
      <c r="F70" s="267">
        <v>408685.58</v>
      </c>
      <c r="G70" s="267">
        <v>521509.93</v>
      </c>
      <c r="H70" s="267">
        <v>394934.63</v>
      </c>
      <c r="I70" s="267">
        <v>499903.39999999997</v>
      </c>
      <c r="J70" s="267">
        <v>324721.08</v>
      </c>
      <c r="K70" s="267">
        <v>354154.82</v>
      </c>
      <c r="L70" s="267">
        <v>659191.99999999988</v>
      </c>
      <c r="M70" s="267">
        <v>366303.12</v>
      </c>
      <c r="N70" s="267">
        <v>502318.99000000005</v>
      </c>
      <c r="O70" s="267">
        <v>362476.54</v>
      </c>
      <c r="P70" s="267">
        <v>527935.03</v>
      </c>
      <c r="Q70" s="267">
        <v>495125.91</v>
      </c>
      <c r="R70" s="267">
        <v>318613.97000000003</v>
      </c>
      <c r="S70" s="267">
        <v>449652.24000000005</v>
      </c>
      <c r="T70" s="267">
        <v>303296.81999999995</v>
      </c>
      <c r="U70" s="267">
        <f>SUM(U64:U69)</f>
        <v>508475.36</v>
      </c>
      <c r="V70" s="267">
        <v>354547.07</v>
      </c>
      <c r="W70" s="267">
        <v>458106.8</v>
      </c>
      <c r="X70" s="267">
        <v>524140.42999999993</v>
      </c>
      <c r="Y70" s="267">
        <v>471192.86</v>
      </c>
      <c r="Z70" s="267">
        <v>485015.96999999991</v>
      </c>
      <c r="AA70" s="267">
        <v>443127.87</v>
      </c>
      <c r="AB70" s="268">
        <v>1133938.42</v>
      </c>
    </row>
    <row r="71" spans="3:28" ht="14.7" thickTop="1" x14ac:dyDescent="0.55000000000000004">
      <c r="C71" s="205"/>
      <c r="D71" s="217"/>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6"/>
    </row>
    <row r="72" spans="3:28" x14ac:dyDescent="0.55000000000000004">
      <c r="C72" s="262" t="s">
        <v>1091</v>
      </c>
      <c r="D72" s="217"/>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6"/>
    </row>
    <row r="73" spans="3:28" x14ac:dyDescent="0.55000000000000004">
      <c r="C73" s="262" t="s">
        <v>101</v>
      </c>
      <c r="D73" s="217">
        <f t="shared" ref="D73" si="10">SUM(E73:AB73)</f>
        <v>-477872.76000000007</v>
      </c>
      <c r="E73" s="203">
        <v>-152.81</v>
      </c>
      <c r="F73" s="203">
        <v>-4323.49</v>
      </c>
      <c r="G73" s="203">
        <v>-166.26</v>
      </c>
      <c r="H73" s="203">
        <v>-83802.399999999994</v>
      </c>
      <c r="I73" s="203">
        <v>-3637.04</v>
      </c>
      <c r="J73" s="203">
        <v>-6502.89</v>
      </c>
      <c r="K73" s="203">
        <v>-3969.83</v>
      </c>
      <c r="L73" s="203">
        <v>-174.38</v>
      </c>
      <c r="M73" s="203">
        <v>-60983.55</v>
      </c>
      <c r="N73" s="203">
        <v>0</v>
      </c>
      <c r="O73" s="203">
        <v>-7578.25</v>
      </c>
      <c r="P73" s="203">
        <v>-6468.3</v>
      </c>
      <c r="Q73" s="203">
        <v>-4406.1000000000004</v>
      </c>
      <c r="R73" s="203">
        <v>-2032</v>
      </c>
      <c r="S73" s="203">
        <v>-83606.97</v>
      </c>
      <c r="T73" s="203">
        <v>0</v>
      </c>
      <c r="U73" s="203">
        <v>-56399.33</v>
      </c>
      <c r="V73" s="203">
        <v>0</v>
      </c>
      <c r="W73" s="203">
        <v>-75888.52</v>
      </c>
      <c r="X73" s="203">
        <v>-70985.210000000006</v>
      </c>
      <c r="Y73" s="203">
        <v>-1466.23</v>
      </c>
      <c r="Z73" s="203">
        <v>-2348.7600000000002</v>
      </c>
      <c r="AA73" s="203">
        <v>-2786.46</v>
      </c>
      <c r="AB73" s="206">
        <v>-193.98</v>
      </c>
    </row>
    <row r="74" spans="3:28" ht="14.7" thickBot="1" x14ac:dyDescent="0.6">
      <c r="C74" s="205"/>
      <c r="D74" s="217"/>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6"/>
    </row>
    <row r="75" spans="3:28" ht="14.7" thickBot="1" x14ac:dyDescent="0.6">
      <c r="C75" s="307" t="s">
        <v>1122</v>
      </c>
      <c r="D75" s="308"/>
      <c r="E75" s="311" t="s">
        <v>114</v>
      </c>
      <c r="F75" s="311"/>
      <c r="G75" s="311"/>
      <c r="H75" s="311"/>
      <c r="I75" s="311"/>
      <c r="J75" s="311"/>
      <c r="K75" s="311"/>
      <c r="L75" s="311"/>
      <c r="M75" s="311"/>
      <c r="N75" s="311"/>
      <c r="O75" s="311"/>
      <c r="P75" s="311"/>
      <c r="Q75" s="311"/>
      <c r="R75" s="311"/>
      <c r="S75" s="311"/>
      <c r="T75" s="311"/>
      <c r="U75" s="311"/>
      <c r="V75" s="311"/>
      <c r="W75" s="311"/>
      <c r="X75" s="311"/>
      <c r="Y75" s="311"/>
      <c r="Z75" s="311"/>
      <c r="AA75" s="311"/>
      <c r="AB75" s="312"/>
    </row>
    <row r="76" spans="3:28" x14ac:dyDescent="0.55000000000000004">
      <c r="C76" s="205"/>
      <c r="D76" s="217"/>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6"/>
    </row>
    <row r="77" spans="3:28" x14ac:dyDescent="0.55000000000000004">
      <c r="C77" s="205" t="s">
        <v>34</v>
      </c>
      <c r="D77" s="217">
        <f t="shared" ref="D77:D82" si="11">SUM(E77:AB77)</f>
        <v>-154471.31999999992</v>
      </c>
      <c r="E77" s="203">
        <f>E51-E64</f>
        <v>132.02999999999884</v>
      </c>
      <c r="F77" s="203">
        <f>F51-F64</f>
        <v>-10.78000000002794</v>
      </c>
      <c r="G77" s="203">
        <f t="shared" ref="G77:AB83" si="12">G51-G64</f>
        <v>70</v>
      </c>
      <c r="H77" s="203">
        <f t="shared" si="12"/>
        <v>564.74000000001979</v>
      </c>
      <c r="I77" s="203">
        <f t="shared" si="12"/>
        <v>542.97000000003027</v>
      </c>
      <c r="J77" s="203">
        <f t="shared" si="12"/>
        <v>-265.49000000001979</v>
      </c>
      <c r="K77" s="203">
        <f t="shared" si="12"/>
        <v>-14568.290000000008</v>
      </c>
      <c r="L77" s="203">
        <f t="shared" si="12"/>
        <v>724.64000000007218</v>
      </c>
      <c r="M77" s="203">
        <f t="shared" si="12"/>
        <v>284.4199999999837</v>
      </c>
      <c r="N77" s="203">
        <f t="shared" si="12"/>
        <v>-3639.320000000007</v>
      </c>
      <c r="O77" s="203">
        <f t="shared" si="12"/>
        <v>350.44000000003143</v>
      </c>
      <c r="P77" s="203">
        <f t="shared" si="12"/>
        <v>843.0800000000163</v>
      </c>
      <c r="Q77" s="203">
        <f t="shared" si="12"/>
        <v>-25112.570000000007</v>
      </c>
      <c r="R77" s="203">
        <f t="shared" si="12"/>
        <v>130.95000000001164</v>
      </c>
      <c r="S77" s="203">
        <f t="shared" si="12"/>
        <v>-4941.5899999999965</v>
      </c>
      <c r="T77" s="203">
        <f t="shared" si="12"/>
        <v>-4.5400000000081491</v>
      </c>
      <c r="U77" s="203">
        <f t="shared" si="12"/>
        <v>622.84000000002561</v>
      </c>
      <c r="V77" s="203">
        <f t="shared" si="12"/>
        <v>0</v>
      </c>
      <c r="W77" s="203">
        <f t="shared" si="12"/>
        <v>-3355.5</v>
      </c>
      <c r="X77" s="203">
        <f t="shared" si="12"/>
        <v>640.86999999999534</v>
      </c>
      <c r="Y77" s="203">
        <f t="shared" si="12"/>
        <v>191.42999999999302</v>
      </c>
      <c r="Z77" s="203">
        <f t="shared" si="12"/>
        <v>198.54000000003725</v>
      </c>
      <c r="AA77" s="203">
        <f t="shared" si="12"/>
        <v>0</v>
      </c>
      <c r="AB77" s="203">
        <f t="shared" si="12"/>
        <v>-107870.19000000006</v>
      </c>
    </row>
    <row r="78" spans="3:28" x14ac:dyDescent="0.55000000000000004">
      <c r="C78" s="205" t="s">
        <v>1082</v>
      </c>
      <c r="D78" s="217">
        <f t="shared" si="11"/>
        <v>162339.5</v>
      </c>
      <c r="E78" s="203">
        <f t="shared" ref="E78:E83" si="13">E52-E65</f>
        <v>0</v>
      </c>
      <c r="F78" s="203">
        <f t="shared" ref="F78:F83" si="14">F52-F65</f>
        <v>0</v>
      </c>
      <c r="G78" s="203">
        <f t="shared" si="12"/>
        <v>0</v>
      </c>
      <c r="H78" s="203">
        <f t="shared" si="12"/>
        <v>0</v>
      </c>
      <c r="I78" s="203">
        <f t="shared" si="12"/>
        <v>0</v>
      </c>
      <c r="J78" s="203">
        <f t="shared" si="12"/>
        <v>0</v>
      </c>
      <c r="K78" s="203">
        <f t="shared" si="12"/>
        <v>14856.99</v>
      </c>
      <c r="L78" s="203">
        <f t="shared" si="12"/>
        <v>0</v>
      </c>
      <c r="M78" s="203">
        <f t="shared" si="12"/>
        <v>0</v>
      </c>
      <c r="N78" s="203">
        <f t="shared" si="12"/>
        <v>3949</v>
      </c>
      <c r="O78" s="203">
        <f t="shared" si="12"/>
        <v>0</v>
      </c>
      <c r="P78" s="203">
        <f t="shared" si="12"/>
        <v>-22.56</v>
      </c>
      <c r="Q78" s="203">
        <f t="shared" si="12"/>
        <v>25901.88</v>
      </c>
      <c r="R78" s="203">
        <f t="shared" si="12"/>
        <v>0</v>
      </c>
      <c r="S78" s="203">
        <f t="shared" si="12"/>
        <v>5684</v>
      </c>
      <c r="T78" s="203">
        <f t="shared" si="12"/>
        <v>0</v>
      </c>
      <c r="U78" s="203">
        <f t="shared" si="12"/>
        <v>0</v>
      </c>
      <c r="V78" s="203">
        <f t="shared" si="12"/>
        <v>0</v>
      </c>
      <c r="W78" s="203">
        <f t="shared" si="12"/>
        <v>4100</v>
      </c>
      <c r="X78" s="203">
        <f t="shared" si="12"/>
        <v>0</v>
      </c>
      <c r="Y78" s="203">
        <f t="shared" si="12"/>
        <v>0</v>
      </c>
      <c r="Z78" s="203">
        <f t="shared" si="12"/>
        <v>0</v>
      </c>
      <c r="AA78" s="203">
        <f t="shared" si="12"/>
        <v>0</v>
      </c>
      <c r="AB78" s="203">
        <f t="shared" si="12"/>
        <v>107870.19</v>
      </c>
    </row>
    <row r="79" spans="3:28" x14ac:dyDescent="0.55000000000000004">
      <c r="C79" s="205" t="s">
        <v>74</v>
      </c>
      <c r="D79" s="217">
        <f t="shared" si="11"/>
        <v>345752.74</v>
      </c>
      <c r="E79" s="203">
        <f t="shared" si="13"/>
        <v>15015.049999999988</v>
      </c>
      <c r="F79" s="203">
        <f t="shared" si="14"/>
        <v>12643.450000000012</v>
      </c>
      <c r="G79" s="203">
        <f t="shared" si="12"/>
        <v>20105.179999999993</v>
      </c>
      <c r="H79" s="203">
        <f t="shared" si="12"/>
        <v>14247.61</v>
      </c>
      <c r="I79" s="203">
        <f t="shared" si="12"/>
        <v>22792.640000000014</v>
      </c>
      <c r="J79" s="203">
        <f t="shared" si="12"/>
        <v>16817.089999999997</v>
      </c>
      <c r="K79" s="203">
        <f t="shared" si="12"/>
        <v>11533.919999999998</v>
      </c>
      <c r="L79" s="203">
        <f t="shared" si="12"/>
        <v>23139.860000000015</v>
      </c>
      <c r="M79" s="203">
        <f t="shared" si="12"/>
        <v>18875.709999999992</v>
      </c>
      <c r="N79" s="203">
        <f t="shared" si="12"/>
        <v>24012.76999999999</v>
      </c>
      <c r="O79" s="203">
        <f t="shared" si="12"/>
        <v>0</v>
      </c>
      <c r="P79" s="203">
        <f t="shared" si="12"/>
        <v>25153.510000000009</v>
      </c>
      <c r="Q79" s="203">
        <f t="shared" si="12"/>
        <v>10914.840000000011</v>
      </c>
      <c r="R79" s="203">
        <f t="shared" si="12"/>
        <v>12327.630000000005</v>
      </c>
      <c r="S79" s="203">
        <f t="shared" si="12"/>
        <v>22263.25</v>
      </c>
      <c r="T79" s="203">
        <f t="shared" si="12"/>
        <v>14197.509999999995</v>
      </c>
      <c r="U79" s="203">
        <f t="shared" si="12"/>
        <v>1150.3300000000163</v>
      </c>
      <c r="V79" s="203">
        <f t="shared" si="12"/>
        <v>15205.779999999999</v>
      </c>
      <c r="W79" s="203">
        <f t="shared" si="12"/>
        <v>17754.190000000002</v>
      </c>
      <c r="X79" s="203">
        <f t="shared" si="12"/>
        <v>618.75</v>
      </c>
      <c r="Y79" s="203">
        <f t="shared" si="12"/>
        <v>3765.929999999993</v>
      </c>
      <c r="Z79" s="203">
        <f t="shared" si="12"/>
        <v>8347.3099999999977</v>
      </c>
      <c r="AA79" s="203">
        <f t="shared" si="12"/>
        <v>0</v>
      </c>
      <c r="AB79" s="203">
        <f t="shared" si="12"/>
        <v>34870.429999999993</v>
      </c>
    </row>
    <row r="80" spans="3:28" x14ac:dyDescent="0.55000000000000004">
      <c r="C80" s="205" t="s">
        <v>30</v>
      </c>
      <c r="D80" s="217">
        <f t="shared" si="11"/>
        <v>-344602.41000000003</v>
      </c>
      <c r="E80" s="203">
        <f t="shared" si="13"/>
        <v>-15015.049999999988</v>
      </c>
      <c r="F80" s="203">
        <f t="shared" si="14"/>
        <v>-12643.449999999997</v>
      </c>
      <c r="G80" s="203">
        <f t="shared" si="12"/>
        <v>-20105.179999999993</v>
      </c>
      <c r="H80" s="203">
        <f t="shared" si="12"/>
        <v>-14247.61</v>
      </c>
      <c r="I80" s="203">
        <f t="shared" si="12"/>
        <v>-22792.639999999999</v>
      </c>
      <c r="J80" s="203">
        <f t="shared" si="12"/>
        <v>-16817.089999999997</v>
      </c>
      <c r="K80" s="203">
        <f t="shared" si="12"/>
        <v>-11533.919999999998</v>
      </c>
      <c r="L80" s="203">
        <f t="shared" si="12"/>
        <v>-23139.859999999986</v>
      </c>
      <c r="M80" s="203">
        <f t="shared" si="12"/>
        <v>-18875.71</v>
      </c>
      <c r="N80" s="203">
        <f t="shared" si="12"/>
        <v>-24012.770000000004</v>
      </c>
      <c r="O80" s="203">
        <f t="shared" si="12"/>
        <v>0</v>
      </c>
      <c r="P80" s="203">
        <f t="shared" si="12"/>
        <v>-25153.509999999995</v>
      </c>
      <c r="Q80" s="203">
        <f t="shared" si="12"/>
        <v>-10914.840000000011</v>
      </c>
      <c r="R80" s="203">
        <f t="shared" si="12"/>
        <v>-12327.62999999999</v>
      </c>
      <c r="S80" s="203">
        <f t="shared" si="12"/>
        <v>-22263.250000000015</v>
      </c>
      <c r="T80" s="203">
        <f t="shared" si="12"/>
        <v>-14197.509999999995</v>
      </c>
      <c r="U80" s="203">
        <f t="shared" si="12"/>
        <v>0</v>
      </c>
      <c r="V80" s="203">
        <f t="shared" si="12"/>
        <v>-15205.780000000013</v>
      </c>
      <c r="W80" s="203">
        <f t="shared" si="12"/>
        <v>-17754.190000000002</v>
      </c>
      <c r="X80" s="203">
        <f t="shared" si="12"/>
        <v>-618.75</v>
      </c>
      <c r="Y80" s="203">
        <f t="shared" si="12"/>
        <v>-3765.9300000000076</v>
      </c>
      <c r="Z80" s="203">
        <f t="shared" si="12"/>
        <v>-8347.3099999999977</v>
      </c>
      <c r="AA80" s="203">
        <f t="shared" si="12"/>
        <v>0</v>
      </c>
      <c r="AB80" s="203">
        <f t="shared" si="12"/>
        <v>-34870.429999999993</v>
      </c>
    </row>
    <row r="81" spans="3:29" x14ac:dyDescent="0.55000000000000004">
      <c r="C81" s="205" t="s">
        <v>1083</v>
      </c>
      <c r="D81" s="217">
        <f t="shared" si="11"/>
        <v>230703.67000000004</v>
      </c>
      <c r="E81" s="203">
        <f t="shared" si="13"/>
        <v>3451.89</v>
      </c>
      <c r="F81" s="203">
        <f t="shared" si="14"/>
        <v>10005.59</v>
      </c>
      <c r="G81" s="203">
        <f t="shared" si="12"/>
        <v>17587.490000000002</v>
      </c>
      <c r="H81" s="203">
        <f t="shared" si="12"/>
        <v>8316.93</v>
      </c>
      <c r="I81" s="203">
        <f t="shared" si="12"/>
        <v>9180.0499999999993</v>
      </c>
      <c r="J81" s="203">
        <f t="shared" si="12"/>
        <v>8605.5400000000009</v>
      </c>
      <c r="K81" s="203">
        <f t="shared" si="12"/>
        <v>7983.37</v>
      </c>
      <c r="L81" s="203">
        <f t="shared" si="12"/>
        <v>15735.71</v>
      </c>
      <c r="M81" s="203">
        <f t="shared" si="12"/>
        <v>4237.88</v>
      </c>
      <c r="N81" s="203">
        <f t="shared" si="12"/>
        <v>7350</v>
      </c>
      <c r="O81" s="203">
        <f t="shared" si="12"/>
        <v>4644.0600000000004</v>
      </c>
      <c r="P81" s="203">
        <f t="shared" si="12"/>
        <v>6461.85</v>
      </c>
      <c r="Q81" s="203">
        <f t="shared" si="12"/>
        <v>7220.88</v>
      </c>
      <c r="R81" s="203">
        <f t="shared" si="12"/>
        <v>6003.33</v>
      </c>
      <c r="S81" s="203">
        <f t="shared" si="12"/>
        <v>7763.05</v>
      </c>
      <c r="T81" s="203">
        <f t="shared" si="12"/>
        <v>4155.72</v>
      </c>
      <c r="U81" s="203">
        <f t="shared" si="12"/>
        <v>0</v>
      </c>
      <c r="V81" s="203">
        <f t="shared" si="12"/>
        <v>3377.82</v>
      </c>
      <c r="W81" s="203">
        <f t="shared" si="12"/>
        <v>6749.33</v>
      </c>
      <c r="X81" s="203">
        <f t="shared" si="12"/>
        <v>19511.36</v>
      </c>
      <c r="Y81" s="203">
        <f t="shared" si="12"/>
        <v>19237.759999999998</v>
      </c>
      <c r="Z81" s="203">
        <f t="shared" si="12"/>
        <v>19831.32</v>
      </c>
      <c r="AA81" s="203">
        <f t="shared" si="12"/>
        <v>23447.24</v>
      </c>
      <c r="AB81" s="203">
        <f t="shared" si="12"/>
        <v>9845.5</v>
      </c>
    </row>
    <row r="82" spans="3:29" x14ac:dyDescent="0.55000000000000004">
      <c r="C82" s="205" t="s">
        <v>1139</v>
      </c>
      <c r="D82" s="217">
        <f t="shared" si="11"/>
        <v>-233881.02000000002</v>
      </c>
      <c r="E82" s="203">
        <f t="shared" si="13"/>
        <v>-3451.89</v>
      </c>
      <c r="F82" s="203">
        <f t="shared" si="14"/>
        <v>-10005.59</v>
      </c>
      <c r="G82" s="203">
        <f t="shared" si="12"/>
        <v>-17587.490000000002</v>
      </c>
      <c r="H82" s="203">
        <f t="shared" si="12"/>
        <v>-8316.93</v>
      </c>
      <c r="I82" s="203">
        <f t="shared" si="12"/>
        <v>-9180.0499999999993</v>
      </c>
      <c r="J82" s="203">
        <f t="shared" si="12"/>
        <v>-8605.5400000000009</v>
      </c>
      <c r="K82" s="203">
        <f t="shared" si="12"/>
        <v>-7983.37</v>
      </c>
      <c r="L82" s="203">
        <f t="shared" si="12"/>
        <v>-15735.71</v>
      </c>
      <c r="M82" s="203">
        <f t="shared" si="12"/>
        <v>-4237.88</v>
      </c>
      <c r="N82" s="203">
        <f t="shared" si="12"/>
        <v>-7350</v>
      </c>
      <c r="O82" s="203">
        <f t="shared" si="12"/>
        <v>-4644.0600000000004</v>
      </c>
      <c r="P82" s="203">
        <f t="shared" si="12"/>
        <v>-6461.85</v>
      </c>
      <c r="Q82" s="203">
        <f t="shared" si="12"/>
        <v>-10398.23</v>
      </c>
      <c r="R82" s="203">
        <f t="shared" si="12"/>
        <v>-6003.33</v>
      </c>
      <c r="S82" s="203">
        <f t="shared" si="12"/>
        <v>-7763.05</v>
      </c>
      <c r="T82" s="203">
        <f t="shared" si="12"/>
        <v>-4155.72</v>
      </c>
      <c r="U82" s="203">
        <f t="shared" si="12"/>
        <v>0</v>
      </c>
      <c r="V82" s="203">
        <f t="shared" si="12"/>
        <v>-3377.82</v>
      </c>
      <c r="W82" s="203">
        <f t="shared" si="12"/>
        <v>-6749.33</v>
      </c>
      <c r="X82" s="203">
        <f t="shared" si="12"/>
        <v>-19511.36</v>
      </c>
      <c r="Y82" s="203">
        <f t="shared" si="12"/>
        <v>-19237.759999999998</v>
      </c>
      <c r="Z82" s="203">
        <f t="shared" si="12"/>
        <v>-19831.32</v>
      </c>
      <c r="AA82" s="203">
        <f t="shared" si="12"/>
        <v>-23447.24</v>
      </c>
      <c r="AB82" s="203">
        <f t="shared" si="12"/>
        <v>-9845.5</v>
      </c>
    </row>
    <row r="83" spans="3:29" ht="14.7" thickBot="1" x14ac:dyDescent="0.6">
      <c r="C83" s="264" t="s">
        <v>15</v>
      </c>
      <c r="D83" s="265">
        <f>SUM(D77:D82)</f>
        <v>5841.1600000000326</v>
      </c>
      <c r="E83" s="266">
        <f t="shared" si="13"/>
        <v>132.02999999996973</v>
      </c>
      <c r="F83" s="267">
        <f t="shared" si="14"/>
        <v>-10.779999999969732</v>
      </c>
      <c r="G83" s="267">
        <f t="shared" si="12"/>
        <v>70</v>
      </c>
      <c r="H83" s="267">
        <f t="shared" si="12"/>
        <v>564.74000000004889</v>
      </c>
      <c r="I83" s="267">
        <f t="shared" si="12"/>
        <v>542.97000000008848</v>
      </c>
      <c r="J83" s="267">
        <f t="shared" si="12"/>
        <v>-265.49000000004889</v>
      </c>
      <c r="K83" s="267">
        <f t="shared" si="12"/>
        <v>288.69999999995343</v>
      </c>
      <c r="L83" s="267">
        <f t="shared" si="12"/>
        <v>724.64000000013039</v>
      </c>
      <c r="M83" s="267">
        <f t="shared" si="12"/>
        <v>284.4199999999837</v>
      </c>
      <c r="N83" s="267">
        <f t="shared" si="12"/>
        <v>309.67999999999302</v>
      </c>
      <c r="O83" s="267">
        <f t="shared" si="12"/>
        <v>350.44000000000233</v>
      </c>
      <c r="P83" s="267">
        <f t="shared" si="12"/>
        <v>820.52000000001863</v>
      </c>
      <c r="Q83" s="267">
        <f t="shared" si="12"/>
        <v>-2388.039999999979</v>
      </c>
      <c r="R83" s="267">
        <f t="shared" si="12"/>
        <v>130.95000000001164</v>
      </c>
      <c r="S83" s="267">
        <f t="shared" si="12"/>
        <v>742.40999999991618</v>
      </c>
      <c r="T83" s="267">
        <f t="shared" si="12"/>
        <v>-4.5399999999790452</v>
      </c>
      <c r="U83" s="267">
        <f t="shared" si="12"/>
        <v>1773.1700000000419</v>
      </c>
      <c r="V83" s="267">
        <f t="shared" si="12"/>
        <v>0</v>
      </c>
      <c r="W83" s="267">
        <f t="shared" si="12"/>
        <v>744.50000000005821</v>
      </c>
      <c r="X83" s="267">
        <f t="shared" si="12"/>
        <v>640.86999999999534</v>
      </c>
      <c r="Y83" s="267">
        <f t="shared" si="12"/>
        <v>191.42999999999302</v>
      </c>
      <c r="Z83" s="267">
        <f t="shared" si="12"/>
        <v>198.54000000015367</v>
      </c>
      <c r="AA83" s="267">
        <f t="shared" si="12"/>
        <v>0</v>
      </c>
      <c r="AB83" s="267">
        <f t="shared" si="12"/>
        <v>0</v>
      </c>
    </row>
    <row r="84" spans="3:29" ht="14.7" thickTop="1" x14ac:dyDescent="0.55000000000000004">
      <c r="C84" s="205"/>
      <c r="D84" s="217"/>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row>
    <row r="85" spans="3:29" x14ac:dyDescent="0.55000000000000004">
      <c r="C85" s="262" t="s">
        <v>1091</v>
      </c>
      <c r="D85" s="217"/>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row>
    <row r="86" spans="3:29" x14ac:dyDescent="0.55000000000000004">
      <c r="C86" s="262" t="s">
        <v>101</v>
      </c>
      <c r="D86" s="217">
        <f t="shared" ref="D86" si="15">SUM(E86:AB86)</f>
        <v>477872.76000000007</v>
      </c>
      <c r="E86" s="203">
        <f t="shared" ref="E86" si="16">E60-E73</f>
        <v>152.81</v>
      </c>
      <c r="F86" s="203">
        <f>F60-F73</f>
        <v>4323.49</v>
      </c>
      <c r="G86" s="203">
        <f t="shared" ref="G86:AB86" si="17">G60-G73</f>
        <v>166.26</v>
      </c>
      <c r="H86" s="203">
        <f t="shared" si="17"/>
        <v>83802.399999999994</v>
      </c>
      <c r="I86" s="203">
        <f t="shared" si="17"/>
        <v>3637.04</v>
      </c>
      <c r="J86" s="203">
        <f t="shared" si="17"/>
        <v>6502.89</v>
      </c>
      <c r="K86" s="203">
        <f t="shared" si="17"/>
        <v>3969.83</v>
      </c>
      <c r="L86" s="203">
        <f t="shared" si="17"/>
        <v>174.38</v>
      </c>
      <c r="M86" s="203">
        <f t="shared" si="17"/>
        <v>60983.55</v>
      </c>
      <c r="N86" s="203">
        <f t="shared" si="17"/>
        <v>0</v>
      </c>
      <c r="O86" s="203">
        <f t="shared" si="17"/>
        <v>7578.25</v>
      </c>
      <c r="P86" s="203">
        <f t="shared" si="17"/>
        <v>6468.3</v>
      </c>
      <c r="Q86" s="203">
        <f t="shared" si="17"/>
        <v>4406.1000000000004</v>
      </c>
      <c r="R86" s="203">
        <f t="shared" si="17"/>
        <v>2032</v>
      </c>
      <c r="S86" s="203">
        <f t="shared" si="17"/>
        <v>83606.97</v>
      </c>
      <c r="T86" s="203">
        <f t="shared" si="17"/>
        <v>0</v>
      </c>
      <c r="U86" s="203">
        <f t="shared" si="17"/>
        <v>56399.33</v>
      </c>
      <c r="V86" s="203">
        <f t="shared" si="17"/>
        <v>0</v>
      </c>
      <c r="W86" s="203">
        <f t="shared" si="17"/>
        <v>75888.52</v>
      </c>
      <c r="X86" s="203">
        <f t="shared" si="17"/>
        <v>70985.210000000006</v>
      </c>
      <c r="Y86" s="203">
        <f t="shared" si="17"/>
        <v>1466.23</v>
      </c>
      <c r="Z86" s="203">
        <f t="shared" si="17"/>
        <v>2348.7600000000002</v>
      </c>
      <c r="AA86" s="203">
        <f t="shared" si="17"/>
        <v>2786.46</v>
      </c>
      <c r="AB86" s="203">
        <f t="shared" si="17"/>
        <v>193.98</v>
      </c>
    </row>
    <row r="87" spans="3:29" x14ac:dyDescent="0.55000000000000004">
      <c r="C87" s="205"/>
      <c r="D87" s="217"/>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6"/>
    </row>
    <row r="88" spans="3:29" ht="14.7" thickBot="1" x14ac:dyDescent="0.6">
      <c r="C88" s="219" t="s">
        <v>1128</v>
      </c>
      <c r="D88" s="220">
        <f>SUM(E88:AB88)</f>
        <v>5841.1600000003818</v>
      </c>
      <c r="E88" s="204">
        <f>SUM(E83)</f>
        <v>132.02999999996973</v>
      </c>
      <c r="F88" s="204">
        <f>SUM(F83)</f>
        <v>-10.779999999969732</v>
      </c>
      <c r="G88" s="204">
        <f t="shared" ref="G88:AB88" si="18">SUM(G83)</f>
        <v>70</v>
      </c>
      <c r="H88" s="204">
        <f t="shared" si="18"/>
        <v>564.74000000004889</v>
      </c>
      <c r="I88" s="204">
        <f t="shared" si="18"/>
        <v>542.97000000008848</v>
      </c>
      <c r="J88" s="204">
        <f t="shared" si="18"/>
        <v>-265.49000000004889</v>
      </c>
      <c r="K88" s="204">
        <f t="shared" si="18"/>
        <v>288.69999999995343</v>
      </c>
      <c r="L88" s="204">
        <f t="shared" si="18"/>
        <v>724.64000000013039</v>
      </c>
      <c r="M88" s="204">
        <f t="shared" si="18"/>
        <v>284.4199999999837</v>
      </c>
      <c r="N88" s="204">
        <f t="shared" si="18"/>
        <v>309.67999999999302</v>
      </c>
      <c r="O88" s="204">
        <f t="shared" si="18"/>
        <v>350.44000000000233</v>
      </c>
      <c r="P88" s="204">
        <f t="shared" si="18"/>
        <v>820.52000000001863</v>
      </c>
      <c r="Q88" s="204">
        <f t="shared" si="18"/>
        <v>-2388.039999999979</v>
      </c>
      <c r="R88" s="204">
        <f t="shared" si="18"/>
        <v>130.95000000001164</v>
      </c>
      <c r="S88" s="204">
        <f t="shared" si="18"/>
        <v>742.40999999991618</v>
      </c>
      <c r="T88" s="204">
        <f t="shared" si="18"/>
        <v>-4.5399999999790452</v>
      </c>
      <c r="U88" s="204">
        <f t="shared" si="18"/>
        <v>1773.1700000000419</v>
      </c>
      <c r="V88" s="204">
        <f t="shared" si="18"/>
        <v>0</v>
      </c>
      <c r="W88" s="204">
        <f t="shared" si="18"/>
        <v>744.50000000005821</v>
      </c>
      <c r="X88" s="204">
        <f t="shared" si="18"/>
        <v>640.86999999999534</v>
      </c>
      <c r="Y88" s="204">
        <f t="shared" si="18"/>
        <v>191.42999999999302</v>
      </c>
      <c r="Z88" s="204">
        <f t="shared" si="18"/>
        <v>198.54000000015367</v>
      </c>
      <c r="AA88" s="204">
        <f t="shared" si="18"/>
        <v>0</v>
      </c>
      <c r="AB88" s="204">
        <f t="shared" si="18"/>
        <v>0</v>
      </c>
    </row>
    <row r="90" spans="3:29" ht="14.7" thickBot="1" x14ac:dyDescent="0.6"/>
    <row r="91" spans="3:29" ht="14.7" thickBot="1" x14ac:dyDescent="0.6">
      <c r="C91" s="224"/>
      <c r="D91" s="225" t="s">
        <v>1113</v>
      </c>
      <c r="E91" s="213" t="s">
        <v>1028</v>
      </c>
      <c r="F91" s="213" t="s">
        <v>1029</v>
      </c>
      <c r="G91" s="213" t="s">
        <v>1031</v>
      </c>
      <c r="H91" s="213" t="s">
        <v>1036</v>
      </c>
      <c r="I91" s="213" t="s">
        <v>1039</v>
      </c>
      <c r="J91" s="214" t="s">
        <v>1047</v>
      </c>
      <c r="K91"/>
      <c r="AC91" s="198"/>
    </row>
    <row r="92" spans="3:29" ht="26.1" thickBot="1" x14ac:dyDescent="0.6">
      <c r="C92" s="221" t="s">
        <v>1110</v>
      </c>
      <c r="D92" s="222" t="s">
        <v>92</v>
      </c>
      <c r="E92" s="209" t="s">
        <v>1098</v>
      </c>
      <c r="F92" s="209" t="s">
        <v>38</v>
      </c>
      <c r="G92" s="209" t="s">
        <v>48</v>
      </c>
      <c r="H92" s="209" t="s">
        <v>45</v>
      </c>
      <c r="I92" s="209" t="s">
        <v>1102</v>
      </c>
      <c r="J92" s="211" t="s">
        <v>1108</v>
      </c>
      <c r="K92"/>
      <c r="AC92" s="198"/>
    </row>
    <row r="93" spans="3:29" ht="14.7" thickBot="1" x14ac:dyDescent="0.6">
      <c r="C93" s="313" t="s">
        <v>1142</v>
      </c>
      <c r="D93" s="314"/>
      <c r="E93" s="269"/>
      <c r="F93" s="269"/>
      <c r="G93" s="269"/>
      <c r="H93" s="269"/>
      <c r="I93" s="269"/>
      <c r="J93" s="270"/>
      <c r="K93"/>
      <c r="AC93" s="198"/>
    </row>
    <row r="94" spans="3:29" x14ac:dyDescent="0.55000000000000004">
      <c r="C94" s="205"/>
      <c r="D94" s="217"/>
      <c r="E94" s="203"/>
      <c r="F94" s="203"/>
      <c r="G94" s="203"/>
      <c r="H94" s="203"/>
      <c r="I94" s="203"/>
      <c r="J94" s="206"/>
      <c r="K94"/>
      <c r="AC94" s="198"/>
    </row>
    <row r="95" spans="3:29" x14ac:dyDescent="0.55000000000000004">
      <c r="C95" s="205" t="s">
        <v>15</v>
      </c>
      <c r="D95" s="217">
        <f>SUM(E95:J95)</f>
        <v>4968444.3500000006</v>
      </c>
      <c r="E95" s="203">
        <v>638909.14000000013</v>
      </c>
      <c r="F95" s="203">
        <v>884799.24</v>
      </c>
      <c r="G95" s="203">
        <v>570155.47999999986</v>
      </c>
      <c r="H95" s="203">
        <v>766110.59</v>
      </c>
      <c r="I95" s="203">
        <v>502821.87</v>
      </c>
      <c r="J95" s="206">
        <v>1605648.0300000005</v>
      </c>
      <c r="K95"/>
      <c r="AC95" s="198"/>
    </row>
    <row r="96" spans="3:29" x14ac:dyDescent="0.55000000000000004">
      <c r="C96" s="205" t="s">
        <v>94</v>
      </c>
      <c r="D96" s="217">
        <f>SUM(E96:J96)</f>
        <v>11233.09</v>
      </c>
      <c r="E96" s="203">
        <v>3788.16</v>
      </c>
      <c r="F96" s="203">
        <v>0</v>
      </c>
      <c r="G96" s="203">
        <v>1234.0999999999999</v>
      </c>
      <c r="H96" s="203">
        <v>781.34</v>
      </c>
      <c r="I96" s="203">
        <v>1049.42</v>
      </c>
      <c r="J96" s="206">
        <v>4380.07</v>
      </c>
      <c r="K96"/>
      <c r="AC96" s="198"/>
    </row>
    <row r="97" spans="3:29" ht="14.7" thickBot="1" x14ac:dyDescent="0.6">
      <c r="C97" s="264" t="s">
        <v>1144</v>
      </c>
      <c r="D97" s="265">
        <f>SUM(E97:J97)</f>
        <v>4951806.1900000004</v>
      </c>
      <c r="E97" s="267">
        <f t="shared" ref="E97:J97" si="19">E95+E96-E100</f>
        <v>622697.30000000016</v>
      </c>
      <c r="F97" s="267">
        <f t="shared" si="19"/>
        <v>884799.24</v>
      </c>
      <c r="G97" s="267">
        <f t="shared" si="19"/>
        <v>567562.32999999984</v>
      </c>
      <c r="H97" s="267">
        <f t="shared" si="19"/>
        <v>767347.92999999993</v>
      </c>
      <c r="I97" s="267">
        <f t="shared" si="19"/>
        <v>503871.29</v>
      </c>
      <c r="J97" s="267">
        <f t="shared" si="19"/>
        <v>1605528.1000000006</v>
      </c>
      <c r="K97"/>
      <c r="AC97" s="198"/>
    </row>
    <row r="98" spans="3:29" ht="14.7" thickTop="1" x14ac:dyDescent="0.55000000000000004">
      <c r="C98" s="205"/>
      <c r="D98" s="217"/>
      <c r="E98" s="203"/>
      <c r="F98" s="203"/>
      <c r="G98" s="203"/>
      <c r="H98" s="203"/>
      <c r="I98" s="203"/>
      <c r="J98" s="206"/>
      <c r="K98"/>
      <c r="AC98" s="198"/>
    </row>
    <row r="99" spans="3:29" x14ac:dyDescent="0.55000000000000004">
      <c r="C99" s="262" t="s">
        <v>1091</v>
      </c>
      <c r="D99" s="217"/>
      <c r="E99" s="203"/>
      <c r="F99" s="203"/>
      <c r="G99" s="203"/>
      <c r="H99" s="203"/>
      <c r="I99" s="203"/>
      <c r="J99" s="206"/>
      <c r="K99"/>
      <c r="AC99" s="198"/>
    </row>
    <row r="100" spans="3:29" x14ac:dyDescent="0.55000000000000004">
      <c r="C100" s="205" t="s">
        <v>81</v>
      </c>
      <c r="D100" s="217">
        <f>SUM(E100:J100)</f>
        <v>27871.25</v>
      </c>
      <c r="E100" s="203">
        <v>20000</v>
      </c>
      <c r="F100" s="203">
        <v>0</v>
      </c>
      <c r="G100" s="203">
        <v>3827.25</v>
      </c>
      <c r="H100" s="203">
        <v>-456</v>
      </c>
      <c r="I100" s="203">
        <v>0</v>
      </c>
      <c r="J100" s="206">
        <v>4500</v>
      </c>
      <c r="K100"/>
      <c r="AC100" s="198"/>
    </row>
    <row r="101" spans="3:29" ht="14.7" thickBot="1" x14ac:dyDescent="0.6">
      <c r="C101" s="205"/>
      <c r="D101" s="217"/>
      <c r="E101" s="203"/>
      <c r="F101" s="203"/>
      <c r="G101" s="203"/>
      <c r="H101" s="203"/>
      <c r="I101" s="203"/>
      <c r="J101" s="206"/>
      <c r="K101"/>
      <c r="AC101" s="198"/>
    </row>
    <row r="102" spans="3:29" ht="14.7" thickBot="1" x14ac:dyDescent="0.6">
      <c r="C102" s="313" t="s">
        <v>1143</v>
      </c>
      <c r="D102" s="314"/>
      <c r="E102" s="269"/>
      <c r="F102" s="269"/>
      <c r="G102" s="269"/>
      <c r="H102" s="269"/>
      <c r="I102" s="269"/>
      <c r="J102" s="270"/>
      <c r="K102"/>
      <c r="AC102" s="198"/>
    </row>
    <row r="103" spans="3:29" x14ac:dyDescent="0.55000000000000004">
      <c r="C103" s="205"/>
      <c r="D103" s="217"/>
      <c r="E103" s="203"/>
      <c r="F103" s="203"/>
      <c r="G103" s="203"/>
      <c r="H103" s="203"/>
      <c r="I103" s="203"/>
      <c r="J103" s="206"/>
      <c r="K103"/>
      <c r="AC103" s="198"/>
    </row>
    <row r="104" spans="3:29" x14ac:dyDescent="0.55000000000000004">
      <c r="C104" s="205" t="s">
        <v>978</v>
      </c>
      <c r="D104" s="217">
        <f>SUM(E104:J104)</f>
        <v>4942752.18</v>
      </c>
      <c r="E104" s="203">
        <v>620994.94000000006</v>
      </c>
      <c r="F104" s="203">
        <v>883437.73</v>
      </c>
      <c r="G104" s="203">
        <v>566390.79999999993</v>
      </c>
      <c r="H104" s="203">
        <v>764170.58</v>
      </c>
      <c r="I104" s="203">
        <v>504401.69000000006</v>
      </c>
      <c r="J104" s="206">
        <v>1603356.4400000004</v>
      </c>
      <c r="K104"/>
      <c r="AC104" s="198"/>
    </row>
    <row r="105" spans="3:29" ht="14.7" thickBot="1" x14ac:dyDescent="0.6">
      <c r="C105" s="205"/>
      <c r="D105" s="217"/>
      <c r="E105" s="203"/>
      <c r="F105" s="203"/>
      <c r="G105" s="203"/>
      <c r="H105" s="203"/>
      <c r="I105" s="203"/>
      <c r="J105" s="206"/>
      <c r="K105"/>
      <c r="AC105" s="198"/>
    </row>
    <row r="106" spans="3:29" ht="14.7" thickBot="1" x14ac:dyDescent="0.6">
      <c r="C106" s="313" t="s">
        <v>1122</v>
      </c>
      <c r="D106" s="314"/>
      <c r="E106" s="271"/>
      <c r="F106" s="271"/>
      <c r="G106" s="271"/>
      <c r="H106" s="271"/>
      <c r="I106" s="271"/>
      <c r="J106" s="272"/>
      <c r="K106"/>
      <c r="AC106" s="198"/>
    </row>
    <row r="107" spans="3:29" x14ac:dyDescent="0.55000000000000004">
      <c r="C107" s="205"/>
      <c r="D107" s="217"/>
      <c r="E107" s="203"/>
      <c r="F107" s="203"/>
      <c r="G107" s="203"/>
      <c r="H107" s="203"/>
      <c r="I107" s="203"/>
      <c r="J107" s="206"/>
      <c r="K107"/>
      <c r="AC107" s="198"/>
    </row>
    <row r="108" spans="3:29" x14ac:dyDescent="0.55000000000000004">
      <c r="C108" s="205" t="s">
        <v>978</v>
      </c>
      <c r="D108" s="217">
        <f>SUM(E108:J108)</f>
        <v>9054.0100000000675</v>
      </c>
      <c r="E108" s="203">
        <f t="shared" ref="E108:J108" si="20">E97-E104</f>
        <v>1702.3600000001024</v>
      </c>
      <c r="F108" s="203">
        <f t="shared" si="20"/>
        <v>1361.5100000000093</v>
      </c>
      <c r="G108" s="203">
        <f t="shared" si="20"/>
        <v>1171.5299999999115</v>
      </c>
      <c r="H108" s="203">
        <f t="shared" si="20"/>
        <v>3177.3499999999767</v>
      </c>
      <c r="I108" s="203">
        <f t="shared" si="20"/>
        <v>-530.40000000008149</v>
      </c>
      <c r="J108" s="203">
        <f t="shared" si="20"/>
        <v>2171.660000000149</v>
      </c>
      <c r="K108"/>
      <c r="AC108" s="198"/>
    </row>
    <row r="109" spans="3:29" x14ac:dyDescent="0.55000000000000004">
      <c r="C109" s="205"/>
      <c r="D109" s="217"/>
      <c r="E109" s="203"/>
      <c r="F109" s="203"/>
      <c r="G109" s="203"/>
      <c r="H109" s="203"/>
      <c r="I109" s="203"/>
      <c r="J109" s="203"/>
      <c r="K109"/>
      <c r="AC109" s="198"/>
    </row>
    <row r="110" spans="3:29" ht="14.7" thickBot="1" x14ac:dyDescent="0.6">
      <c r="C110" s="219" t="s">
        <v>1130</v>
      </c>
      <c r="D110" s="220">
        <f>D108</f>
        <v>9054.0100000000675</v>
      </c>
      <c r="E110" s="204">
        <f t="shared" ref="E110:J110" si="21">E108</f>
        <v>1702.3600000001024</v>
      </c>
      <c r="F110" s="204">
        <f t="shared" si="21"/>
        <v>1361.5100000000093</v>
      </c>
      <c r="G110" s="204">
        <f t="shared" si="21"/>
        <v>1171.5299999999115</v>
      </c>
      <c r="H110" s="204">
        <f t="shared" si="21"/>
        <v>3177.3499999999767</v>
      </c>
      <c r="I110" s="204">
        <f t="shared" si="21"/>
        <v>-530.40000000008149</v>
      </c>
      <c r="J110" s="204">
        <f t="shared" si="21"/>
        <v>2171.660000000149</v>
      </c>
      <c r="K110"/>
      <c r="AC110" s="198"/>
    </row>
    <row r="112" spans="3:29" ht="14.7" thickBot="1" x14ac:dyDescent="0.6"/>
    <row r="113" spans="1:29" s="274" customFormat="1" ht="17.100000000000001" thickBot="1" x14ac:dyDescent="0.7">
      <c r="A113" s="273"/>
      <c r="C113" s="274" t="s">
        <v>1144</v>
      </c>
      <c r="D113" s="274">
        <f>SUM(D88,D110)</f>
        <v>14895.170000000449</v>
      </c>
      <c r="AC113" s="275"/>
    </row>
  </sheetData>
  <mergeCells count="19">
    <mergeCell ref="C102:D102"/>
    <mergeCell ref="C106:D106"/>
    <mergeCell ref="C75:D75"/>
    <mergeCell ref="E75:AB75"/>
    <mergeCell ref="C93:D93"/>
    <mergeCell ref="C62:D62"/>
    <mergeCell ref="E62:AB62"/>
    <mergeCell ref="C3:D3"/>
    <mergeCell ref="E3:AB3"/>
    <mergeCell ref="C6:D6"/>
    <mergeCell ref="E6:AB6"/>
    <mergeCell ref="C18:D18"/>
    <mergeCell ref="E18:AB18"/>
    <mergeCell ref="C30:D30"/>
    <mergeCell ref="E30:AB30"/>
    <mergeCell ref="C46:D46"/>
    <mergeCell ref="E46:AB46"/>
    <mergeCell ref="C49:D49"/>
    <mergeCell ref="E49:AB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A79B-906B-4326-B297-D34E9EB7B50C}">
  <sheetPr>
    <tabColor rgb="FF92D050"/>
  </sheetPr>
  <dimension ref="A2:AC76"/>
  <sheetViews>
    <sheetView zoomScale="80" zoomScaleNormal="80" workbookViewId="0">
      <pane xSplit="4" topLeftCell="E1" activePane="topRight" state="frozen"/>
      <selection activeCell="E1" sqref="E1"/>
      <selection pane="topRight" activeCell="E1" sqref="E1"/>
    </sheetView>
  </sheetViews>
  <sheetFormatPr defaultColWidth="20.83984375" defaultRowHeight="14.4" x14ac:dyDescent="0.55000000000000004"/>
  <cols>
    <col min="1" max="1" width="14.578125" style="198" customWidth="1"/>
    <col min="2" max="2" width="5" style="198" customWidth="1"/>
    <col min="3" max="3" width="32.41796875" style="198" bestFit="1" customWidth="1"/>
    <col min="4" max="4" width="17.68359375" style="198" bestFit="1" customWidth="1"/>
    <col min="5" max="5" width="20.578125" style="198" bestFit="1" customWidth="1"/>
    <col min="6" max="6" width="18" style="198" bestFit="1" customWidth="1"/>
    <col min="7" max="7" width="20.26171875" style="198" bestFit="1" customWidth="1"/>
    <col min="8" max="8" width="16.41796875" style="198" bestFit="1" customWidth="1"/>
    <col min="9" max="9" width="20.83984375" style="198"/>
    <col min="10" max="10" width="20.68359375" style="198" bestFit="1" customWidth="1"/>
    <col min="11" max="11" width="20.15625" style="198" bestFit="1" customWidth="1"/>
    <col min="12" max="12" width="16" style="198" bestFit="1" customWidth="1"/>
    <col min="13" max="13" width="15.68359375" style="198" bestFit="1" customWidth="1"/>
    <col min="14" max="14" width="19.26171875" style="198" bestFit="1" customWidth="1"/>
    <col min="15" max="15" width="18.26171875" style="198" bestFit="1" customWidth="1"/>
    <col min="16" max="16" width="15.68359375" style="198" bestFit="1" customWidth="1"/>
    <col min="17" max="17" width="20.578125" style="198" bestFit="1" customWidth="1"/>
    <col min="18" max="18" width="16.68359375" style="198" bestFit="1" customWidth="1"/>
    <col min="19" max="19" width="16.83984375" style="198" bestFit="1" customWidth="1"/>
    <col min="20" max="20" width="20.578125" style="198" bestFit="1" customWidth="1"/>
    <col min="21" max="21" width="20.68359375" style="198" bestFit="1" customWidth="1"/>
    <col min="22" max="22" width="18.578125" style="198" bestFit="1" customWidth="1"/>
    <col min="23" max="23" width="17.83984375" style="198" bestFit="1" customWidth="1"/>
    <col min="24" max="25" width="19.41796875" style="198" bestFit="1" customWidth="1"/>
    <col min="26" max="26" width="19.68359375" style="198" bestFit="1" customWidth="1"/>
    <col min="27" max="27" width="19.578125" style="198" bestFit="1" customWidth="1"/>
    <col min="28" max="28" width="16" style="198" bestFit="1" customWidth="1"/>
    <col min="30" max="16384" width="20.83984375" style="198"/>
  </cols>
  <sheetData>
    <row r="2" spans="1:29" s="200" customFormat="1" ht="14.7" thickBot="1" x14ac:dyDescent="0.6">
      <c r="A2" s="226" t="s">
        <v>1129</v>
      </c>
      <c r="B2" s="198"/>
      <c r="AC2" s="201"/>
    </row>
    <row r="3" spans="1:29" s="200" customFormat="1" ht="14.7" thickBot="1" x14ac:dyDescent="0.6">
      <c r="C3" s="302" t="s">
        <v>1120</v>
      </c>
      <c r="D3" s="303"/>
      <c r="E3" s="317" t="s">
        <v>105</v>
      </c>
      <c r="F3" s="318"/>
      <c r="G3" s="318"/>
      <c r="H3" s="318"/>
      <c r="I3" s="318"/>
      <c r="J3" s="318"/>
      <c r="K3" s="318"/>
      <c r="L3" s="318"/>
      <c r="M3" s="318"/>
      <c r="N3" s="318"/>
      <c r="O3" s="318"/>
      <c r="P3" s="318"/>
      <c r="Q3" s="318"/>
      <c r="R3" s="318"/>
      <c r="S3" s="318"/>
      <c r="T3" s="318"/>
      <c r="U3" s="319"/>
      <c r="V3" s="201"/>
    </row>
    <row r="4" spans="1:29" s="202" customFormat="1" ht="13.2" thickBot="1" x14ac:dyDescent="0.55000000000000004">
      <c r="C4" s="224"/>
      <c r="D4" s="225" t="s">
        <v>1113</v>
      </c>
      <c r="E4" s="212" t="s">
        <v>1025</v>
      </c>
      <c r="F4" s="213" t="s">
        <v>1026</v>
      </c>
      <c r="G4" s="213" t="s">
        <v>1029</v>
      </c>
      <c r="H4" s="213" t="s">
        <v>1032</v>
      </c>
      <c r="I4" s="213" t="s">
        <v>1033</v>
      </c>
      <c r="J4" s="213" t="s">
        <v>1109</v>
      </c>
      <c r="K4" s="213" t="s">
        <v>1034</v>
      </c>
      <c r="L4" s="213" t="s">
        <v>1035</v>
      </c>
      <c r="M4" s="213" t="s">
        <v>1036</v>
      </c>
      <c r="N4" s="213" t="s">
        <v>1038</v>
      </c>
      <c r="O4" s="213" t="s">
        <v>1040</v>
      </c>
      <c r="P4" s="213" t="s">
        <v>1041</v>
      </c>
      <c r="Q4" s="213" t="s">
        <v>1043</v>
      </c>
      <c r="R4" s="213" t="s">
        <v>1044</v>
      </c>
      <c r="S4" s="213" t="s">
        <v>1045</v>
      </c>
      <c r="T4" s="213" t="s">
        <v>1046</v>
      </c>
      <c r="U4" s="214" t="s">
        <v>1047</v>
      </c>
    </row>
    <row r="5" spans="1:29" s="202" customFormat="1" ht="26.1" thickBot="1" x14ac:dyDescent="0.6">
      <c r="C5" s="221" t="s">
        <v>1110</v>
      </c>
      <c r="D5" s="222" t="s">
        <v>92</v>
      </c>
      <c r="E5" s="215" t="s">
        <v>1096</v>
      </c>
      <c r="F5" s="209" t="s">
        <v>35</v>
      </c>
      <c r="G5" s="209" t="s">
        <v>38</v>
      </c>
      <c r="H5" s="209" t="s">
        <v>1099</v>
      </c>
      <c r="I5" s="209" t="s">
        <v>43</v>
      </c>
      <c r="J5" s="210" t="s">
        <v>1100</v>
      </c>
      <c r="K5" s="209" t="s">
        <v>1101</v>
      </c>
      <c r="L5" s="209" t="s">
        <v>54</v>
      </c>
      <c r="M5" s="209" t="s">
        <v>45</v>
      </c>
      <c r="N5" s="209" t="s">
        <v>37</v>
      </c>
      <c r="O5" s="209" t="s">
        <v>1103</v>
      </c>
      <c r="P5" s="209" t="s">
        <v>49</v>
      </c>
      <c r="Q5" s="209" t="s">
        <v>1105</v>
      </c>
      <c r="R5" s="209" t="s">
        <v>1106</v>
      </c>
      <c r="S5" s="209" t="s">
        <v>1107</v>
      </c>
      <c r="T5" s="209" t="s">
        <v>42</v>
      </c>
      <c r="U5" s="211" t="s">
        <v>1108</v>
      </c>
    </row>
    <row r="6" spans="1:29" ht="15" customHeight="1" thickBot="1" x14ac:dyDescent="0.55000000000000004">
      <c r="C6" s="313" t="s">
        <v>1142</v>
      </c>
      <c r="D6" s="314"/>
      <c r="E6" s="269"/>
      <c r="F6" s="269"/>
      <c r="G6" s="269"/>
      <c r="H6" s="269"/>
      <c r="I6" s="269"/>
      <c r="J6" s="269"/>
      <c r="K6" s="269"/>
      <c r="L6" s="269"/>
      <c r="M6" s="269"/>
      <c r="N6" s="269"/>
      <c r="O6" s="269"/>
      <c r="P6" s="269"/>
      <c r="Q6" s="269"/>
      <c r="R6" s="269"/>
      <c r="S6" s="269"/>
      <c r="T6" s="269"/>
      <c r="U6" s="270"/>
      <c r="AC6" s="198"/>
    </row>
    <row r="7" spans="1:29" ht="12.9" x14ac:dyDescent="0.5">
      <c r="C7" s="205" t="s">
        <v>13</v>
      </c>
      <c r="D7" s="217">
        <f>SUM(E7:U7)</f>
        <v>18163182.169999998</v>
      </c>
      <c r="E7" s="203">
        <v>989495.21000000008</v>
      </c>
      <c r="F7" s="203">
        <v>1150198.9399999997</v>
      </c>
      <c r="G7" s="203">
        <v>1089911</v>
      </c>
      <c r="H7" s="203">
        <v>1188999.2799999998</v>
      </c>
      <c r="I7" s="203">
        <v>878914.92999999993</v>
      </c>
      <c r="J7" s="203">
        <v>933032.64</v>
      </c>
      <c r="K7" s="203">
        <v>839302.00000000023</v>
      </c>
      <c r="L7" s="203">
        <v>1221624.23</v>
      </c>
      <c r="M7" s="203">
        <v>975503.84000000008</v>
      </c>
      <c r="N7" s="203">
        <v>993310.05</v>
      </c>
      <c r="O7" s="203">
        <v>1391186.66</v>
      </c>
      <c r="P7" s="203">
        <v>869317.02000000025</v>
      </c>
      <c r="Q7" s="203">
        <v>972514.67999999993</v>
      </c>
      <c r="R7" s="203">
        <v>823348.17999999993</v>
      </c>
      <c r="S7" s="203">
        <v>974892.91999999969</v>
      </c>
      <c r="T7" s="203">
        <v>862356.34000000008</v>
      </c>
      <c r="U7" s="206">
        <v>2009274.25</v>
      </c>
      <c r="AC7" s="198"/>
    </row>
    <row r="8" spans="1:29" ht="13.2" thickBot="1" x14ac:dyDescent="0.55000000000000004">
      <c r="C8" s="205"/>
      <c r="D8" s="217"/>
      <c r="E8" s="203"/>
      <c r="F8" s="203"/>
      <c r="G8" s="203"/>
      <c r="H8" s="203"/>
      <c r="I8" s="203"/>
      <c r="J8" s="203"/>
      <c r="K8" s="203"/>
      <c r="L8" s="203"/>
      <c r="M8" s="203"/>
      <c r="N8" s="203"/>
      <c r="O8" s="203"/>
      <c r="P8" s="203"/>
      <c r="Q8" s="203"/>
      <c r="R8" s="203"/>
      <c r="S8" s="203"/>
      <c r="T8" s="203"/>
      <c r="U8" s="206"/>
      <c r="AC8" s="198"/>
    </row>
    <row r="9" spans="1:29" ht="15" customHeight="1" thickBot="1" x14ac:dyDescent="0.55000000000000004">
      <c r="C9" s="313" t="s">
        <v>1143</v>
      </c>
      <c r="D9" s="314"/>
      <c r="E9" s="269"/>
      <c r="F9" s="269"/>
      <c r="G9" s="269"/>
      <c r="H9" s="269"/>
      <c r="I9" s="269"/>
      <c r="J9" s="269"/>
      <c r="K9" s="269"/>
      <c r="L9" s="269"/>
      <c r="M9" s="269"/>
      <c r="N9" s="269"/>
      <c r="O9" s="269"/>
      <c r="P9" s="269"/>
      <c r="Q9" s="269"/>
      <c r="R9" s="269"/>
      <c r="S9" s="269"/>
      <c r="T9" s="269"/>
      <c r="U9" s="270"/>
      <c r="AC9" s="198"/>
    </row>
    <row r="10" spans="1:29" ht="12.9" x14ac:dyDescent="0.5">
      <c r="A10" s="199"/>
      <c r="B10" s="199"/>
      <c r="C10" s="216" t="s">
        <v>977</v>
      </c>
      <c r="D10" s="217">
        <f>SUM(E10:U10)</f>
        <v>18068855.949999996</v>
      </c>
      <c r="E10" s="203">
        <v>996093.91999999993</v>
      </c>
      <c r="F10" s="203">
        <v>1150085.7999999998</v>
      </c>
      <c r="G10" s="203">
        <v>1089889.25</v>
      </c>
      <c r="H10" s="203">
        <v>1188634.3899999999</v>
      </c>
      <c r="I10" s="203">
        <v>863559.23</v>
      </c>
      <c r="J10" s="203">
        <v>895534.56999999983</v>
      </c>
      <c r="K10" s="203">
        <v>823580.47</v>
      </c>
      <c r="L10" s="203">
        <v>1221449.1200000001</v>
      </c>
      <c r="M10" s="203">
        <v>975495.78</v>
      </c>
      <c r="N10" s="203">
        <v>991927.3</v>
      </c>
      <c r="O10" s="203">
        <v>1369172.75</v>
      </c>
      <c r="P10" s="203">
        <v>866533.67</v>
      </c>
      <c r="Q10" s="203">
        <v>972212.36</v>
      </c>
      <c r="R10" s="203">
        <v>823331.69000000006</v>
      </c>
      <c r="S10" s="203">
        <v>974780.19000000006</v>
      </c>
      <c r="T10" s="203">
        <v>862351.04</v>
      </c>
      <c r="U10" s="206">
        <v>2004224.42</v>
      </c>
      <c r="AC10" s="198"/>
    </row>
    <row r="11" spans="1:29" ht="13.2" thickBot="1" x14ac:dyDescent="0.55000000000000004">
      <c r="C11" s="205"/>
      <c r="D11" s="217"/>
      <c r="E11" s="203"/>
      <c r="F11" s="203"/>
      <c r="G11" s="203"/>
      <c r="H11" s="203"/>
      <c r="I11" s="203"/>
      <c r="J11" s="203"/>
      <c r="K11" s="203"/>
      <c r="L11" s="203"/>
      <c r="M11" s="203"/>
      <c r="N11" s="203"/>
      <c r="O11" s="203"/>
      <c r="P11" s="203"/>
      <c r="Q11" s="203"/>
      <c r="R11" s="203"/>
      <c r="S11" s="203"/>
      <c r="T11" s="203"/>
      <c r="U11" s="206"/>
      <c r="AC11" s="198"/>
    </row>
    <row r="12" spans="1:29" ht="15" customHeight="1" thickBot="1" x14ac:dyDescent="0.55000000000000004">
      <c r="C12" s="313" t="s">
        <v>1122</v>
      </c>
      <c r="D12" s="314"/>
      <c r="E12" s="271"/>
      <c r="F12" s="271"/>
      <c r="G12" s="271"/>
      <c r="H12" s="271"/>
      <c r="I12" s="271"/>
      <c r="J12" s="271"/>
      <c r="K12" s="271"/>
      <c r="L12" s="271"/>
      <c r="M12" s="271"/>
      <c r="N12" s="271"/>
      <c r="O12" s="271"/>
      <c r="P12" s="271"/>
      <c r="Q12" s="271"/>
      <c r="R12" s="271"/>
      <c r="S12" s="271"/>
      <c r="T12" s="271"/>
      <c r="U12" s="272"/>
      <c r="AC12" s="198"/>
    </row>
    <row r="13" spans="1:29" ht="12.9" x14ac:dyDescent="0.5">
      <c r="A13" s="199"/>
      <c r="B13" s="199"/>
      <c r="C13" s="216"/>
      <c r="D13" s="217">
        <f>D7-D10</f>
        <v>94326.220000002533</v>
      </c>
      <c r="E13" s="203">
        <f>E7-E10</f>
        <v>-6598.7099999998463</v>
      </c>
      <c r="F13" s="203">
        <f>F7-F10</f>
        <v>113.13999999989755</v>
      </c>
      <c r="G13" s="203">
        <f t="shared" ref="G13:U13" si="0">G7-G10</f>
        <v>21.75</v>
      </c>
      <c r="H13" s="203">
        <f t="shared" si="0"/>
        <v>364.88999999989755</v>
      </c>
      <c r="I13" s="203">
        <f t="shared" si="0"/>
        <v>15355.699999999953</v>
      </c>
      <c r="J13" s="203">
        <f t="shared" si="0"/>
        <v>37498.070000000182</v>
      </c>
      <c r="K13" s="203">
        <f t="shared" si="0"/>
        <v>15721.530000000261</v>
      </c>
      <c r="L13" s="203">
        <f t="shared" si="0"/>
        <v>175.10999999986961</v>
      </c>
      <c r="M13" s="203">
        <f t="shared" si="0"/>
        <v>8.0600000000558794</v>
      </c>
      <c r="N13" s="203">
        <f t="shared" si="0"/>
        <v>1382.75</v>
      </c>
      <c r="O13" s="203">
        <f t="shared" si="0"/>
        <v>22013.909999999916</v>
      </c>
      <c r="P13" s="203">
        <f t="shared" si="0"/>
        <v>2783.3500000002095</v>
      </c>
      <c r="Q13" s="203">
        <f t="shared" si="0"/>
        <v>302.31999999994878</v>
      </c>
      <c r="R13" s="203">
        <f t="shared" si="0"/>
        <v>16.489999999874271</v>
      </c>
      <c r="S13" s="203">
        <f t="shared" si="0"/>
        <v>112.72999999963213</v>
      </c>
      <c r="T13" s="203">
        <f t="shared" si="0"/>
        <v>5.3000000000465661</v>
      </c>
      <c r="U13" s="203">
        <f t="shared" si="0"/>
        <v>5049.8300000000745</v>
      </c>
      <c r="AC13" s="198"/>
    </row>
    <row r="14" spans="1:29" ht="14.7" thickBot="1" x14ac:dyDescent="0.6">
      <c r="C14" s="205"/>
      <c r="D14" s="218"/>
      <c r="E14" s="207"/>
      <c r="F14" s="207"/>
      <c r="G14" s="207"/>
      <c r="H14" s="207"/>
      <c r="I14" s="207"/>
      <c r="J14" s="207"/>
      <c r="K14" s="207"/>
      <c r="L14" s="207"/>
      <c r="M14" s="207"/>
      <c r="N14" s="207"/>
      <c r="O14" s="207"/>
      <c r="P14" s="207"/>
      <c r="Q14" s="207"/>
      <c r="R14" s="207"/>
      <c r="S14" s="207"/>
      <c r="T14" s="207"/>
      <c r="U14" s="208"/>
      <c r="V14"/>
      <c r="AC14" s="198"/>
    </row>
    <row r="15" spans="1:29" s="200" customFormat="1" ht="14.7" thickBot="1" x14ac:dyDescent="0.6">
      <c r="C15" s="219" t="s">
        <v>1131</v>
      </c>
      <c r="D15" s="220">
        <f t="shared" ref="D15:U15" si="1">SUM(D13:D13)</f>
        <v>94326.220000002533</v>
      </c>
      <c r="E15" s="204">
        <f t="shared" si="1"/>
        <v>-6598.7099999998463</v>
      </c>
      <c r="F15" s="204">
        <f t="shared" si="1"/>
        <v>113.13999999989755</v>
      </c>
      <c r="G15" s="204">
        <f t="shared" si="1"/>
        <v>21.75</v>
      </c>
      <c r="H15" s="204">
        <f t="shared" si="1"/>
        <v>364.88999999989755</v>
      </c>
      <c r="I15" s="204">
        <f t="shared" si="1"/>
        <v>15355.699999999953</v>
      </c>
      <c r="J15" s="204">
        <f t="shared" si="1"/>
        <v>37498.070000000182</v>
      </c>
      <c r="K15" s="204">
        <f t="shared" si="1"/>
        <v>15721.530000000261</v>
      </c>
      <c r="L15" s="204">
        <f t="shared" si="1"/>
        <v>175.10999999986961</v>
      </c>
      <c r="M15" s="204">
        <f t="shared" si="1"/>
        <v>8.0600000000558794</v>
      </c>
      <c r="N15" s="204">
        <f t="shared" si="1"/>
        <v>1382.75</v>
      </c>
      <c r="O15" s="204">
        <f t="shared" si="1"/>
        <v>22013.909999999916</v>
      </c>
      <c r="P15" s="204">
        <f t="shared" si="1"/>
        <v>2783.3500000002095</v>
      </c>
      <c r="Q15" s="204">
        <f t="shared" si="1"/>
        <v>302.31999999994878</v>
      </c>
      <c r="R15" s="204">
        <f t="shared" si="1"/>
        <v>16.489999999874271</v>
      </c>
      <c r="S15" s="204">
        <f t="shared" si="1"/>
        <v>112.72999999963213</v>
      </c>
      <c r="T15" s="204">
        <f t="shared" si="1"/>
        <v>5.3000000000465661</v>
      </c>
      <c r="U15" s="204">
        <f t="shared" si="1"/>
        <v>5049.8300000000745</v>
      </c>
      <c r="V15" s="201"/>
    </row>
    <row r="18" spans="3:28" ht="14.7" thickBot="1" x14ac:dyDescent="0.6"/>
    <row r="19" spans="3:28" ht="14.7" thickBot="1" x14ac:dyDescent="0.6">
      <c r="C19" s="302" t="s">
        <v>1123</v>
      </c>
      <c r="D19" s="303"/>
      <c r="E19" s="304" t="s">
        <v>106</v>
      </c>
      <c r="F19" s="305"/>
      <c r="G19" s="305"/>
      <c r="H19" s="305"/>
      <c r="I19" s="305"/>
      <c r="J19" s="305"/>
      <c r="K19" s="305"/>
      <c r="L19" s="305"/>
      <c r="M19" s="305"/>
      <c r="N19" s="305"/>
      <c r="O19" s="305"/>
      <c r="P19" s="305"/>
      <c r="Q19" s="305"/>
      <c r="R19" s="305"/>
      <c r="S19" s="305"/>
      <c r="T19" s="305"/>
      <c r="U19" s="305"/>
      <c r="V19" s="305"/>
      <c r="W19" s="305"/>
      <c r="X19" s="305"/>
      <c r="Y19" s="305"/>
      <c r="Z19" s="305"/>
      <c r="AA19" s="305"/>
      <c r="AB19" s="306"/>
    </row>
    <row r="20" spans="3:28" ht="14.7" thickBot="1" x14ac:dyDescent="0.6">
      <c r="C20" s="224"/>
      <c r="D20" s="225" t="s">
        <v>1113</v>
      </c>
      <c r="E20" s="212" t="s">
        <v>1025</v>
      </c>
      <c r="F20" s="213" t="s">
        <v>1026</v>
      </c>
      <c r="G20" s="213" t="s">
        <v>1027</v>
      </c>
      <c r="H20" s="213" t="s">
        <v>1028</v>
      </c>
      <c r="I20" s="213" t="s">
        <v>1029</v>
      </c>
      <c r="J20" s="213" t="s">
        <v>1030</v>
      </c>
      <c r="K20" s="213" t="s">
        <v>1031</v>
      </c>
      <c r="L20" s="213" t="s">
        <v>1032</v>
      </c>
      <c r="M20" s="213" t="s">
        <v>1033</v>
      </c>
      <c r="N20" s="213" t="s">
        <v>1109</v>
      </c>
      <c r="O20" s="213" t="s">
        <v>1034</v>
      </c>
      <c r="P20" s="213" t="s">
        <v>1035</v>
      </c>
      <c r="Q20" s="213" t="s">
        <v>1036</v>
      </c>
      <c r="R20" s="213" t="s">
        <v>1037</v>
      </c>
      <c r="S20" s="213" t="s">
        <v>1038</v>
      </c>
      <c r="T20" s="213" t="s">
        <v>1039</v>
      </c>
      <c r="U20" s="213" t="s">
        <v>1040</v>
      </c>
      <c r="V20" s="213" t="s">
        <v>1041</v>
      </c>
      <c r="W20" s="213" t="s">
        <v>1042</v>
      </c>
      <c r="X20" s="213" t="s">
        <v>1043</v>
      </c>
      <c r="Y20" s="213" t="s">
        <v>1044</v>
      </c>
      <c r="Z20" s="213" t="s">
        <v>1045</v>
      </c>
      <c r="AA20" s="213" t="s">
        <v>1046</v>
      </c>
      <c r="AB20" s="214" t="s">
        <v>1047</v>
      </c>
    </row>
    <row r="21" spans="3:28" ht="26.1" thickBot="1" x14ac:dyDescent="0.6">
      <c r="C21" s="221" t="s">
        <v>1110</v>
      </c>
      <c r="D21" s="222" t="s">
        <v>92</v>
      </c>
      <c r="E21" s="215" t="s">
        <v>1096</v>
      </c>
      <c r="F21" s="209" t="s">
        <v>35</v>
      </c>
      <c r="G21" s="209" t="s">
        <v>1097</v>
      </c>
      <c r="H21" s="209" t="s">
        <v>1098</v>
      </c>
      <c r="I21" s="209" t="s">
        <v>38</v>
      </c>
      <c r="J21" s="209" t="s">
        <v>47</v>
      </c>
      <c r="K21" s="209" t="s">
        <v>48</v>
      </c>
      <c r="L21" s="209" t="s">
        <v>1099</v>
      </c>
      <c r="M21" s="209" t="s">
        <v>43</v>
      </c>
      <c r="N21" s="210" t="s">
        <v>1100</v>
      </c>
      <c r="O21" s="209" t="s">
        <v>1101</v>
      </c>
      <c r="P21" s="209" t="s">
        <v>54</v>
      </c>
      <c r="Q21" s="209" t="s">
        <v>45</v>
      </c>
      <c r="R21" s="209" t="s">
        <v>46</v>
      </c>
      <c r="S21" s="209" t="s">
        <v>37</v>
      </c>
      <c r="T21" s="209" t="s">
        <v>1102</v>
      </c>
      <c r="U21" s="209" t="s">
        <v>1103</v>
      </c>
      <c r="V21" s="209" t="s">
        <v>49</v>
      </c>
      <c r="W21" s="209" t="s">
        <v>1104</v>
      </c>
      <c r="X21" s="209" t="s">
        <v>1105</v>
      </c>
      <c r="Y21" s="209" t="s">
        <v>1106</v>
      </c>
      <c r="Z21" s="209" t="s">
        <v>1107</v>
      </c>
      <c r="AA21" s="209" t="s">
        <v>42</v>
      </c>
      <c r="AB21" s="211" t="s">
        <v>1108</v>
      </c>
    </row>
    <row r="22" spans="3:28" ht="14.7" thickBot="1" x14ac:dyDescent="0.6">
      <c r="C22" s="313" t="s">
        <v>1142</v>
      </c>
      <c r="D22" s="314"/>
      <c r="E22" s="320"/>
      <c r="F22" s="320"/>
      <c r="G22" s="320"/>
      <c r="H22" s="320"/>
      <c r="I22" s="320"/>
      <c r="J22" s="320"/>
      <c r="K22" s="320"/>
      <c r="L22" s="320"/>
      <c r="M22" s="320"/>
      <c r="N22" s="320"/>
      <c r="O22" s="320"/>
      <c r="P22" s="320"/>
      <c r="Q22" s="320"/>
      <c r="R22" s="320"/>
      <c r="S22" s="320"/>
      <c r="T22" s="320"/>
      <c r="U22" s="320"/>
      <c r="V22" s="320"/>
      <c r="W22" s="320"/>
      <c r="X22" s="320"/>
      <c r="Y22" s="320"/>
      <c r="Z22" s="320"/>
      <c r="AA22" s="320"/>
      <c r="AB22" s="321"/>
    </row>
    <row r="23" spans="3:28" x14ac:dyDescent="0.55000000000000004">
      <c r="C23" s="205"/>
      <c r="D23" s="217"/>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6"/>
    </row>
    <row r="24" spans="3:28" x14ac:dyDescent="0.55000000000000004">
      <c r="C24" s="205" t="s">
        <v>15</v>
      </c>
      <c r="D24" s="217">
        <f>SUM(E24:AB24)</f>
        <v>19731610.579999998</v>
      </c>
      <c r="E24" s="203">
        <v>819215.44999999984</v>
      </c>
      <c r="F24" s="203">
        <v>743085.36999999988</v>
      </c>
      <c r="G24" s="203">
        <v>938500.35999999987</v>
      </c>
      <c r="H24" s="203">
        <v>739097.78000000014</v>
      </c>
      <c r="I24" s="203">
        <v>778856.17999999993</v>
      </c>
      <c r="J24" s="203">
        <v>601147.64</v>
      </c>
      <c r="K24" s="203">
        <v>610787.86999999988</v>
      </c>
      <c r="L24" s="203">
        <v>1180925.2900000003</v>
      </c>
      <c r="M24" s="203">
        <v>656201.96000000008</v>
      </c>
      <c r="N24" s="203">
        <v>783996.26000000013</v>
      </c>
      <c r="O24" s="203">
        <v>686662.25000000012</v>
      </c>
      <c r="P24" s="203">
        <v>883318.15999999992</v>
      </c>
      <c r="Q24" s="203">
        <v>820882.20999999985</v>
      </c>
      <c r="R24" s="203">
        <v>553552.98</v>
      </c>
      <c r="S24" s="203">
        <v>773327.46</v>
      </c>
      <c r="T24" s="203">
        <v>576646.69999999995</v>
      </c>
      <c r="U24" s="203">
        <v>1070621.6400000001</v>
      </c>
      <c r="V24" s="203">
        <v>558391.02</v>
      </c>
      <c r="W24" s="203">
        <v>805664.67</v>
      </c>
      <c r="X24" s="203">
        <v>895685.77</v>
      </c>
      <c r="Y24" s="203">
        <v>829669.51</v>
      </c>
      <c r="Z24" s="203">
        <v>912820.45000000019</v>
      </c>
      <c r="AA24" s="203">
        <v>900421.84</v>
      </c>
      <c r="AB24" s="206">
        <v>1612131.7599999998</v>
      </c>
    </row>
    <row r="25" spans="3:28" x14ac:dyDescent="0.55000000000000004">
      <c r="C25" s="205" t="s">
        <v>94</v>
      </c>
      <c r="D25" s="217">
        <f>SUM(E25:AB25)</f>
        <v>44849.98</v>
      </c>
      <c r="E25" s="203">
        <v>803.94</v>
      </c>
      <c r="F25" s="203">
        <v>1158.1099999999999</v>
      </c>
      <c r="G25" s="203">
        <v>5061.18</v>
      </c>
      <c r="H25" s="203">
        <v>5321.5</v>
      </c>
      <c r="I25" s="203">
        <v>0</v>
      </c>
      <c r="J25" s="203">
        <v>0</v>
      </c>
      <c r="K25" s="203">
        <v>1234.0999999999999</v>
      </c>
      <c r="L25" s="203">
        <v>1961.04</v>
      </c>
      <c r="M25" s="203">
        <v>894.99</v>
      </c>
      <c r="N25" s="203">
        <v>1319.94</v>
      </c>
      <c r="O25" s="203">
        <v>2098.81</v>
      </c>
      <c r="P25" s="203">
        <v>1342.85</v>
      </c>
      <c r="Q25" s="203">
        <v>781.34</v>
      </c>
      <c r="R25" s="203">
        <v>0</v>
      </c>
      <c r="S25" s="203">
        <v>1089.3900000000001</v>
      </c>
      <c r="T25" s="203">
        <v>1049.42</v>
      </c>
      <c r="U25" s="203">
        <v>2079.73</v>
      </c>
      <c r="V25" s="203">
        <v>1037.32</v>
      </c>
      <c r="W25" s="203">
        <v>781.34</v>
      </c>
      <c r="X25" s="203">
        <v>1658.47</v>
      </c>
      <c r="Y25" s="203">
        <v>1029.48</v>
      </c>
      <c r="Z25" s="203">
        <v>4041.69</v>
      </c>
      <c r="AA25" s="203">
        <v>6943.79</v>
      </c>
      <c r="AB25" s="206">
        <v>3161.55</v>
      </c>
    </row>
    <row r="26" spans="3:28" ht="14.7" thickBot="1" x14ac:dyDescent="0.6">
      <c r="C26" s="264" t="s">
        <v>1144</v>
      </c>
      <c r="D26" s="265">
        <f>SUM(E26:AB26)</f>
        <v>19635766.879999999</v>
      </c>
      <c r="E26" s="267">
        <f>E24+E25-E29</f>
        <v>820596.38999999978</v>
      </c>
      <c r="F26" s="267">
        <f>F24+F25-F29</f>
        <v>744243.47999999986</v>
      </c>
      <c r="G26" s="267">
        <f t="shared" ref="G26:AB26" si="2">G24+G25-G29</f>
        <v>941603.09</v>
      </c>
      <c r="H26" s="267">
        <f t="shared" si="2"/>
        <v>696212.78000000014</v>
      </c>
      <c r="I26" s="267">
        <f t="shared" si="2"/>
        <v>770970.72</v>
      </c>
      <c r="J26" s="267">
        <f t="shared" si="2"/>
        <v>601405.62</v>
      </c>
      <c r="K26" s="267">
        <f t="shared" si="2"/>
        <v>598750.4099999998</v>
      </c>
      <c r="L26" s="267">
        <f t="shared" si="2"/>
        <v>1180940.1300000004</v>
      </c>
      <c r="M26" s="267">
        <f t="shared" si="2"/>
        <v>645516.60000000009</v>
      </c>
      <c r="N26" s="267">
        <f t="shared" si="2"/>
        <v>785316.20000000007</v>
      </c>
      <c r="O26" s="267">
        <f t="shared" si="2"/>
        <v>688761.06000000017</v>
      </c>
      <c r="P26" s="267">
        <f t="shared" si="2"/>
        <v>884334.00999999989</v>
      </c>
      <c r="Q26" s="267">
        <f t="shared" si="2"/>
        <v>821207.54999999981</v>
      </c>
      <c r="R26" s="267">
        <f t="shared" si="2"/>
        <v>553552.98</v>
      </c>
      <c r="S26" s="267">
        <f t="shared" si="2"/>
        <v>772717.35</v>
      </c>
      <c r="T26" s="267">
        <f t="shared" si="2"/>
        <v>577696.12</v>
      </c>
      <c r="U26" s="267">
        <f t="shared" si="2"/>
        <v>1071876.3700000001</v>
      </c>
      <c r="V26" s="267">
        <f t="shared" si="2"/>
        <v>559428.34</v>
      </c>
      <c r="W26" s="267">
        <f t="shared" si="2"/>
        <v>796460.61</v>
      </c>
      <c r="X26" s="267">
        <f t="shared" si="2"/>
        <v>897074.84</v>
      </c>
      <c r="Y26" s="267">
        <f t="shared" si="2"/>
        <v>808458.99</v>
      </c>
      <c r="Z26" s="267">
        <f t="shared" si="2"/>
        <v>902372.29000000015</v>
      </c>
      <c r="AA26" s="267">
        <f t="shared" si="2"/>
        <v>901677.64</v>
      </c>
      <c r="AB26" s="267">
        <f t="shared" si="2"/>
        <v>1614593.3099999998</v>
      </c>
    </row>
    <row r="27" spans="3:28" ht="14.7" thickTop="1" x14ac:dyDescent="0.55000000000000004">
      <c r="C27" s="205"/>
      <c r="D27" s="217"/>
      <c r="E27" s="203"/>
      <c r="F27" s="203"/>
      <c r="G27" s="203"/>
      <c r="H27" s="203"/>
      <c r="I27" s="203"/>
      <c r="J27" s="203"/>
      <c r="K27" s="203"/>
      <c r="L27" s="203"/>
      <c r="M27" s="203"/>
      <c r="N27" s="203"/>
      <c r="O27" s="203"/>
      <c r="P27" s="203"/>
      <c r="Q27" s="203"/>
      <c r="R27" s="203"/>
      <c r="S27" s="203"/>
      <c r="T27" s="203"/>
      <c r="U27" s="203"/>
      <c r="V27" s="203"/>
      <c r="W27" s="203"/>
      <c r="X27" s="203"/>
      <c r="Y27" s="203"/>
      <c r="Z27" s="203"/>
      <c r="AA27" s="203"/>
      <c r="AB27" s="206"/>
    </row>
    <row r="28" spans="3:28" x14ac:dyDescent="0.55000000000000004">
      <c r="C28" s="262" t="s">
        <v>1091</v>
      </c>
      <c r="D28" s="217"/>
      <c r="E28" s="203"/>
      <c r="F28" s="203"/>
      <c r="G28" s="203"/>
      <c r="H28" s="203"/>
      <c r="I28" s="203"/>
      <c r="J28" s="203"/>
      <c r="K28" s="203"/>
      <c r="L28" s="203"/>
      <c r="M28" s="203"/>
      <c r="N28" s="203"/>
      <c r="O28" s="203"/>
      <c r="P28" s="203"/>
      <c r="Q28" s="203"/>
      <c r="R28" s="203"/>
      <c r="S28" s="203"/>
      <c r="T28" s="203"/>
      <c r="U28" s="203"/>
      <c r="V28" s="203"/>
      <c r="W28" s="203"/>
      <c r="X28" s="203"/>
      <c r="Y28" s="203"/>
      <c r="Z28" s="203"/>
      <c r="AA28" s="203"/>
      <c r="AB28" s="206"/>
    </row>
    <row r="29" spans="3:28" x14ac:dyDescent="0.55000000000000004">
      <c r="C29" s="205" t="s">
        <v>81</v>
      </c>
      <c r="D29" s="217">
        <f>SUM(E29:AB29)</f>
        <v>140693.67999999996</v>
      </c>
      <c r="E29" s="203">
        <v>-577</v>
      </c>
      <c r="F29" s="203">
        <v>0</v>
      </c>
      <c r="G29" s="203">
        <v>1958.45</v>
      </c>
      <c r="H29" s="203">
        <v>48206.5</v>
      </c>
      <c r="I29" s="203">
        <v>7885.46</v>
      </c>
      <c r="J29" s="203">
        <v>-257.98</v>
      </c>
      <c r="K29" s="203">
        <v>13271.56</v>
      </c>
      <c r="L29" s="203">
        <v>1946.2</v>
      </c>
      <c r="M29" s="203">
        <v>11580.35</v>
      </c>
      <c r="N29" s="203">
        <v>0</v>
      </c>
      <c r="O29" s="203">
        <v>0</v>
      </c>
      <c r="P29" s="203">
        <v>327</v>
      </c>
      <c r="Q29" s="203">
        <v>456</v>
      </c>
      <c r="R29" s="203">
        <v>0</v>
      </c>
      <c r="S29" s="203">
        <v>1699.5</v>
      </c>
      <c r="T29" s="203">
        <v>0</v>
      </c>
      <c r="U29" s="203">
        <v>825</v>
      </c>
      <c r="V29" s="203">
        <v>0</v>
      </c>
      <c r="W29" s="203">
        <v>9985.4</v>
      </c>
      <c r="X29" s="203">
        <v>269.39999999999998</v>
      </c>
      <c r="Y29" s="203">
        <v>22240</v>
      </c>
      <c r="Z29" s="203">
        <v>14489.85</v>
      </c>
      <c r="AA29" s="203">
        <v>5687.99</v>
      </c>
      <c r="AB29" s="206">
        <v>700</v>
      </c>
    </row>
    <row r="30" spans="3:28" x14ac:dyDescent="0.55000000000000004">
      <c r="C30" s="205" t="s">
        <v>100</v>
      </c>
      <c r="D30" s="217">
        <f t="shared" ref="D30" si="3">SUM(E30:AB30)</f>
        <v>0</v>
      </c>
      <c r="E30" s="203">
        <v>0</v>
      </c>
      <c r="F30" s="203">
        <v>0</v>
      </c>
      <c r="G30" s="203">
        <v>0</v>
      </c>
      <c r="H30" s="203">
        <v>0</v>
      </c>
      <c r="I30" s="203">
        <v>0</v>
      </c>
      <c r="J30" s="203">
        <v>0</v>
      </c>
      <c r="K30" s="203">
        <v>0</v>
      </c>
      <c r="L30" s="203">
        <v>0</v>
      </c>
      <c r="M30" s="203">
        <v>0</v>
      </c>
      <c r="N30" s="203">
        <v>0</v>
      </c>
      <c r="O30" s="203">
        <v>0</v>
      </c>
      <c r="P30" s="203">
        <v>0</v>
      </c>
      <c r="Q30" s="203">
        <v>0</v>
      </c>
      <c r="R30" s="203">
        <v>0</v>
      </c>
      <c r="S30" s="203">
        <v>0</v>
      </c>
      <c r="T30" s="203">
        <v>0</v>
      </c>
      <c r="U30" s="203">
        <v>0</v>
      </c>
      <c r="V30" s="203">
        <v>0</v>
      </c>
      <c r="W30" s="203">
        <v>0</v>
      </c>
      <c r="X30" s="203">
        <v>0</v>
      </c>
      <c r="Y30" s="203">
        <v>0</v>
      </c>
      <c r="Z30" s="203">
        <v>0</v>
      </c>
      <c r="AA30" s="203">
        <v>0</v>
      </c>
      <c r="AB30" s="206">
        <v>0</v>
      </c>
    </row>
    <row r="31" spans="3:28" ht="14.7" thickBot="1" x14ac:dyDescent="0.6">
      <c r="C31" s="264" t="s">
        <v>1135</v>
      </c>
      <c r="D31" s="265">
        <f>SUM(E31:AB31)</f>
        <v>140693.67999999996</v>
      </c>
      <c r="E31" s="267">
        <f>SUM(E29:E30)</f>
        <v>-577</v>
      </c>
      <c r="F31" s="267">
        <f t="shared" ref="F31:AB31" si="4">SUM(F29:F30)</f>
        <v>0</v>
      </c>
      <c r="G31" s="267">
        <f t="shared" si="4"/>
        <v>1958.45</v>
      </c>
      <c r="H31" s="267">
        <f t="shared" si="4"/>
        <v>48206.5</v>
      </c>
      <c r="I31" s="267">
        <f t="shared" si="4"/>
        <v>7885.46</v>
      </c>
      <c r="J31" s="267">
        <f t="shared" si="4"/>
        <v>-257.98</v>
      </c>
      <c r="K31" s="267">
        <f t="shared" si="4"/>
        <v>13271.56</v>
      </c>
      <c r="L31" s="267">
        <f t="shared" si="4"/>
        <v>1946.2</v>
      </c>
      <c r="M31" s="267">
        <f t="shared" si="4"/>
        <v>11580.35</v>
      </c>
      <c r="N31" s="267">
        <f t="shared" si="4"/>
        <v>0</v>
      </c>
      <c r="O31" s="267">
        <f t="shared" si="4"/>
        <v>0</v>
      </c>
      <c r="P31" s="267">
        <f t="shared" si="4"/>
        <v>327</v>
      </c>
      <c r="Q31" s="267">
        <f t="shared" si="4"/>
        <v>456</v>
      </c>
      <c r="R31" s="267">
        <f t="shared" si="4"/>
        <v>0</v>
      </c>
      <c r="S31" s="267">
        <f t="shared" si="4"/>
        <v>1699.5</v>
      </c>
      <c r="T31" s="267">
        <f t="shared" si="4"/>
        <v>0</v>
      </c>
      <c r="U31" s="267">
        <f t="shared" si="4"/>
        <v>825</v>
      </c>
      <c r="V31" s="267">
        <f t="shared" si="4"/>
        <v>0</v>
      </c>
      <c r="W31" s="267">
        <f t="shared" si="4"/>
        <v>9985.4</v>
      </c>
      <c r="X31" s="267">
        <f t="shared" si="4"/>
        <v>269.39999999999998</v>
      </c>
      <c r="Y31" s="267">
        <f t="shared" si="4"/>
        <v>22240</v>
      </c>
      <c r="Z31" s="267">
        <f t="shared" si="4"/>
        <v>14489.85</v>
      </c>
      <c r="AA31" s="267">
        <f t="shared" si="4"/>
        <v>5687.99</v>
      </c>
      <c r="AB31" s="267">
        <f t="shared" si="4"/>
        <v>700</v>
      </c>
    </row>
    <row r="32" spans="3:28" ht="15" thickTop="1" thickBot="1" x14ac:dyDescent="0.6">
      <c r="C32" s="205"/>
      <c r="D32" s="217"/>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6"/>
    </row>
    <row r="33" spans="3:28" ht="14.7" thickBot="1" x14ac:dyDescent="0.6">
      <c r="C33" s="313" t="s">
        <v>1143</v>
      </c>
      <c r="D33" s="314"/>
      <c r="E33" s="320"/>
      <c r="F33" s="320"/>
      <c r="G33" s="320"/>
      <c r="H33" s="320"/>
      <c r="I33" s="320"/>
      <c r="J33" s="320"/>
      <c r="K33" s="320"/>
      <c r="L33" s="320"/>
      <c r="M33" s="320"/>
      <c r="N33" s="320"/>
      <c r="O33" s="320"/>
      <c r="P33" s="320"/>
      <c r="Q33" s="320"/>
      <c r="R33" s="320"/>
      <c r="S33" s="320"/>
      <c r="T33" s="320"/>
      <c r="U33" s="320"/>
      <c r="V33" s="320"/>
      <c r="W33" s="320"/>
      <c r="X33" s="320"/>
      <c r="Y33" s="320"/>
      <c r="Z33" s="320"/>
      <c r="AA33" s="320"/>
      <c r="AB33" s="321"/>
    </row>
    <row r="34" spans="3:28" x14ac:dyDescent="0.55000000000000004">
      <c r="C34" s="205"/>
      <c r="D34" s="217"/>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6"/>
    </row>
    <row r="35" spans="3:28" x14ac:dyDescent="0.55000000000000004">
      <c r="C35" s="205" t="s">
        <v>978</v>
      </c>
      <c r="D35" s="217">
        <f t="shared" ref="D35" si="5">SUM(E35:AB35)</f>
        <v>19630809.839999996</v>
      </c>
      <c r="E35" s="203">
        <v>820592.42000000016</v>
      </c>
      <c r="F35" s="203">
        <v>744243.48</v>
      </c>
      <c r="G35" s="203">
        <v>941603.09000000008</v>
      </c>
      <c r="H35" s="203">
        <v>695936.78</v>
      </c>
      <c r="I35" s="203">
        <v>770587.08000000007</v>
      </c>
      <c r="J35" s="203">
        <v>601405.62</v>
      </c>
      <c r="K35" s="203">
        <v>598750.41</v>
      </c>
      <c r="L35" s="203">
        <v>1180940.1300000001</v>
      </c>
      <c r="M35" s="203">
        <v>645279.42999999993</v>
      </c>
      <c r="N35" s="203">
        <v>783312.56999999983</v>
      </c>
      <c r="O35" s="203">
        <v>688534.79</v>
      </c>
      <c r="P35" s="203">
        <v>884334.01</v>
      </c>
      <c r="Q35" s="203">
        <v>820607.54999999981</v>
      </c>
      <c r="R35" s="203">
        <v>553410.55000000005</v>
      </c>
      <c r="S35" s="203">
        <v>772717.35000000009</v>
      </c>
      <c r="T35" s="203">
        <v>577696.12</v>
      </c>
      <c r="U35" s="203">
        <v>1071784.3700000001</v>
      </c>
      <c r="V35" s="203">
        <v>559428.34</v>
      </c>
      <c r="W35" s="203">
        <v>796460.6100000001</v>
      </c>
      <c r="X35" s="203">
        <v>896855.4700000002</v>
      </c>
      <c r="Y35" s="203">
        <v>808293.95000000007</v>
      </c>
      <c r="Z35" s="203">
        <v>902196.69</v>
      </c>
      <c r="AA35" s="203">
        <v>901245.72</v>
      </c>
      <c r="AB35" s="206">
        <v>1614593.31</v>
      </c>
    </row>
    <row r="36" spans="3:28" x14ac:dyDescent="0.55000000000000004">
      <c r="C36" s="205"/>
      <c r="D36" s="217"/>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6"/>
    </row>
    <row r="37" spans="3:28" x14ac:dyDescent="0.55000000000000004">
      <c r="C37" s="262" t="s">
        <v>1091</v>
      </c>
      <c r="D37" s="217"/>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6"/>
    </row>
    <row r="38" spans="3:28" x14ac:dyDescent="0.55000000000000004">
      <c r="C38" s="205" t="s">
        <v>447</v>
      </c>
      <c r="D38" s="217">
        <f t="shared" ref="D38:D39" si="6">SUM(E38:AB38)</f>
        <v>48163.12</v>
      </c>
      <c r="E38" s="203">
        <v>6461.29</v>
      </c>
      <c r="F38" s="203">
        <v>0</v>
      </c>
      <c r="G38" s="203">
        <v>1958.45</v>
      </c>
      <c r="H38" s="203">
        <v>48206.5</v>
      </c>
      <c r="I38" s="203">
        <v>7885.46</v>
      </c>
      <c r="J38" s="203">
        <v>-257.98</v>
      </c>
      <c r="K38" s="203">
        <v>13271.56</v>
      </c>
      <c r="L38" s="203">
        <v>1946.2</v>
      </c>
      <c r="M38" s="203">
        <v>-3219.3499999999985</v>
      </c>
      <c r="N38" s="203">
        <v>-37498.07</v>
      </c>
      <c r="O38" s="203">
        <v>-15712.97</v>
      </c>
      <c r="P38" s="203">
        <v>327</v>
      </c>
      <c r="Q38" s="203">
        <v>456</v>
      </c>
      <c r="R38" s="203">
        <v>0</v>
      </c>
      <c r="S38" s="203">
        <v>316.75</v>
      </c>
      <c r="T38" s="203">
        <v>0</v>
      </c>
      <c r="U38" s="203">
        <v>-21122.19</v>
      </c>
      <c r="V38" s="203">
        <v>-2783.35</v>
      </c>
      <c r="W38" s="203">
        <v>9985.4</v>
      </c>
      <c r="X38" s="203">
        <v>-30.600000000000023</v>
      </c>
      <c r="Y38" s="203">
        <v>22240</v>
      </c>
      <c r="Z38" s="203">
        <v>14389.85</v>
      </c>
      <c r="AA38" s="203">
        <v>5687.99</v>
      </c>
      <c r="AB38" s="206">
        <v>-4344.82</v>
      </c>
    </row>
    <row r="39" spans="3:28" x14ac:dyDescent="0.55000000000000004">
      <c r="C39" s="205" t="s">
        <v>452</v>
      </c>
      <c r="D39" s="217">
        <f t="shared" si="6"/>
        <v>-1803.1899999999998</v>
      </c>
      <c r="E39" s="203">
        <v>-439.58</v>
      </c>
      <c r="F39" s="203">
        <v>-113.14</v>
      </c>
      <c r="G39" s="203">
        <v>-7.53</v>
      </c>
      <c r="H39" s="203">
        <v>0</v>
      </c>
      <c r="I39" s="203">
        <v>-21.75</v>
      </c>
      <c r="J39" s="203">
        <v>0</v>
      </c>
      <c r="K39" s="203">
        <v>0</v>
      </c>
      <c r="L39" s="203">
        <v>-364.89</v>
      </c>
      <c r="M39" s="203">
        <v>-556</v>
      </c>
      <c r="N39" s="203">
        <v>0</v>
      </c>
      <c r="O39" s="203">
        <v>-8.56</v>
      </c>
      <c r="P39" s="203">
        <v>-175.11</v>
      </c>
      <c r="Q39" s="203">
        <v>-8.06</v>
      </c>
      <c r="R39" s="203">
        <v>0</v>
      </c>
      <c r="S39" s="203">
        <v>0</v>
      </c>
      <c r="T39" s="203">
        <v>0</v>
      </c>
      <c r="U39" s="203">
        <v>-66.72</v>
      </c>
      <c r="V39" s="203">
        <v>0</v>
      </c>
      <c r="W39" s="203">
        <v>0</v>
      </c>
      <c r="X39" s="203">
        <v>-2.3199999999999998</v>
      </c>
      <c r="Y39" s="203">
        <v>-16.489999999999998</v>
      </c>
      <c r="Z39" s="203">
        <v>-12.73</v>
      </c>
      <c r="AA39" s="203">
        <v>-5.3</v>
      </c>
      <c r="AB39" s="206">
        <v>-5.01</v>
      </c>
    </row>
    <row r="40" spans="3:28" ht="14.7" thickBot="1" x14ac:dyDescent="0.6">
      <c r="C40" s="264" t="s">
        <v>1135</v>
      </c>
      <c r="D40" s="265">
        <f>SUM(E40:AB40)</f>
        <v>46359.929999999993</v>
      </c>
      <c r="E40" s="267">
        <f>SUM(E38:E39)</f>
        <v>6021.71</v>
      </c>
      <c r="F40" s="267">
        <f t="shared" ref="F40" si="7">SUM(F38:F39)</f>
        <v>-113.14</v>
      </c>
      <c r="G40" s="267">
        <f t="shared" ref="G40" si="8">SUM(G38:G39)</f>
        <v>1950.92</v>
      </c>
      <c r="H40" s="267">
        <f t="shared" ref="H40" si="9">SUM(H38:H39)</f>
        <v>48206.5</v>
      </c>
      <c r="I40" s="267">
        <f t="shared" ref="I40" si="10">SUM(I38:I39)</f>
        <v>7863.71</v>
      </c>
      <c r="J40" s="267">
        <f t="shared" ref="J40" si="11">SUM(J38:J39)</f>
        <v>-257.98</v>
      </c>
      <c r="K40" s="267">
        <f t="shared" ref="K40" si="12">SUM(K38:K39)</f>
        <v>13271.56</v>
      </c>
      <c r="L40" s="267">
        <f t="shared" ref="L40" si="13">SUM(L38:L39)</f>
        <v>1581.31</v>
      </c>
      <c r="M40" s="267">
        <f t="shared" ref="M40" si="14">SUM(M38:M39)</f>
        <v>-3775.3499999999985</v>
      </c>
      <c r="N40" s="267">
        <f t="shared" ref="N40" si="15">SUM(N38:N39)</f>
        <v>-37498.07</v>
      </c>
      <c r="O40" s="267">
        <f t="shared" ref="O40" si="16">SUM(O38:O39)</f>
        <v>-15721.529999999999</v>
      </c>
      <c r="P40" s="267">
        <f t="shared" ref="P40" si="17">SUM(P38:P39)</f>
        <v>151.88999999999999</v>
      </c>
      <c r="Q40" s="267">
        <f t="shared" ref="Q40" si="18">SUM(Q38:Q39)</f>
        <v>447.94</v>
      </c>
      <c r="R40" s="267">
        <f t="shared" ref="R40" si="19">SUM(R38:R39)</f>
        <v>0</v>
      </c>
      <c r="S40" s="267">
        <f t="shared" ref="S40" si="20">SUM(S38:S39)</f>
        <v>316.75</v>
      </c>
      <c r="T40" s="267">
        <f t="shared" ref="T40" si="21">SUM(T38:T39)</f>
        <v>0</v>
      </c>
      <c r="U40" s="267">
        <f t="shared" ref="U40" si="22">SUM(U38:U39)</f>
        <v>-21188.91</v>
      </c>
      <c r="V40" s="267">
        <f t="shared" ref="V40" si="23">SUM(V38:V39)</f>
        <v>-2783.35</v>
      </c>
      <c r="W40" s="267">
        <f t="shared" ref="W40" si="24">SUM(W38:W39)</f>
        <v>9985.4</v>
      </c>
      <c r="X40" s="267">
        <f t="shared" ref="X40" si="25">SUM(X38:X39)</f>
        <v>-32.920000000000023</v>
      </c>
      <c r="Y40" s="267">
        <f t="shared" ref="Y40" si="26">SUM(Y38:Y39)</f>
        <v>22223.51</v>
      </c>
      <c r="Z40" s="267">
        <f t="shared" ref="Z40" si="27">SUM(Z38:Z39)</f>
        <v>14377.12</v>
      </c>
      <c r="AA40" s="267">
        <f t="shared" ref="AA40" si="28">SUM(AA38:AA39)</f>
        <v>5682.69</v>
      </c>
      <c r="AB40" s="267">
        <f t="shared" ref="AB40" si="29">SUM(AB38:AB39)</f>
        <v>-4349.83</v>
      </c>
    </row>
    <row r="41" spans="3:28" ht="15" thickTop="1" thickBot="1" x14ac:dyDescent="0.6">
      <c r="C41" s="205"/>
      <c r="D41" s="217"/>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6"/>
    </row>
    <row r="42" spans="3:28" ht="14.7" thickBot="1" x14ac:dyDescent="0.6">
      <c r="C42" s="313" t="s">
        <v>1122</v>
      </c>
      <c r="D42" s="314"/>
      <c r="E42" s="315"/>
      <c r="F42" s="315"/>
      <c r="G42" s="315"/>
      <c r="H42" s="315"/>
      <c r="I42" s="315"/>
      <c r="J42" s="315"/>
      <c r="K42" s="315"/>
      <c r="L42" s="315"/>
      <c r="M42" s="315"/>
      <c r="N42" s="315"/>
      <c r="O42" s="315"/>
      <c r="P42" s="315"/>
      <c r="Q42" s="315"/>
      <c r="R42" s="315"/>
      <c r="S42" s="315"/>
      <c r="T42" s="315"/>
      <c r="U42" s="315"/>
      <c r="V42" s="315"/>
      <c r="W42" s="315"/>
      <c r="X42" s="315"/>
      <c r="Y42" s="315"/>
      <c r="Z42" s="315"/>
      <c r="AA42" s="315"/>
      <c r="AB42" s="316"/>
    </row>
    <row r="43" spans="3:28" x14ac:dyDescent="0.55000000000000004">
      <c r="C43" s="205"/>
      <c r="D43" s="217"/>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6"/>
    </row>
    <row r="44" spans="3:28" x14ac:dyDescent="0.55000000000000004">
      <c r="C44" s="205" t="s">
        <v>978</v>
      </c>
      <c r="D44" s="217">
        <f t="shared" ref="D44" si="30">SUM(E44:AB44)</f>
        <v>4957.0400000000373</v>
      </c>
      <c r="E44" s="203">
        <f>E26-E35</f>
        <v>3.9699999996228144</v>
      </c>
      <c r="F44" s="203">
        <f t="shared" ref="F44:AB44" si="31">F26-F35</f>
        <v>0</v>
      </c>
      <c r="G44" s="203">
        <f t="shared" si="31"/>
        <v>0</v>
      </c>
      <c r="H44" s="203">
        <f t="shared" si="31"/>
        <v>276.00000000011642</v>
      </c>
      <c r="I44" s="203">
        <f t="shared" si="31"/>
        <v>383.63999999989755</v>
      </c>
      <c r="J44" s="203">
        <f t="shared" si="31"/>
        <v>0</v>
      </c>
      <c r="K44" s="203">
        <f t="shared" si="31"/>
        <v>0</v>
      </c>
      <c r="L44" s="203">
        <f t="shared" si="31"/>
        <v>0</v>
      </c>
      <c r="M44" s="203">
        <f t="shared" si="31"/>
        <v>237.17000000015832</v>
      </c>
      <c r="N44" s="203">
        <f t="shared" si="31"/>
        <v>2003.6300000002375</v>
      </c>
      <c r="O44" s="203">
        <f t="shared" si="31"/>
        <v>226.27000000013504</v>
      </c>
      <c r="P44" s="203">
        <f t="shared" si="31"/>
        <v>0</v>
      </c>
      <c r="Q44" s="203">
        <f t="shared" si="31"/>
        <v>600</v>
      </c>
      <c r="R44" s="203">
        <f t="shared" si="31"/>
        <v>142.42999999993481</v>
      </c>
      <c r="S44" s="203">
        <f t="shared" si="31"/>
        <v>0</v>
      </c>
      <c r="T44" s="203">
        <f t="shared" si="31"/>
        <v>0</v>
      </c>
      <c r="U44" s="203">
        <f t="shared" si="31"/>
        <v>92</v>
      </c>
      <c r="V44" s="203">
        <f t="shared" si="31"/>
        <v>0</v>
      </c>
      <c r="W44" s="203">
        <f t="shared" si="31"/>
        <v>0</v>
      </c>
      <c r="X44" s="203">
        <f t="shared" si="31"/>
        <v>219.36999999976251</v>
      </c>
      <c r="Y44" s="203">
        <f t="shared" si="31"/>
        <v>165.03999999992084</v>
      </c>
      <c r="Z44" s="203">
        <f t="shared" si="31"/>
        <v>175.60000000020955</v>
      </c>
      <c r="AA44" s="203">
        <f t="shared" si="31"/>
        <v>431.92000000004191</v>
      </c>
      <c r="AB44" s="203">
        <f t="shared" si="31"/>
        <v>0</v>
      </c>
    </row>
    <row r="45" spans="3:28" x14ac:dyDescent="0.55000000000000004">
      <c r="C45" s="205"/>
      <c r="D45" s="217"/>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row>
    <row r="46" spans="3:28" x14ac:dyDescent="0.55000000000000004">
      <c r="C46" s="262" t="s">
        <v>1091</v>
      </c>
      <c r="D46" s="217"/>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row>
    <row r="47" spans="3:28" x14ac:dyDescent="0.55000000000000004">
      <c r="C47" s="205" t="s">
        <v>447</v>
      </c>
      <c r="D47" s="217">
        <f t="shared" ref="D47:D48" si="32">SUM(E47:AB47)</f>
        <v>92530.559999999998</v>
      </c>
      <c r="E47" s="203">
        <f t="shared" ref="E47:AB47" si="33">E29-E38</f>
        <v>-7038.29</v>
      </c>
      <c r="F47" s="203">
        <f t="shared" si="33"/>
        <v>0</v>
      </c>
      <c r="G47" s="203">
        <f t="shared" si="33"/>
        <v>0</v>
      </c>
      <c r="H47" s="203">
        <f t="shared" si="33"/>
        <v>0</v>
      </c>
      <c r="I47" s="203">
        <f t="shared" si="33"/>
        <v>0</v>
      </c>
      <c r="J47" s="203">
        <f t="shared" si="33"/>
        <v>0</v>
      </c>
      <c r="K47" s="203">
        <f t="shared" si="33"/>
        <v>0</v>
      </c>
      <c r="L47" s="203">
        <f t="shared" si="33"/>
        <v>0</v>
      </c>
      <c r="M47" s="203">
        <f t="shared" si="33"/>
        <v>14799.699999999999</v>
      </c>
      <c r="N47" s="203">
        <f t="shared" si="33"/>
        <v>37498.07</v>
      </c>
      <c r="O47" s="203">
        <f t="shared" si="33"/>
        <v>15712.97</v>
      </c>
      <c r="P47" s="203">
        <f t="shared" si="33"/>
        <v>0</v>
      </c>
      <c r="Q47" s="203">
        <f t="shared" si="33"/>
        <v>0</v>
      </c>
      <c r="R47" s="203">
        <f t="shared" si="33"/>
        <v>0</v>
      </c>
      <c r="S47" s="203">
        <f t="shared" si="33"/>
        <v>1382.75</v>
      </c>
      <c r="T47" s="203">
        <f t="shared" si="33"/>
        <v>0</v>
      </c>
      <c r="U47" s="203">
        <f t="shared" si="33"/>
        <v>21947.19</v>
      </c>
      <c r="V47" s="203">
        <f t="shared" si="33"/>
        <v>2783.35</v>
      </c>
      <c r="W47" s="203">
        <f t="shared" si="33"/>
        <v>0</v>
      </c>
      <c r="X47" s="203">
        <f t="shared" si="33"/>
        <v>300</v>
      </c>
      <c r="Y47" s="203">
        <f t="shared" si="33"/>
        <v>0</v>
      </c>
      <c r="Z47" s="203">
        <f t="shared" si="33"/>
        <v>100</v>
      </c>
      <c r="AA47" s="203">
        <f t="shared" si="33"/>
        <v>0</v>
      </c>
      <c r="AB47" s="203">
        <f t="shared" si="33"/>
        <v>5044.82</v>
      </c>
    </row>
    <row r="48" spans="3:28" x14ac:dyDescent="0.55000000000000004">
      <c r="C48" s="205" t="s">
        <v>452</v>
      </c>
      <c r="D48" s="217">
        <f t="shared" si="32"/>
        <v>1803.1899999999998</v>
      </c>
      <c r="E48" s="203">
        <f t="shared" ref="E48:AB48" si="34">E30-E39</f>
        <v>439.58</v>
      </c>
      <c r="F48" s="203">
        <f t="shared" si="34"/>
        <v>113.14</v>
      </c>
      <c r="G48" s="203">
        <f t="shared" si="34"/>
        <v>7.53</v>
      </c>
      <c r="H48" s="203">
        <f t="shared" si="34"/>
        <v>0</v>
      </c>
      <c r="I48" s="203">
        <f t="shared" si="34"/>
        <v>21.75</v>
      </c>
      <c r="J48" s="203">
        <f t="shared" si="34"/>
        <v>0</v>
      </c>
      <c r="K48" s="203">
        <f t="shared" si="34"/>
        <v>0</v>
      </c>
      <c r="L48" s="203">
        <f t="shared" si="34"/>
        <v>364.89</v>
      </c>
      <c r="M48" s="203">
        <f t="shared" si="34"/>
        <v>556</v>
      </c>
      <c r="N48" s="203">
        <f t="shared" si="34"/>
        <v>0</v>
      </c>
      <c r="O48" s="203">
        <f t="shared" si="34"/>
        <v>8.56</v>
      </c>
      <c r="P48" s="203">
        <f t="shared" si="34"/>
        <v>175.11</v>
      </c>
      <c r="Q48" s="203">
        <f t="shared" si="34"/>
        <v>8.06</v>
      </c>
      <c r="R48" s="203">
        <f t="shared" si="34"/>
        <v>0</v>
      </c>
      <c r="S48" s="203">
        <f t="shared" si="34"/>
        <v>0</v>
      </c>
      <c r="T48" s="203">
        <f t="shared" si="34"/>
        <v>0</v>
      </c>
      <c r="U48" s="203">
        <f t="shared" si="34"/>
        <v>66.72</v>
      </c>
      <c r="V48" s="203">
        <f t="shared" si="34"/>
        <v>0</v>
      </c>
      <c r="W48" s="203">
        <f t="shared" si="34"/>
        <v>0</v>
      </c>
      <c r="X48" s="203">
        <f t="shared" si="34"/>
        <v>2.3199999999999998</v>
      </c>
      <c r="Y48" s="203">
        <f t="shared" si="34"/>
        <v>16.489999999999998</v>
      </c>
      <c r="Z48" s="203">
        <f t="shared" si="34"/>
        <v>12.73</v>
      </c>
      <c r="AA48" s="203">
        <f t="shared" si="34"/>
        <v>5.3</v>
      </c>
      <c r="AB48" s="203">
        <f t="shared" si="34"/>
        <v>5.01</v>
      </c>
    </row>
    <row r="49" spans="3:28" ht="14.7" thickBot="1" x14ac:dyDescent="0.6">
      <c r="C49" s="264" t="s">
        <v>1135</v>
      </c>
      <c r="D49" s="265">
        <f>SUM(E49:AB49)</f>
        <v>94333.750000000015</v>
      </c>
      <c r="E49" s="267">
        <f>SUM(E47:E48)</f>
        <v>-6598.71</v>
      </c>
      <c r="F49" s="267">
        <f t="shared" ref="F49" si="35">SUM(F47:F48)</f>
        <v>113.14</v>
      </c>
      <c r="G49" s="267">
        <f t="shared" ref="G49" si="36">SUM(G47:G48)</f>
        <v>7.53</v>
      </c>
      <c r="H49" s="267">
        <f t="shared" ref="H49" si="37">SUM(H47:H48)</f>
        <v>0</v>
      </c>
      <c r="I49" s="267">
        <f t="shared" ref="I49" si="38">SUM(I47:I48)</f>
        <v>21.75</v>
      </c>
      <c r="J49" s="267">
        <f t="shared" ref="J49" si="39">SUM(J47:J48)</f>
        <v>0</v>
      </c>
      <c r="K49" s="267">
        <f t="shared" ref="K49" si="40">SUM(K47:K48)</f>
        <v>0</v>
      </c>
      <c r="L49" s="267">
        <f t="shared" ref="L49" si="41">SUM(L47:L48)</f>
        <v>364.89</v>
      </c>
      <c r="M49" s="267">
        <f t="shared" ref="M49" si="42">SUM(M47:M48)</f>
        <v>15355.699999999999</v>
      </c>
      <c r="N49" s="267">
        <f t="shared" ref="N49" si="43">SUM(N47:N48)</f>
        <v>37498.07</v>
      </c>
      <c r="O49" s="267">
        <f t="shared" ref="O49" si="44">SUM(O47:O48)</f>
        <v>15721.529999999999</v>
      </c>
      <c r="P49" s="267">
        <f t="shared" ref="P49" si="45">SUM(P47:P48)</f>
        <v>175.11</v>
      </c>
      <c r="Q49" s="267">
        <f t="shared" ref="Q49" si="46">SUM(Q47:Q48)</f>
        <v>8.06</v>
      </c>
      <c r="R49" s="267">
        <f t="shared" ref="R49" si="47">SUM(R47:R48)</f>
        <v>0</v>
      </c>
      <c r="S49" s="267">
        <f t="shared" ref="S49" si="48">SUM(S47:S48)</f>
        <v>1382.75</v>
      </c>
      <c r="T49" s="267">
        <f t="shared" ref="T49" si="49">SUM(T47:T48)</f>
        <v>0</v>
      </c>
      <c r="U49" s="267">
        <f t="shared" ref="U49" si="50">SUM(U47:U48)</f>
        <v>22013.91</v>
      </c>
      <c r="V49" s="267">
        <f t="shared" ref="V49" si="51">SUM(V47:V48)</f>
        <v>2783.35</v>
      </c>
      <c r="W49" s="267">
        <f t="shared" ref="W49" si="52">SUM(W47:W48)</f>
        <v>0</v>
      </c>
      <c r="X49" s="267">
        <f t="shared" ref="X49" si="53">SUM(X47:X48)</f>
        <v>302.32</v>
      </c>
      <c r="Y49" s="267">
        <f t="shared" ref="Y49" si="54">SUM(Y47:Y48)</f>
        <v>16.489999999999998</v>
      </c>
      <c r="Z49" s="267">
        <f t="shared" ref="Z49" si="55">SUM(Z47:Z48)</f>
        <v>112.73</v>
      </c>
      <c r="AA49" s="267">
        <f t="shared" ref="AA49" si="56">SUM(AA47:AA48)</f>
        <v>5.3</v>
      </c>
      <c r="AB49" s="267">
        <f t="shared" ref="AB49" si="57">SUM(AB47:AB48)</f>
        <v>5049.83</v>
      </c>
    </row>
    <row r="50" spans="3:28" ht="14.7" thickTop="1" x14ac:dyDescent="0.55000000000000004">
      <c r="C50" s="205"/>
      <c r="D50" s="217"/>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6"/>
    </row>
    <row r="51" spans="3:28" ht="14.7" thickBot="1" x14ac:dyDescent="0.6">
      <c r="C51" s="219" t="s">
        <v>1130</v>
      </c>
      <c r="D51" s="220">
        <f>D44</f>
        <v>4957.0400000000373</v>
      </c>
      <c r="E51" s="204">
        <f>E44</f>
        <v>3.9699999996228144</v>
      </c>
      <c r="F51" s="204">
        <f t="shared" ref="F51:AB51" si="58">F44</f>
        <v>0</v>
      </c>
      <c r="G51" s="204">
        <f t="shared" si="58"/>
        <v>0</v>
      </c>
      <c r="H51" s="204">
        <f t="shared" si="58"/>
        <v>276.00000000011642</v>
      </c>
      <c r="I51" s="204">
        <f t="shared" si="58"/>
        <v>383.63999999989755</v>
      </c>
      <c r="J51" s="204">
        <f t="shared" si="58"/>
        <v>0</v>
      </c>
      <c r="K51" s="204">
        <f t="shared" si="58"/>
        <v>0</v>
      </c>
      <c r="L51" s="204">
        <f t="shared" si="58"/>
        <v>0</v>
      </c>
      <c r="M51" s="204">
        <f t="shared" si="58"/>
        <v>237.17000000015832</v>
      </c>
      <c r="N51" s="204">
        <f t="shared" si="58"/>
        <v>2003.6300000002375</v>
      </c>
      <c r="O51" s="204">
        <f t="shared" si="58"/>
        <v>226.27000000013504</v>
      </c>
      <c r="P51" s="204">
        <f t="shared" si="58"/>
        <v>0</v>
      </c>
      <c r="Q51" s="204">
        <f t="shared" si="58"/>
        <v>600</v>
      </c>
      <c r="R51" s="204">
        <f t="shared" si="58"/>
        <v>142.42999999993481</v>
      </c>
      <c r="S51" s="204">
        <f t="shared" si="58"/>
        <v>0</v>
      </c>
      <c r="T51" s="204">
        <f t="shared" si="58"/>
        <v>0</v>
      </c>
      <c r="U51" s="204">
        <f t="shared" si="58"/>
        <v>92</v>
      </c>
      <c r="V51" s="204">
        <f t="shared" si="58"/>
        <v>0</v>
      </c>
      <c r="W51" s="204">
        <f t="shared" si="58"/>
        <v>0</v>
      </c>
      <c r="X51" s="204">
        <f t="shared" si="58"/>
        <v>219.36999999976251</v>
      </c>
      <c r="Y51" s="204">
        <f t="shared" si="58"/>
        <v>165.03999999992084</v>
      </c>
      <c r="Z51" s="204">
        <f t="shared" si="58"/>
        <v>175.60000000020955</v>
      </c>
      <c r="AA51" s="204">
        <f t="shared" si="58"/>
        <v>431.92000000004191</v>
      </c>
      <c r="AB51" s="204">
        <f t="shared" si="58"/>
        <v>0</v>
      </c>
    </row>
    <row r="54" spans="3:28" ht="14.7" thickBot="1" x14ac:dyDescent="0.6"/>
    <row r="55" spans="3:28" ht="14.7" thickBot="1" x14ac:dyDescent="0.6">
      <c r="C55" s="302" t="s">
        <v>1123</v>
      </c>
      <c r="D55" s="303"/>
      <c r="E55" s="276" t="s">
        <v>106</v>
      </c>
    </row>
    <row r="56" spans="3:28" ht="14.7" thickBot="1" x14ac:dyDescent="0.6">
      <c r="C56" s="224"/>
      <c r="D56" s="225" t="s">
        <v>1113</v>
      </c>
      <c r="E56" s="212" t="s">
        <v>1040</v>
      </c>
    </row>
    <row r="57" spans="3:28" ht="26.1" thickBot="1" x14ac:dyDescent="0.6">
      <c r="C57" s="221" t="s">
        <v>1110</v>
      </c>
      <c r="D57" s="222" t="s">
        <v>92</v>
      </c>
      <c r="E57" s="215" t="s">
        <v>1103</v>
      </c>
    </row>
    <row r="58" spans="3:28" ht="14.7" thickBot="1" x14ac:dyDescent="0.6">
      <c r="C58" s="307" t="s">
        <v>1180</v>
      </c>
      <c r="D58" s="308"/>
      <c r="E58" s="277"/>
    </row>
    <row r="59" spans="3:28" x14ac:dyDescent="0.55000000000000004">
      <c r="C59" s="205"/>
      <c r="D59" s="217"/>
      <c r="E59" s="203"/>
    </row>
    <row r="60" spans="3:28" x14ac:dyDescent="0.55000000000000004">
      <c r="C60" s="205" t="s">
        <v>74</v>
      </c>
      <c r="D60" s="217">
        <f>SUM(E60:E60)</f>
        <v>203743.07</v>
      </c>
      <c r="E60" s="203">
        <v>203743.07</v>
      </c>
    </row>
    <row r="61" spans="3:28" ht="14.7" thickBot="1" x14ac:dyDescent="0.6">
      <c r="C61" s="264" t="s">
        <v>1144</v>
      </c>
      <c r="D61" s="265">
        <f>SUM(E61:E61)</f>
        <v>203743.07</v>
      </c>
      <c r="E61" s="267">
        <f>SUM(E60:E60)</f>
        <v>203743.07</v>
      </c>
    </row>
    <row r="62" spans="3:28" ht="15" thickTop="1" thickBot="1" x14ac:dyDescent="0.6">
      <c r="C62" s="205"/>
      <c r="D62" s="217"/>
      <c r="E62" s="203"/>
    </row>
    <row r="63" spans="3:28" ht="14.7" thickBot="1" x14ac:dyDescent="0.6">
      <c r="C63" s="307" t="s">
        <v>1181</v>
      </c>
      <c r="D63" s="308"/>
      <c r="E63" s="277"/>
    </row>
    <row r="64" spans="3:28" x14ac:dyDescent="0.55000000000000004">
      <c r="C64" s="205"/>
      <c r="D64" s="217"/>
      <c r="E64" s="203"/>
    </row>
    <row r="65" spans="1:29" x14ac:dyDescent="0.55000000000000004">
      <c r="C65" s="205" t="s">
        <v>74</v>
      </c>
      <c r="D65" s="217">
        <f>SUM(E65:E65)</f>
        <v>203141.6</v>
      </c>
      <c r="E65" s="203">
        <v>203141.6</v>
      </c>
    </row>
    <row r="66" spans="1:29" ht="14.7" thickBot="1" x14ac:dyDescent="0.6">
      <c r="C66" s="264" t="s">
        <v>1144</v>
      </c>
      <c r="D66" s="265">
        <f>SUM(E66:E66)</f>
        <v>203141.6</v>
      </c>
      <c r="E66" s="267">
        <f>SUM(E65)</f>
        <v>203141.6</v>
      </c>
    </row>
    <row r="67" spans="1:29" ht="15" thickTop="1" thickBot="1" x14ac:dyDescent="0.6">
      <c r="C67" s="205"/>
      <c r="D67" s="217"/>
      <c r="E67" s="203"/>
    </row>
    <row r="68" spans="1:29" ht="14.7" thickBot="1" x14ac:dyDescent="0.6">
      <c r="C68" s="307" t="s">
        <v>1122</v>
      </c>
      <c r="D68" s="308"/>
      <c r="E68" s="278"/>
    </row>
    <row r="69" spans="1:29" x14ac:dyDescent="0.55000000000000004">
      <c r="C69" s="205"/>
      <c r="D69" s="217"/>
      <c r="E69" s="203"/>
    </row>
    <row r="70" spans="1:29" x14ac:dyDescent="0.55000000000000004">
      <c r="C70" s="205" t="s">
        <v>74</v>
      </c>
      <c r="D70" s="217">
        <f>SUM(E70:E70)</f>
        <v>601.47000000000116</v>
      </c>
      <c r="E70" s="203">
        <f>E61-E65</f>
        <v>601.47000000000116</v>
      </c>
    </row>
    <row r="71" spans="1:29" ht="14.7" thickBot="1" x14ac:dyDescent="0.6">
      <c r="C71" s="264" t="s">
        <v>1144</v>
      </c>
      <c r="D71" s="265">
        <f>SUM(E71:E71)</f>
        <v>601.47000000000116</v>
      </c>
      <c r="E71" s="267">
        <f>SUM(E70)</f>
        <v>601.47000000000116</v>
      </c>
    </row>
    <row r="72" spans="1:29" ht="14.7" thickTop="1" x14ac:dyDescent="0.55000000000000004">
      <c r="C72" s="205"/>
      <c r="D72" s="217"/>
      <c r="E72" s="203"/>
    </row>
    <row r="73" spans="1:29" ht="14.7" thickBot="1" x14ac:dyDescent="0.6">
      <c r="C73" s="219" t="s">
        <v>1130</v>
      </c>
      <c r="D73" s="220">
        <f>D70</f>
        <v>601.47000000000116</v>
      </c>
      <c r="E73" s="204">
        <f>E70</f>
        <v>601.47000000000116</v>
      </c>
    </row>
    <row r="75" spans="1:29" ht="14.7" thickBot="1" x14ac:dyDescent="0.6"/>
    <row r="76" spans="1:29" s="274" customFormat="1" ht="17.100000000000001" thickBot="1" x14ac:dyDescent="0.7">
      <c r="A76" s="273"/>
      <c r="C76" s="274" t="s">
        <v>1144</v>
      </c>
      <c r="D76" s="274">
        <f>SUM(D51,D73)</f>
        <v>5558.5100000000384</v>
      </c>
      <c r="AC76" s="275"/>
    </row>
  </sheetData>
  <mergeCells count="17">
    <mergeCell ref="E42:AB42"/>
    <mergeCell ref="E3:U3"/>
    <mergeCell ref="C12:D12"/>
    <mergeCell ref="C19:D19"/>
    <mergeCell ref="E19:AB19"/>
    <mergeCell ref="C22:D22"/>
    <mergeCell ref="E22:AB22"/>
    <mergeCell ref="C33:D33"/>
    <mergeCell ref="E33:AB33"/>
    <mergeCell ref="C3:D3"/>
    <mergeCell ref="C6:D6"/>
    <mergeCell ref="C9:D9"/>
    <mergeCell ref="C55:D55"/>
    <mergeCell ref="C58:D58"/>
    <mergeCell ref="C63:D63"/>
    <mergeCell ref="C68:D68"/>
    <mergeCell ref="C42:D4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2f4ca286ce34c3bbda5ce712bce9358 xmlns="6918f9be-eeb1-415b-9be3-654e90f201e2">
      <Terms xmlns="http://schemas.microsoft.com/office/infopath/2007/PartnerControls">
        <TermInfo xmlns="http://schemas.microsoft.com/office/infopath/2007/PartnerControls">
          <TermName xmlns="http://schemas.microsoft.com/office/infopath/2007/PartnerControls">Tier1</TermName>
          <TermId xmlns="http://schemas.microsoft.com/office/infopath/2007/PartnerControls">cd280bf6-779a-4dbd-a719-e9e36283fb86</TermId>
        </TermInfo>
      </Terms>
    </a2f4ca286ce34c3bbda5ce712bce9358>
    <TaxCatchAll xmlns="e0824a81-70f0-4b99-a206-b0e60c0f2e92">
      <Value>1</Value>
    </TaxCatchAll>
    <Bookmarked xmlns="6918f9be-eeb1-415b-9be3-654e90f201e2" xsi:nil="true"/>
    <Language xmlns="6918f9be-eeb1-415b-9be3-654e90f201e2" xsi:nil="true"/>
    <Original_x0020_File_x0020_Name xmlns="6918f9be-eeb1-415b-9be3-654e90f201e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619B01B3569A4AB64731BE0E072FE7" ma:contentTypeVersion="7" ma:contentTypeDescription="Create a new document." ma:contentTypeScope="" ma:versionID="1d286fb156c8c27526f65cf5e663afd3">
  <xsd:schema xmlns:xsd="http://www.w3.org/2001/XMLSchema" xmlns:xs="http://www.w3.org/2001/XMLSchema" xmlns:p="http://schemas.microsoft.com/office/2006/metadata/properties" xmlns:ns2="6918f9be-eeb1-415b-9be3-654e90f201e2" xmlns:ns3="e0824a81-70f0-4b99-a206-b0e60c0f2e92" targetNamespace="http://schemas.microsoft.com/office/2006/metadata/properties" ma:root="true" ma:fieldsID="f63096334391a910ec4f899f17b79acf" ns2:_="" ns3:_="">
    <xsd:import namespace="6918f9be-eeb1-415b-9be3-654e90f201e2"/>
    <xsd:import namespace="e0824a81-70f0-4b99-a206-b0e60c0f2e92"/>
    <xsd:element name="properties">
      <xsd:complexType>
        <xsd:sequence>
          <xsd:element name="documentManagement">
            <xsd:complexType>
              <xsd:all>
                <xsd:element ref="ns2:Original_x0020_File_x0020_Name" minOccurs="0"/>
                <xsd:element ref="ns2:Language" minOccurs="0"/>
                <xsd:element ref="ns2:Bookmarked" minOccurs="0"/>
                <xsd:element ref="ns2:a2f4ca286ce34c3bbda5ce712bce9358" minOccurs="0"/>
                <xsd:element ref="ns3:TaxCatchAl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8f9be-eeb1-415b-9be3-654e90f201e2" elementFormDefault="qualified">
    <xsd:import namespace="http://schemas.microsoft.com/office/2006/documentManagement/types"/>
    <xsd:import namespace="http://schemas.microsoft.com/office/infopath/2007/PartnerControls"/>
    <xsd:element name="Original_x0020_File_x0020_Name" ma:index="8" nillable="true" ma:displayName="Original File Name" ma:internalName="Original_x0020_File_x0020_Name">
      <xsd:simpleType>
        <xsd:restriction base="dms:Text">
          <xsd:maxLength value="255"/>
        </xsd:restriction>
      </xsd:simpleType>
    </xsd:element>
    <xsd:element name="Language" ma:index="9" nillable="true" ma:displayName="Language" ma:internalName="Language">
      <xsd:simpleType>
        <xsd:restriction base="dms:Text">
          <xsd:maxLength value="255"/>
        </xsd:restriction>
      </xsd:simpleType>
    </xsd:element>
    <xsd:element name="Bookmarked" ma:index="10" nillable="true" ma:displayName="Bookmarked" ma:internalName="Bookmarked">
      <xsd:simpleType>
        <xsd:restriction base="dms:Text">
          <xsd:maxLength value="255"/>
        </xsd:restriction>
      </xsd:simpleType>
    </xsd:element>
    <xsd:element name="a2f4ca286ce34c3bbda5ce712bce9358" ma:index="12" nillable="true" ma:taxonomy="true" ma:internalName="a2f4ca286ce34c3bbda5ce712bce9358" ma:taxonomyFieldName="Tier_x0020_Type" ma:displayName="Tier Type" ma:default="1;#Tier1|cd280bf6-779a-4dbd-a719-e9e36283fb86" ma:fieldId="{a2f4ca28-6ce3-4c3b-bda5-ce712bce9358}" ma:sspId="f2cfcc6d-cc8f-4f2d-af56-00017de6e7f5" ma:termSetId="fbea8927-0f62-47b9-924d-dfde974728a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824a81-70f0-4b99-a206-b0e60c0f2e92" elementFormDefault="qualified">
    <xsd:import namespace="http://schemas.microsoft.com/office/2006/documentManagement/types"/>
    <xsd:import namespace="http://schemas.microsoft.com/office/infopath/2007/PartnerControls"/>
    <xsd:element name="TaxCatchAll" ma:index="13" nillable="true" ma:displayName="Taxonomy Catch All Column" ma:description="" ma:hidden="true" ma:list="{9217c8c8-c95e-4821-9c03-e654b7e04c8a}" ma:internalName="TaxCatchAll" ma:showField="CatchAllData" ma:web="e0824a81-70f0-4b99-a206-b0e60c0f2e92">
      <xsd:complexType>
        <xsd:complexContent>
          <xsd:extension base="dms:MultiChoiceLookup">
            <xsd:sequence>
              <xsd:element name="Value" type="dms:Lookup" maxOccurs="unbounded" minOccurs="0" nillable="true"/>
            </xsd:sequence>
          </xsd:extension>
        </xsd:complexContent>
      </xsd:complex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88909-CE64-40CB-B0AF-6D14022144A1}">
  <ds:schemaRefs>
    <ds:schemaRef ds:uri="http://schemas.microsoft.com/sharepoint/v3/contenttype/forms"/>
  </ds:schemaRefs>
</ds:datastoreItem>
</file>

<file path=customXml/itemProps2.xml><?xml version="1.0" encoding="utf-8"?>
<ds:datastoreItem xmlns:ds="http://schemas.openxmlformats.org/officeDocument/2006/customXml" ds:itemID="{F3B7B86F-07B1-41B5-9F54-494AC8F1AE1B}">
  <ds:schemaRefs>
    <ds:schemaRef ds:uri="http://schemas.microsoft.com/office/2006/metadata/properties"/>
    <ds:schemaRef ds:uri="http://schemas.microsoft.com/office/infopath/2007/PartnerControls"/>
    <ds:schemaRef ds:uri="6918f9be-eeb1-415b-9be3-654e90f201e2"/>
    <ds:schemaRef ds:uri="e0824a81-70f0-4b99-a206-b0e60c0f2e92"/>
  </ds:schemaRefs>
</ds:datastoreItem>
</file>

<file path=customXml/itemProps3.xml><?xml version="1.0" encoding="utf-8"?>
<ds:datastoreItem xmlns:ds="http://schemas.openxmlformats.org/officeDocument/2006/customXml" ds:itemID="{DAFE6B65-4229-433F-A5A4-1D754DA8D5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8f9be-eeb1-415b-9be3-654e90f201e2"/>
    <ds:schemaRef ds:uri="e0824a81-70f0-4b99-a206-b0e60c0f2e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Reconciliation</vt:lpstr>
      <vt:lpstr>BPC Data</vt:lpstr>
      <vt:lpstr>Summary</vt:lpstr>
      <vt:lpstr>YTD Summary</vt:lpstr>
      <vt:lpstr>TTM</vt:lpstr>
      <vt:lpstr>Variance Analysis Summary</vt:lpstr>
      <vt:lpstr>Jan 21 diff</vt:lpstr>
      <vt:lpstr>Feb 21 diff</vt:lpstr>
      <vt:lpstr>Mar 21 diff</vt:lpstr>
      <vt:lpstr>Apr 21 diff</vt:lpstr>
      <vt:lpstr>Variance Analysisold</vt:lpstr>
      <vt:lpstr>IS_Aug'19</vt:lpstr>
      <vt:lpstr>PropertyList</vt:lpstr>
      <vt:lpstr>Summary!Print_Area</vt:lpstr>
      <vt:lpstr>Summary!Print_Titles</vt:lpstr>
      <vt:lpstr>TTM!Print_Titles</vt:lpstr>
    </vt:vector>
  </TitlesOfParts>
  <Company>Cloudworks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Paquette</dc:creator>
  <cp:lastModifiedBy>Sha Li</cp:lastModifiedBy>
  <cp:lastPrinted>2018-05-04T19:02:25Z</cp:lastPrinted>
  <dcterms:created xsi:type="dcterms:W3CDTF">2018-05-03T20:26:04Z</dcterms:created>
  <dcterms:modified xsi:type="dcterms:W3CDTF">2022-06-24T18:16:42Z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{4F461820-7F2B-4134-8293-2511E79FF415}</vt:lpwstr>
  </property>
  <property fmtid="{D5CDD505-2E9C-101B-9397-08002B2CF9AE}" pid="3" name="ContentTypeId">
    <vt:lpwstr>0x010100BF619B01B3569A4AB64731BE0E072FE7</vt:lpwstr>
  </property>
  <property fmtid="{D5CDD505-2E9C-101B-9397-08002B2CF9AE}" pid="4" name="Tier Type">
    <vt:lpwstr>1;#Tier1|cd280bf6-779a-4dbd-a719-e9e36283fb86</vt:lpwstr>
  </property>
</Properties>
</file>